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43.bin" ContentType="application/vnd.openxmlformats-officedocument.oleObject"/>
  <Override PartName="/xl/embeddings/oleObject90.bin" ContentType="application/vnd.openxmlformats-officedocument.oleObject"/>
  <Override PartName="/xl/embeddings/oleObject131.bin" ContentType="application/vnd.openxmlformats-officedocument.oleObject"/>
  <Override PartName="/xl/embeddings/oleObject142.bin" ContentType="application/vnd.openxmlformats-officedocument.oleObject"/>
  <Override PartName="/xl/styles.xml" ContentType="application/vnd.openxmlformats-officedocument.spreadsheetml.styles+xml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embeddings/oleObject120.bin" ContentType="application/vnd.openxmlformats-officedocument.oleObject"/>
  <Override PartName="/xl/embeddings/oleObject10.bin" ContentType="application/vnd.openxmlformats-officedocument.oleObject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mbeddings/oleObject88.bin" ContentType="application/vnd.openxmlformats-officedocument.oleObject"/>
  <Override PartName="/xl/embeddings/oleObject99.bin" ContentType="application/vnd.openxmlformats-officedocument.oleObject"/>
  <Override PartName="/xl/embeddings/oleObject169.bin" ContentType="application/vnd.openxmlformats-officedocument.oleObject"/>
  <Override PartName="/xl/embeddings/oleObject48.bin" ContentType="application/vnd.openxmlformats-officedocument.oleObject"/>
  <Override PartName="/xl/embeddings/oleObject59.bin" ContentType="application/vnd.openxmlformats-officedocument.oleObject"/>
  <Override PartName="/xl/embeddings/oleObject77.bin" ContentType="application/vnd.openxmlformats-officedocument.oleObject"/>
  <Override PartName="/xl/embeddings/oleObject95.bin" ContentType="application/vnd.openxmlformats-officedocument.oleObject"/>
  <Override PartName="/xl/embeddings/oleObject129.bin" ContentType="application/vnd.openxmlformats-officedocument.oleObject"/>
  <Override PartName="/xl/embeddings/oleObject147.bin" ContentType="application/vnd.openxmlformats-officedocument.oleObject"/>
  <Override PartName="/xl/embeddings/oleObject158.bin" ContentType="application/vnd.openxmlformats-officedocument.oleObject"/>
  <Override PartName="/xl/embeddings/oleObject176.bin" ContentType="application/vnd.openxmlformats-officedocument.oleObject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embeddings/oleObject37.bin" ContentType="application/vnd.openxmlformats-officedocument.oleObject"/>
  <Override PartName="/xl/embeddings/oleObject66.bin" ContentType="application/vnd.openxmlformats-officedocument.oleObject"/>
  <Override PartName="/xl/embeddings/oleObject84.bin" ContentType="application/vnd.openxmlformats-officedocument.oleObject"/>
  <Override PartName="/xl/embeddings/oleObject107.bin" ContentType="application/vnd.openxmlformats-officedocument.oleObject"/>
  <Override PartName="/xl/embeddings/oleObject118.bin" ContentType="application/vnd.openxmlformats-officedocument.oleObject"/>
  <Override PartName="/xl/embeddings/oleObject136.bin" ContentType="application/vnd.openxmlformats-officedocument.oleObject"/>
  <Override PartName="/xl/embeddings/oleObject154.bin" ContentType="application/vnd.openxmlformats-officedocument.oleObject"/>
  <Override PartName="/xl/embeddings/oleObject165.bin" ContentType="application/vnd.openxmlformats-officedocument.oleObject"/>
  <Override PartName="/xl/embeddings/oleObject183.bin" ContentType="application/vnd.openxmlformats-officedocument.oleObject"/>
  <Override PartName="/xl/embeddings/oleObject9.bin" ContentType="application/vnd.openxmlformats-officedocument.oleObject"/>
  <Override PartName="/xl/embeddings/oleObject26.bin" ContentType="application/vnd.openxmlformats-officedocument.oleObject"/>
  <Override PartName="/xl/embeddings/oleObject44.bin" ContentType="application/vnd.openxmlformats-officedocument.oleObject"/>
  <Override PartName="/xl/embeddings/oleObject55.bin" ContentType="application/vnd.openxmlformats-officedocument.oleObject"/>
  <Override PartName="/xl/embeddings/oleObject73.bin" ContentType="application/vnd.openxmlformats-officedocument.oleObject"/>
  <Override PartName="/xl/embeddings/oleObject91.bin" ContentType="application/vnd.openxmlformats-officedocument.oleObject"/>
  <Override PartName="/xl/embeddings/oleObject125.bin" ContentType="application/vnd.openxmlformats-officedocument.oleObject"/>
  <Override PartName="/xl/embeddings/oleObject143.bin" ContentType="application/vnd.openxmlformats-officedocument.oleObject"/>
  <Override PartName="/xl/embeddings/oleObject172.bin" ContentType="application/vnd.openxmlformats-officedocument.oleObject"/>
  <Default Extension="bin" ContentType="application/vnd.openxmlformats-officedocument.spreadsheetml.printerSettings"/>
  <Default Extension="png" ContentType="image/png"/>
  <Override PartName="/xl/embeddings/oleObject15.bin" ContentType="application/vnd.openxmlformats-officedocument.oleObject"/>
  <Override PartName="/xl/embeddings/oleObject33.bin" ContentType="application/vnd.openxmlformats-officedocument.oleObject"/>
  <Override PartName="/xl/embeddings/oleObject62.bin" ContentType="application/vnd.openxmlformats-officedocument.oleObject"/>
  <Override PartName="/xl/embeddings/oleObject80.bin" ContentType="application/vnd.openxmlformats-officedocument.oleObject"/>
  <Override PartName="/xl/embeddings/oleObject103.bin" ContentType="application/vnd.openxmlformats-officedocument.oleObject"/>
  <Override PartName="/xl/embeddings/oleObject114.bin" ContentType="application/vnd.openxmlformats-officedocument.oleObject"/>
  <Override PartName="/xl/embeddings/oleObject132.bin" ContentType="application/vnd.openxmlformats-officedocument.oleObject"/>
  <Override PartName="/xl/embeddings/oleObject150.bin" ContentType="application/vnd.openxmlformats-officedocument.oleObject"/>
  <Override PartName="/xl/embeddings/oleObject161.bin" ContentType="application/vnd.openxmlformats-officedocument.oleObject"/>
  <Override PartName="/xl/embeddings/oleObject5.bin" ContentType="application/vnd.openxmlformats-officedocument.oleObject"/>
  <Override PartName="/xl/embeddings/oleObject22.bin" ContentType="application/vnd.openxmlformats-officedocument.oleObject"/>
  <Override PartName="/xl/embeddings/oleObject40.bin" ContentType="application/vnd.openxmlformats-officedocument.oleObject"/>
  <Override PartName="/xl/embeddings/oleObject51.bin" ContentType="application/vnd.openxmlformats-officedocument.oleObject"/>
  <Override PartName="/xl/embeddings/oleObject110.bin" ContentType="application/vnd.openxmlformats-officedocument.oleObject"/>
  <Override PartName="/xl/embeddings/oleObject121.bin" ContentType="application/vnd.openxmlformats-officedocument.oleObject"/>
  <Default Extension="emf" ContentType="image/x-emf"/>
  <Override PartName="/xl/embeddings/oleObject11.bin" ContentType="application/vnd.openxmlformats-officedocument.oleObject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embeddings/oleObject89.bin" ContentType="application/vnd.openxmlformats-officedocument.oleObject"/>
  <Override PartName="/xl/embeddings/oleObject159.bin" ContentType="application/vnd.openxmlformats-officedocument.oleObject"/>
  <Override PartName="/xl/embeddings/oleObject177.bin" ContentType="application/vnd.openxmlformats-officedocument.oleObject"/>
  <Default Extension="vml" ContentType="application/vnd.openxmlformats-officedocument.vmlDrawing"/>
  <Override PartName="/xl/embeddings/oleObject49.bin" ContentType="application/vnd.openxmlformats-officedocument.oleObject"/>
  <Override PartName="/xl/embeddings/oleObject67.bin" ContentType="application/vnd.openxmlformats-officedocument.oleObject"/>
  <Override PartName="/xl/embeddings/oleObject78.bin" ContentType="application/vnd.openxmlformats-officedocument.oleObject"/>
  <Override PartName="/xl/embeddings/oleObject96.bin" ContentType="application/vnd.openxmlformats-officedocument.oleObject"/>
  <Override PartName="/xl/embeddings/oleObject119.bin" ContentType="application/vnd.openxmlformats-officedocument.oleObject"/>
  <Override PartName="/xl/embeddings/oleObject148.bin" ContentType="application/vnd.openxmlformats-officedocument.oleObject"/>
  <Override PartName="/xl/embeddings/oleObject166.bin" ContentType="application/vnd.openxmlformats-officedocument.oleObject"/>
  <Override PartName="/xl/calcChain.xml" ContentType="application/vnd.openxmlformats-officedocument.spreadsheetml.calcChain+xml"/>
  <Override PartName="/xl/embeddings/oleObject38.bin" ContentType="application/vnd.openxmlformats-officedocument.oleObject"/>
  <Override PartName="/xl/embeddings/oleObject56.bin" ContentType="application/vnd.openxmlformats-officedocument.oleObject"/>
  <Override PartName="/xl/embeddings/oleObject85.bin" ContentType="application/vnd.openxmlformats-officedocument.oleObject"/>
  <Override PartName="/xl/embeddings/oleObject108.bin" ContentType="application/vnd.openxmlformats-officedocument.oleObject"/>
  <Override PartName="/xl/embeddings/oleObject126.bin" ContentType="application/vnd.openxmlformats-officedocument.oleObject"/>
  <Override PartName="/xl/embeddings/oleObject137.bin" ContentType="application/vnd.openxmlformats-officedocument.oleObject"/>
  <Override PartName="/xl/embeddings/oleObject155.bin" ContentType="application/vnd.openxmlformats-officedocument.oleObject"/>
  <Override PartName="/xl/embeddings/oleObject173.bin" ContentType="application/vnd.openxmlformats-officedocument.oleObject"/>
  <Override PartName="/xl/embeddings/oleObject184.bin" ContentType="application/vnd.openxmlformats-officedocument.oleObject"/>
  <Override PartName="/xl/embeddings/oleObject16.bin" ContentType="application/vnd.openxmlformats-officedocument.oleObject"/>
  <Override PartName="/xl/embeddings/oleObject27.bin" ContentType="application/vnd.openxmlformats-officedocument.oleObject"/>
  <Override PartName="/xl/embeddings/oleObject45.bin" ContentType="application/vnd.openxmlformats-officedocument.oleObject"/>
  <Override PartName="/xl/embeddings/oleObject63.bin" ContentType="application/vnd.openxmlformats-officedocument.oleObject"/>
  <Override PartName="/xl/embeddings/oleObject74.bin" ContentType="application/vnd.openxmlformats-officedocument.oleObject"/>
  <Override PartName="/xl/embeddings/oleObject92.bin" ContentType="application/vnd.openxmlformats-officedocument.oleObject"/>
  <Override PartName="/xl/embeddings/oleObject115.bin" ContentType="application/vnd.openxmlformats-officedocument.oleObject"/>
  <Override PartName="/xl/embeddings/oleObject133.bin" ContentType="application/vnd.openxmlformats-officedocument.oleObject"/>
  <Override PartName="/xl/embeddings/oleObject144.bin" ContentType="application/vnd.openxmlformats-officedocument.oleObject"/>
  <Override PartName="/xl/embeddings/oleObject162.bin" ContentType="application/vnd.openxmlformats-officedocument.oleObject"/>
  <Override PartName="/xl/embeddings/oleObject180.bin" ContentType="application/vnd.openxmlformats-officedocument.oleObject"/>
  <Override PartName="/docProps/core.xml" ContentType="application/vnd.openxmlformats-package.core-properties+xml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embeddings/oleObject52.bin" ContentType="application/vnd.openxmlformats-officedocument.oleObject"/>
  <Override PartName="/xl/embeddings/oleObject70.bin" ContentType="application/vnd.openxmlformats-officedocument.oleObject"/>
  <Override PartName="/xl/embeddings/oleObject81.bin" ContentType="application/vnd.openxmlformats-officedocument.oleObject"/>
  <Override PartName="/xl/embeddings/oleObject104.bin" ContentType="application/vnd.openxmlformats-officedocument.oleObject"/>
  <Override PartName="/xl/embeddings/oleObject122.bin" ContentType="application/vnd.openxmlformats-officedocument.oleObject"/>
  <Override PartName="/xl/embeddings/oleObject151.bin" ContentType="application/vnd.openxmlformats-officedocument.oleObject"/>
  <Override PartName="/xl/theme/theme1.xml" ContentType="application/vnd.openxmlformats-officedocument.theme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41.bin" ContentType="application/vnd.openxmlformats-officedocument.oleObject"/>
  <Override PartName="/xl/embeddings/oleObject111.bin" ContentType="application/vnd.openxmlformats-officedocument.oleObject"/>
  <Override PartName="/xl/embeddings/oleObject140.bin" ContentType="application/vnd.openxmlformats-officedocument.oleObject"/>
  <Override PartName="/xl/embeddings/oleObject30.bin" ContentType="application/vnd.openxmlformats-officedocument.oleObject"/>
  <Override PartName="/xl/embeddings/oleObject100.bin" ContentType="application/vnd.openxmlformats-officedocument.oleObject"/>
  <Default Extension="rels" ContentType="application/vnd.openxmlformats-package.relationships+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embeddings/oleObject79.bin" ContentType="application/vnd.openxmlformats-officedocument.oleObject"/>
  <Override PartName="/xl/embeddings/oleObject149.bin" ContentType="application/vnd.openxmlformats-officedocument.oleObject"/>
  <Override PartName="/xl/embeddings/oleObject178.bin" ContentType="application/vnd.openxmlformats-officedocument.oleObject"/>
  <Override PartName="/xl/worksheets/sheet1.xml" ContentType="application/vnd.openxmlformats-officedocument.spreadsheetml.worksheet+xml"/>
  <Override PartName="/xl/embeddings/oleObject39.bin" ContentType="application/vnd.openxmlformats-officedocument.oleObject"/>
  <Override PartName="/xl/embeddings/oleObject68.bin" ContentType="application/vnd.openxmlformats-officedocument.oleObject"/>
  <Override PartName="/xl/embeddings/oleObject86.bin" ContentType="application/vnd.openxmlformats-officedocument.oleObject"/>
  <Override PartName="/xl/embeddings/oleObject97.bin" ContentType="application/vnd.openxmlformats-officedocument.oleObject"/>
  <Override PartName="/xl/embeddings/oleObject109.bin" ContentType="application/vnd.openxmlformats-officedocument.oleObject"/>
  <Override PartName="/xl/embeddings/oleObject138.bin" ContentType="application/vnd.openxmlformats-officedocument.oleObject"/>
  <Override PartName="/xl/embeddings/oleObject156.bin" ContentType="application/vnd.openxmlformats-officedocument.oleObject"/>
  <Override PartName="/xl/embeddings/oleObject167.bin" ContentType="application/vnd.openxmlformats-officedocument.oleObject"/>
  <Override PartName="/xl/embeddings/oleObject185.bin" ContentType="application/vnd.openxmlformats-officedocument.oleObject"/>
  <Override PartName="/xl/embeddings/oleObject28.bin" ContentType="application/vnd.openxmlformats-officedocument.oleObject"/>
  <Override PartName="/xl/embeddings/oleObject46.bin" ContentType="application/vnd.openxmlformats-officedocument.oleObject"/>
  <Override PartName="/xl/embeddings/oleObject57.bin" ContentType="application/vnd.openxmlformats-officedocument.oleObject"/>
  <Override PartName="/xl/embeddings/oleObject75.bin" ContentType="application/vnd.openxmlformats-officedocument.oleObject"/>
  <Override PartName="/xl/embeddings/oleObject93.bin" ContentType="application/vnd.openxmlformats-officedocument.oleObject"/>
  <Override PartName="/xl/embeddings/oleObject127.bin" ContentType="application/vnd.openxmlformats-officedocument.oleObject"/>
  <Override PartName="/xl/embeddings/oleObject145.bin" ContentType="application/vnd.openxmlformats-officedocument.oleObject"/>
  <Override PartName="/xl/embeddings/oleObject174.bin" ContentType="application/vnd.openxmlformats-officedocument.oleObject"/>
  <Override PartName="/xl/embeddings/oleObject17.bin" ContentType="application/vnd.openxmlformats-officedocument.oleObject"/>
  <Override PartName="/xl/embeddings/oleObject35.bin" ContentType="application/vnd.openxmlformats-officedocument.oleObject"/>
  <Override PartName="/xl/embeddings/oleObject64.bin" ContentType="application/vnd.openxmlformats-officedocument.oleObject"/>
  <Override PartName="/xl/embeddings/oleObject82.bin" ContentType="application/vnd.openxmlformats-officedocument.oleObject"/>
  <Override PartName="/xl/embeddings/oleObject105.bin" ContentType="application/vnd.openxmlformats-officedocument.oleObject"/>
  <Override PartName="/xl/embeddings/oleObject116.bin" ContentType="application/vnd.openxmlformats-officedocument.oleObject"/>
  <Override PartName="/xl/embeddings/oleObject134.bin" ContentType="application/vnd.openxmlformats-officedocument.oleObject"/>
  <Override PartName="/xl/embeddings/oleObject152.bin" ContentType="application/vnd.openxmlformats-officedocument.oleObject"/>
  <Override PartName="/xl/embeddings/oleObject163.bin" ContentType="application/vnd.openxmlformats-officedocument.oleObject"/>
  <Override PartName="/xl/embeddings/oleObject181.bin" ContentType="application/vnd.openxmlformats-officedocument.oleObject"/>
  <Override PartName="/xl/embeddings/oleObject7.bin" ContentType="application/vnd.openxmlformats-officedocument.oleObject"/>
  <Override PartName="/xl/embeddings/oleObject24.bin" ContentType="application/vnd.openxmlformats-officedocument.oleObject"/>
  <Override PartName="/xl/embeddings/oleObject42.bin" ContentType="application/vnd.openxmlformats-officedocument.oleObject"/>
  <Override PartName="/xl/embeddings/oleObject53.bin" ContentType="application/vnd.openxmlformats-officedocument.oleObject"/>
  <Override PartName="/xl/embeddings/oleObject71.bin" ContentType="application/vnd.openxmlformats-officedocument.oleObject"/>
  <Override PartName="/xl/embeddings/oleObject123.bin" ContentType="application/vnd.openxmlformats-officedocument.oleObject"/>
  <Override PartName="/xl/embeddings/oleObject141.bin" ContentType="application/vnd.openxmlformats-officedocument.oleObject"/>
  <Override PartName="/xl/embeddings/oleObject170.bin" ContentType="application/vnd.openxmlformats-officedocument.oleObject"/>
  <Override PartName="/xl/embeddings/oleObject13.bin" ContentType="application/vnd.openxmlformats-officedocument.oleObject"/>
  <Override PartName="/xl/embeddings/oleObject31.bin" ContentType="application/vnd.openxmlformats-officedocument.oleObject"/>
  <Override PartName="/xl/embeddings/oleObject60.bin" ContentType="application/vnd.openxmlformats-officedocument.oleObject"/>
  <Override PartName="/xl/embeddings/oleObject101.bin" ContentType="application/vnd.openxmlformats-officedocument.oleObject"/>
  <Override PartName="/xl/embeddings/oleObject112.bin" ContentType="application/vnd.openxmlformats-officedocument.oleObject"/>
  <Override PartName="/xl/embeddings/oleObject130.bin" ContentType="application/vnd.openxmlformats-officedocument.oleObject"/>
  <Override PartName="/xl/worksheets/sheet6.xml" ContentType="application/vnd.openxmlformats-officedocument.spreadsheetml.worksheet+xml"/>
  <Default Extension="jpeg" ContentType="image/jpeg"/>
  <Override PartName="/xl/embeddings/oleObject3.bin" ContentType="application/vnd.openxmlformats-officedocument.oleObject"/>
  <Override PartName="/xl/embeddings/oleObject20.bin" ContentType="application/vnd.openxmlformats-officedocument.oleObject"/>
  <Override PartName="/xl/embeddings/oleObject179.bin" ContentType="application/vnd.openxmlformats-officedocument.oleObject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embeddings/oleObject69.bin" ContentType="application/vnd.openxmlformats-officedocument.oleObject"/>
  <Override PartName="/xl/embeddings/oleObject98.bin" ContentType="application/vnd.openxmlformats-officedocument.oleObject"/>
  <Override PartName="/xl/embeddings/oleObject168.bin" ContentType="application/vnd.openxmlformats-officedocument.oleObject"/>
  <Override PartName="/xl/embeddings/oleObject58.bin" ContentType="application/vnd.openxmlformats-officedocument.oleObject"/>
  <Override PartName="/xl/embeddings/oleObject87.bin" ContentType="application/vnd.openxmlformats-officedocument.oleObject"/>
  <Override PartName="/xl/embeddings/oleObject128.bin" ContentType="application/vnd.openxmlformats-officedocument.oleObject"/>
  <Override PartName="/xl/embeddings/oleObject139.bin" ContentType="application/vnd.openxmlformats-officedocument.oleObject"/>
  <Override PartName="/xl/embeddings/oleObject157.bin" ContentType="application/vnd.openxmlformats-officedocument.oleObject"/>
  <Override PartName="/xl/embeddings/oleObject175.bin" ContentType="application/vnd.openxmlformats-officedocument.oleObject"/>
  <Override PartName="/xl/embeddings/oleObject186.bin" ContentType="application/vnd.openxmlformats-officedocument.oleObject"/>
  <Default Extension="tiff" ContentType="image/tiff"/>
  <Override PartName="/xl/embeddings/oleObject18.bin" ContentType="application/vnd.openxmlformats-officedocument.oleObject"/>
  <Override PartName="/xl/embeddings/oleObject29.bin" ContentType="application/vnd.openxmlformats-officedocument.oleObject"/>
  <Override PartName="/xl/embeddings/oleObject47.bin" ContentType="application/vnd.openxmlformats-officedocument.oleObject"/>
  <Override PartName="/xl/embeddings/oleObject65.bin" ContentType="application/vnd.openxmlformats-officedocument.oleObject"/>
  <Override PartName="/xl/embeddings/oleObject76.bin" ContentType="application/vnd.openxmlformats-officedocument.oleObject"/>
  <Override PartName="/xl/embeddings/oleObject94.bin" ContentType="application/vnd.openxmlformats-officedocument.oleObject"/>
  <Override PartName="/xl/embeddings/oleObject117.bin" ContentType="application/vnd.openxmlformats-officedocument.oleObject"/>
  <Override PartName="/xl/embeddings/oleObject146.bin" ContentType="application/vnd.openxmlformats-officedocument.oleObject"/>
  <Override PartName="/xl/embeddings/oleObject164.bin" ContentType="application/vnd.openxmlformats-officedocument.oleObject"/>
  <Override PartName="/xl/embeddings/oleObject25.bin" ContentType="application/vnd.openxmlformats-officedocument.oleObject"/>
  <Override PartName="/xl/embeddings/oleObject36.bin" ContentType="application/vnd.openxmlformats-officedocument.oleObject"/>
  <Override PartName="/xl/embeddings/oleObject54.bin" ContentType="application/vnd.openxmlformats-officedocument.oleObject"/>
  <Override PartName="/xl/embeddings/oleObject72.bin" ContentType="application/vnd.openxmlformats-officedocument.oleObject"/>
  <Override PartName="/xl/embeddings/oleObject83.bin" ContentType="application/vnd.openxmlformats-officedocument.oleObject"/>
  <Override PartName="/xl/embeddings/oleObject106.bin" ContentType="application/vnd.openxmlformats-officedocument.oleObject"/>
  <Override PartName="/xl/embeddings/oleObject124.bin" ContentType="application/vnd.openxmlformats-officedocument.oleObject"/>
  <Override PartName="/xl/embeddings/oleObject135.bin" ContentType="application/vnd.openxmlformats-officedocument.oleObject"/>
  <Override PartName="/xl/embeddings/oleObject153.bin" ContentType="application/vnd.openxmlformats-officedocument.oleObject"/>
  <Override PartName="/xl/embeddings/oleObject171.bin" ContentType="application/vnd.openxmlformats-officedocument.oleObject"/>
  <Override PartName="/xl/embeddings/oleObject182.bin" ContentType="application/vnd.openxmlformats-officedocument.oleObject"/>
  <Override PartName="/xl/embeddings/oleObject14.bin" ContentType="application/vnd.openxmlformats-officedocument.oleObject"/>
  <Override PartName="/xl/embeddings/oleObject61.bin" ContentType="application/vnd.openxmlformats-officedocument.oleObject"/>
  <Override PartName="/xl/embeddings/oleObject113.bin" ContentType="application/vnd.openxmlformats-officedocument.oleObject"/>
  <Override PartName="/xl/embeddings/oleObject160.bin" ContentType="application/vnd.openxmlformats-officedocument.oleObject"/>
  <Override PartName="/xl/embeddings/oleObject50.bin" ContentType="application/vnd.openxmlformats-officedocument.oleObject"/>
  <Override PartName="/xl/embeddings/oleObject102.bin" ContentType="application/vnd.openxmlformats-officedocument.oleObject"/>
  <Override PartName="/xl/worksheets/sheet7.xml" ContentType="application/vnd.openxmlformats-officedocument.spreadsheetml.worksheet+xml"/>
  <Override PartName="/xl/embeddings/oleObject4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EstaPasta_de_trabalho"/>
  <bookViews>
    <workbookView xWindow="9585" yWindow="4935" windowWidth="9570" windowHeight="4950" activeTab="3"/>
  </bookViews>
  <sheets>
    <sheet name="CAPA" sheetId="2" r:id="rId1"/>
    <sheet name="ÍNDICE" sheetId="6" r:id="rId2"/>
    <sheet name="Pág 2" sheetId="5" r:id="rId3"/>
    <sheet name="MQ-INFRA" sheetId="9" r:id="rId4"/>
    <sheet name="MQ-SUPER" sheetId="8" r:id="rId5"/>
    <sheet name="PSQ-INFRA" sheetId="10" r:id="rId6"/>
    <sheet name="PSQ-SUPER" sheetId="1" r:id="rId7"/>
  </sheets>
  <definedNames>
    <definedName name="A25.700.TOTAL">'MQ-SUPER'!$J$592</definedName>
    <definedName name="A25.705">'MQ-SUPER'!$E$3479</definedName>
    <definedName name="A50.100.TOTAL">'MQ-SUPER'!$J$30</definedName>
    <definedName name="A50.101">'MQ-SUPER'!$E$972</definedName>
    <definedName name="A50.200.TOTAL">'MQ-SUPER'!$J$153</definedName>
    <definedName name="A50.201">'MQ-SUPER'!$E$1055</definedName>
    <definedName name="A50.202">'MQ-SUPER'!$E$1136</definedName>
    <definedName name="A50.203">'MQ-SUPER'!$E$1257</definedName>
    <definedName name="A50.204">'MQ-SUPER'!$E$1298</definedName>
    <definedName name="A50.205">'MQ-SUPER'!$E$1351</definedName>
    <definedName name="A50.206">'MQ-SUPER'!$E$1403</definedName>
    <definedName name="A50.207">'MQ-SUPER'!$E$1474</definedName>
    <definedName name="A50.208">'MQ-SUPER'!$E$1577</definedName>
    <definedName name="A50.209">'MQ-SUPER'!$E$1615</definedName>
    <definedName name="A50.300.TOTAL">'MQ-SUPER'!$J$305</definedName>
    <definedName name="A50.301">'MQ-SUPER'!$E$3116</definedName>
    <definedName name="A50.400.TOTAL">'MQ-INFRA'!$J$190</definedName>
    <definedName name="A50.401">'MQ-INFRA'!$E$2210</definedName>
    <definedName name="A50.500.TOTAL">'MQ-INFRA'!$J$547</definedName>
    <definedName name="A50.502">'MQ-INFRA'!$E$2347</definedName>
    <definedName name="A50.503">'MQ-INFRA'!$E$2525</definedName>
    <definedName name="A50.504">'MQ-INFRA'!$E$2720</definedName>
    <definedName name="A50.505">'MQ-INFRA'!$E$3263</definedName>
    <definedName name="A50.506">'MQ-INFRA'!$E$3380</definedName>
    <definedName name="A50.507">'MQ-INFRA'!$E$3590</definedName>
    <definedName name="A50.508">'MQ-INFRA'!$E$3673</definedName>
    <definedName name="A50.509">'MQ-INFRA'!$E$4162</definedName>
    <definedName name="A50.510">'MQ-INFRA'!$E$4463</definedName>
    <definedName name="A50.511">'MQ-INFRA'!$E$4547</definedName>
    <definedName name="A50.600.TOTAL">'MQ-INFRA'!$J$826</definedName>
    <definedName name="A50.601">'MQ-INFRA'!$E$6690</definedName>
    <definedName name="A50.700.TOTAL">'MQ-SUPER'!$J$545</definedName>
    <definedName name="A50.701">'MQ-SUPER'!$E$3196</definedName>
    <definedName name="A50.702">'MQ-SUPER'!$E$3231</definedName>
    <definedName name="A50.703">'MQ-SUPER'!$E$3279</definedName>
    <definedName name="A50.704">'MQ-SUPER'!$E$3441</definedName>
    <definedName name="A50.705">'MQ-SUPER'!$E$3478</definedName>
    <definedName name="A50.706">'MQ-SUPER'!$E$3524</definedName>
    <definedName name="A50.707">'MQ-SUPER'!$E$3617</definedName>
    <definedName name="A50.708">'MQ-SUPER'!$E$3671</definedName>
    <definedName name="A50.709">'MQ-SUPER'!$E$3710</definedName>
    <definedName name="A50.710">'MQ-SUPER'!$E$3736</definedName>
    <definedName name="A50.711">'MQ-SUPER'!$E$3783</definedName>
    <definedName name="A50.712">'MQ-SUPER'!$E$3326</definedName>
    <definedName name="A50.713">'MQ-SUPER'!$E$3369</definedName>
    <definedName name="A50.714">'MQ-SUPER'!$E$3416</definedName>
    <definedName name="A50.800.TOTAL">'MQ-INFRA'!$J$1100</definedName>
    <definedName name="A50.801">'MQ-INFRA'!$E$6778</definedName>
    <definedName name="A50.802">'MQ-INFRA'!$E$6899</definedName>
    <definedName name="A50.803">'MQ-INFRA'!$E$6951</definedName>
    <definedName name="A50.804">'MQ-INFRA'!$E$7036</definedName>
    <definedName name="A60.100.TOTAL">'MQ-SUPER'!$J$46</definedName>
    <definedName name="A60.101">'MQ-SUPER'!$E$973</definedName>
    <definedName name="A60.200.TOTAL">'MQ-SUPER'!$J$177</definedName>
    <definedName name="A60.201">'MQ-SUPER'!$E$1056</definedName>
    <definedName name="A60.202">'MQ-SUPER'!$E$1137</definedName>
    <definedName name="A60.203">'MQ-SUPER'!$E$1258</definedName>
    <definedName name="A60.204">'MQ-SUPER'!$E$1299</definedName>
    <definedName name="A60.205">'MQ-SUPER'!$E$1352</definedName>
    <definedName name="A60.206">'MQ-SUPER'!$E$1404</definedName>
    <definedName name="A60.208">'MQ-SUPER'!$E$1578</definedName>
    <definedName name="A60.209">'MQ-SUPER'!$E$1616</definedName>
    <definedName name="A60.300.TOTAL">'MQ-SUPER'!$J$321</definedName>
    <definedName name="A60.301">'MQ-SUPER'!$E$3117</definedName>
    <definedName name="A60.400.TOTAL">'MQ-INFRA'!$J$206</definedName>
    <definedName name="A60.401">'MQ-INFRA'!$E$2211</definedName>
    <definedName name="A60.500.TOTAL">'MQ-INFRA'!$J$572</definedName>
    <definedName name="A60.504">'MQ-INFRA'!$E$2721</definedName>
    <definedName name="A60.505">'MQ-INFRA'!$E$3264</definedName>
    <definedName name="A60.600.TOTAL">'MQ-INFRA'!$J$842</definedName>
    <definedName name="A60.601">'MQ-INFRA'!$E$6691</definedName>
    <definedName name="A60.700.TOTAL">'MQ-SUPER'!$J$574</definedName>
    <definedName name="A60.701">'MQ-SUPER'!$E$3197</definedName>
    <definedName name="A60.707">'MQ-SUPER'!$E$3618</definedName>
    <definedName name="A60.711">'MQ-SUPER'!$E$3784</definedName>
    <definedName name="A60.712">'MQ-SUPER'!#REF!</definedName>
    <definedName name="A60.800.TOTAL">'MQ-INFRA'!#REF!</definedName>
    <definedName name="_xlnm.Print_Area" localSheetId="0">CAPA!$A$1:$R$57</definedName>
    <definedName name="_xlnm.Print_Area" localSheetId="1">ÍNDICE!$B$2:$K$50</definedName>
    <definedName name="_xlnm.Print_Area" localSheetId="3">'MQ-INFRA'!$B$2:$J$7406</definedName>
    <definedName name="_xlnm.Print_Area" localSheetId="4">'MQ-SUPER'!$B$2:$J$3786</definedName>
    <definedName name="_xlnm.Print_Area" localSheetId="2">'Pág 2'!$B$2:$K$45</definedName>
    <definedName name="_xlnm.Print_Area" localSheetId="5">'PSQ-INFRA'!$B$2:$E$247</definedName>
    <definedName name="_xlnm.Print_Area" localSheetId="6">'PSQ-SUPER'!$B$2:$E$167</definedName>
    <definedName name="ARG.300.TOTAL">'MQ-SUPER'!$J$433</definedName>
    <definedName name="ARG.301">'MQ-SUPER'!$E$2857</definedName>
    <definedName name="BC.300.TOTAL">'MQ-SUPER'!$J$497</definedName>
    <definedName name="BC.301">'MQ-SUPER'!$E$2855</definedName>
    <definedName name="BE.300.TOTAL">'MQ-SUPER'!$J$481</definedName>
    <definedName name="BE.301">'MQ-SUPER'!$E$2861</definedName>
    <definedName name="C.100.TOTAL">'MQ-SUPER'!$J$62</definedName>
    <definedName name="C.101">'MQ-SUPER'!$E$902</definedName>
    <definedName name="C.200.TOTAL">'MQ-SUPER'!$J$200</definedName>
    <definedName name="C.201">'MQ-SUPER'!$E$1037</definedName>
    <definedName name="C.202">'MQ-SUPER'!$E$1118</definedName>
    <definedName name="C.203">'MQ-SUPER'!$E$1231</definedName>
    <definedName name="C.204">'MQ-SUPER'!$E$1288</definedName>
    <definedName name="C.205">'MQ-SUPER'!$E$1335</definedName>
    <definedName name="C.206">'MQ-SUPER'!$E$1385</definedName>
    <definedName name="C.207">'MQ-SUPER'!$E$1461</definedName>
    <definedName name="C.208">'MQ-SUPER'!$E$1551</definedName>
    <definedName name="C.209">'MQ-SUPER'!$E$1605</definedName>
    <definedName name="C.300.TOTAL">'MQ-SUPER'!$J$337</definedName>
    <definedName name="C.301">'MQ-SUPER'!$E$2856</definedName>
    <definedName name="C.400.TOTAL">'MQ-INFRA'!$J$222</definedName>
    <definedName name="C.401">'MQ-INFRA'!$E$2183</definedName>
    <definedName name="C.500.TOTAL">'MQ-INFRA'!$J$589</definedName>
    <definedName name="C.501">'MQ-INFRA'!$E$2284</definedName>
    <definedName name="C.502">'MQ-INFRA'!$E$2333</definedName>
    <definedName name="C.503">'MQ-INFRA'!$E$2514</definedName>
    <definedName name="C.504">'MQ-INFRA'!$E$2705</definedName>
    <definedName name="C.505">'MQ-INFRA'!$E$3241</definedName>
    <definedName name="C.506">'MQ-INFRA'!$E$3368</definedName>
    <definedName name="C.507">'MQ-INFRA'!$E$3578</definedName>
    <definedName name="C.508">'MQ-INFRA'!$E$3661</definedName>
    <definedName name="C.509">'MQ-INFRA'!$E$4141</definedName>
    <definedName name="C.510">'MQ-INFRA'!$E$4445</definedName>
    <definedName name="C.511">'MQ-INFRA'!$E$4535</definedName>
    <definedName name="C.600.TOTAL">'MQ-INFRA'!$J$858</definedName>
    <definedName name="C.601">'MQ-INFRA'!$E$6588</definedName>
    <definedName name="C.700.TOTAL">'MQ-SUPER'!$J$608</definedName>
    <definedName name="C.701">'MQ-SUPER'!$E$3173</definedName>
    <definedName name="C.702">'MQ-SUPER'!$E$3220</definedName>
    <definedName name="C.703">'MQ-SUPER'!$E$3268</definedName>
    <definedName name="C.704">'MQ-SUPER'!$E$3430</definedName>
    <definedName name="C.705">'MQ-SUPER'!$E$3466</definedName>
    <definedName name="C.706">'MQ-SUPER'!$E$3513</definedName>
    <definedName name="C.707">'MQ-SUPER'!$E$3595</definedName>
    <definedName name="C.708">'MQ-SUPER'!$E$3660</definedName>
    <definedName name="C.709">'MQ-SUPER'!$E$3700</definedName>
    <definedName name="C.710">'MQ-SUPER'!$E$3725</definedName>
    <definedName name="C.711">'MQ-SUPER'!$E$3769</definedName>
    <definedName name="C.712">'MQ-SUPER'!$E$3315</definedName>
    <definedName name="C.713">'MQ-SUPER'!$E$3358</definedName>
    <definedName name="C.714">'MQ-SUPER'!$E$3405</definedName>
    <definedName name="C.800.TOTAL">'MQ-INFRA'!$J$1119</definedName>
    <definedName name="C.801">'MQ-INFRA'!$E$6766</definedName>
    <definedName name="C.802">'MQ-INFRA'!$E$6885</definedName>
    <definedName name="C.804">'MQ-INFRA'!$E$7024</definedName>
    <definedName name="E25.400.TOTAL">'MQ-INFRA'!$J$62</definedName>
    <definedName name="E25.401">'MQ-INFRA'!$D$2186</definedName>
    <definedName name="E25.500.TOTAL">'MQ-INFRA'!$J$319</definedName>
    <definedName name="E25.503">'MQ-INFRA'!$D$2517</definedName>
    <definedName name="E25.504">'MQ-INFRA'!$D$2708</definedName>
    <definedName name="E25.505">'MQ-INFRA'!$D$3244</definedName>
    <definedName name="E25.506">'MQ-INFRA'!$D$3371</definedName>
    <definedName name="E25.508">'MQ-INFRA'!$D$3665</definedName>
    <definedName name="E25.509">'MQ-INFRA'!$D$4144</definedName>
    <definedName name="E25.511">'MQ-INFRA'!$D$4538</definedName>
    <definedName name="E25.800.TOTAL">'MQ-INFRA'!$J$964</definedName>
    <definedName name="E25.801">'MQ-INFRA'!$D$6769</definedName>
    <definedName name="E25.804">'MQ-INFRA'!$D$7027</definedName>
    <definedName name="E30.500.TOTAL">'MQ-INFRA'!$J$341</definedName>
    <definedName name="E30.502">'MQ-INFRA'!$D$2336</definedName>
    <definedName name="E30.509">'MQ-INFRA'!$D$4145</definedName>
    <definedName name="E30.800.TOTAL">'MQ-INFRA'!$J$981</definedName>
    <definedName name="E30.802">'MQ-INFRA'!$D$6888</definedName>
    <definedName name="E35.400.TOTAL">'MQ-INFRA'!$J$78</definedName>
    <definedName name="E35.401">'MQ-INFRA'!$D$2187</definedName>
    <definedName name="E35.500.TOTAL">'MQ-INFRA'!$J$358</definedName>
    <definedName name="E35.509">'MQ-INFRA'!$D$4146</definedName>
    <definedName name="E35.510">'MQ-INFRA'!$D$4449</definedName>
    <definedName name="E35.600.TOTAL">'MQ-INFRA'!$J$666</definedName>
    <definedName name="E35.601">'MQ-INFRA'!$D$6591</definedName>
    <definedName name="E35.800.TOTAL">'MQ-INFRA'!$J$997</definedName>
    <definedName name="E35.802">'MQ-INFRA'!$D$6889</definedName>
    <definedName name="E35.803">'MQ-INFRA'!$D$6942</definedName>
    <definedName name="E40.400.TOTAL">'MQ-INFRA'!$J$94</definedName>
    <definedName name="E40.401">'MQ-INFRA'!$D$2188</definedName>
    <definedName name="E40.500.TOTAL">'MQ-INFRA'!$J$375</definedName>
    <definedName name="E40.507">'MQ-INFRA'!$D$3582</definedName>
    <definedName name="E40.600.TOTAL">'MQ-INFRA'!$J$682</definedName>
    <definedName name="E40.601">'MQ-INFRA'!$D$6592</definedName>
    <definedName name="E50.507">'MQ-INFRA'!$D$3582</definedName>
    <definedName name="E60.600.TOTAL">'MQ-INFRA'!$J$698</definedName>
    <definedName name="E60.601">'MQ-INFRA'!$D$6593</definedName>
    <definedName name="E70.600.TOTAL">'MQ-INFRA'!$J$714</definedName>
    <definedName name="E70.601">'MQ-INFRA'!$D$6594</definedName>
    <definedName name="EE60.500.TOTAL">'MQ-INFRA'!$J$391</definedName>
    <definedName name="EE60.510">'MQ-INFRA'!$D$4450</definedName>
    <definedName name="EM.400.TOTAL">'MQ-INFRA'!$J$14</definedName>
    <definedName name="EM.401">'MQ-INFRA'!$E$2177</definedName>
    <definedName name="EM.500.TOTAL">'MQ-INFRA'!$J$241</definedName>
    <definedName name="EM.501">'MQ-INFRA'!$E$2278</definedName>
    <definedName name="EM.502">'MQ-INFRA'!$E$2327</definedName>
    <definedName name="EM.503">'MQ-INFRA'!$E$2508</definedName>
    <definedName name="EM.504">'MQ-INFRA'!$E$2699</definedName>
    <definedName name="EM.505">'MQ-INFRA'!$E$3235</definedName>
    <definedName name="EM.506">'MQ-INFRA'!$E$3362</definedName>
    <definedName name="EM.507">'MQ-INFRA'!$E$3572</definedName>
    <definedName name="EM.508">'MQ-INFRA'!$E$3655</definedName>
    <definedName name="EM.509">'MQ-INFRA'!$E$4135</definedName>
    <definedName name="EM.510">'MQ-INFRA'!$E$4439</definedName>
    <definedName name="EM.511">'MQ-INFRA'!$E$4529</definedName>
    <definedName name="EM.600.TOTAL">'MQ-INFRA'!$J$618</definedName>
    <definedName name="EM.601">'MQ-INFRA'!$E$6582</definedName>
    <definedName name="EM.800.TOTAL">'MQ-INFRA'!$J$877</definedName>
    <definedName name="EM.801">'MQ-INFRA'!$E$6760</definedName>
    <definedName name="EM.802">'MQ-INFRA'!$E$6879</definedName>
    <definedName name="EM.803">'MQ-INFRA'!$E$6936</definedName>
    <definedName name="EM.804">'MQ-INFRA'!$E$7018</definedName>
    <definedName name="EM.805">'MQ-INFRA'!$E$7065</definedName>
    <definedName name="EM.806">'MQ-INFRA'!$E$7096</definedName>
    <definedName name="EM.807">'MQ-INFRA'!$E$7129</definedName>
    <definedName name="EM.808">'MQ-INFRA'!$E$7183</definedName>
    <definedName name="EM.809">'MQ-INFRA'!$E$7216</definedName>
    <definedName name="EM.810">'MQ-INFRA'!$E$7251</definedName>
    <definedName name="EM.811">'MQ-INFRA'!$E$7286</definedName>
    <definedName name="EM.812">'MQ-INFRA'!$E$7320</definedName>
    <definedName name="EM.813">'MQ-INFRA'!$E$7354</definedName>
    <definedName name="EM.814">'MQ-INFRA'!$E$7388</definedName>
    <definedName name="F.100.TOTAL">'MQ-SUPER'!$J$14</definedName>
    <definedName name="F.101">'MQ-SUPER'!$E$901</definedName>
    <definedName name="F.200.TOTAL">'MQ-SUPER'!$J$129</definedName>
    <definedName name="F.201">'MQ-SUPER'!$E$1036</definedName>
    <definedName name="F.202">'MQ-SUPER'!$E$1117</definedName>
    <definedName name="F.203">'MQ-SUPER'!$E$1230</definedName>
    <definedName name="F.204">'MQ-SUPER'!$E$1287</definedName>
    <definedName name="F.205">'MQ-SUPER'!$E$1334</definedName>
    <definedName name="F.206">'MQ-SUPER'!$E$1384</definedName>
    <definedName name="F.207">'MQ-SUPER'!$E$1460</definedName>
    <definedName name="F.208">'MQ-SUPER'!$E$1550</definedName>
    <definedName name="F.209">'MQ-SUPER'!$E$1603</definedName>
    <definedName name="F.300.TOTAL">'MQ-SUPER'!$J$289</definedName>
    <definedName name="F.301">'MQ-SUPER'!$E$2854</definedName>
    <definedName name="F.400.TOTAL">'MQ-INFRA'!$J$174</definedName>
    <definedName name="F.401">'MQ-INFRA'!$E$2182</definedName>
    <definedName name="F.500.TOTAL">'MQ-INFRA'!$J$521</definedName>
    <definedName name="F.501">'MQ-INFRA'!$E$2283</definedName>
    <definedName name="F.502">'MQ-INFRA'!$E$2332</definedName>
    <definedName name="F.503">'MQ-INFRA'!$E$2513</definedName>
    <definedName name="F.504">'MQ-INFRA'!$E$2704</definedName>
    <definedName name="F.505">'MQ-INFRA'!$E$3240</definedName>
    <definedName name="F.506">'MQ-INFRA'!$E$3367</definedName>
    <definedName name="F.507">'MQ-INFRA'!$E$3577</definedName>
    <definedName name="F.508">'MQ-INFRA'!$E$3660</definedName>
    <definedName name="F.509">'MQ-INFRA'!$E$4140</definedName>
    <definedName name="F.510">'MQ-INFRA'!$E$4444</definedName>
    <definedName name="F.511">'MQ-INFRA'!$E$4534</definedName>
    <definedName name="F.600.TOTAL">'MQ-INFRA'!$J$810</definedName>
    <definedName name="F.601">'MQ-INFRA'!$E$6587</definedName>
    <definedName name="F.700.TOTAL">'MQ-SUPER'!$J$516</definedName>
    <definedName name="F.701">'MQ-SUPER'!$E$3172</definedName>
    <definedName name="F.702">'MQ-SUPER'!$E$3219</definedName>
    <definedName name="F.703">'MQ-SUPER'!$E$3267</definedName>
    <definedName name="F.704">'MQ-SUPER'!$E$3429</definedName>
    <definedName name="F.705">'MQ-SUPER'!$E$3465</definedName>
    <definedName name="F.706">'MQ-SUPER'!$E$3512</definedName>
    <definedName name="F.707">'MQ-SUPER'!$E$3594</definedName>
    <definedName name="F.708">'MQ-SUPER'!$E$3659</definedName>
    <definedName name="F.709">'MQ-SUPER'!$E$3699</definedName>
    <definedName name="F.710">'MQ-SUPER'!$E$3724</definedName>
    <definedName name="F.711">'MQ-SUPER'!$E$3767</definedName>
    <definedName name="F.712">'MQ-SUPER'!$E$3314</definedName>
    <definedName name="F.713">'MQ-SUPER'!$E$3357</definedName>
    <definedName name="F.714">'MQ-SUPER'!$E$3404</definedName>
    <definedName name="F.800.TOTAL">'MQ-INFRA'!$J$1082</definedName>
    <definedName name="F.801">'MQ-INFRA'!$E$6765</definedName>
    <definedName name="F.802">'MQ-INFRA'!$E$6884</definedName>
    <definedName name="F.804">'MQ-INFRA'!$E$7023</definedName>
    <definedName name="FA.300.TOTAL">'MQ-SUPER'!$J$417</definedName>
    <definedName name="FA.301">'MQ-SUPER'!$E$2859</definedName>
    <definedName name="G.300.TOTAL">'MQ-SUPER'!$J$465</definedName>
    <definedName name="G.301">'MQ-SUPER'!$E$2860</definedName>
    <definedName name="JD.300.TOTAL">'MQ-SUPER'!$J$353</definedName>
    <definedName name="JD.301">'MQ-SUPER'!$E$2862</definedName>
    <definedName name="JE.100.TOTAL">'MQ-SUPER'!$J$78</definedName>
    <definedName name="JE.101">'MQ-SUPER'!$E$905</definedName>
    <definedName name="JE.200.TOTAL">'MQ-SUPER'!$J$246</definedName>
    <definedName name="JE.201">'MQ-SUPER'!$E$1039</definedName>
    <definedName name="JE.202">'MQ-SUPER'!$E$1120</definedName>
    <definedName name="JE.203">'MQ-SUPER'!$E$1233</definedName>
    <definedName name="JE.205">'MQ-SUPER'!$E$1337</definedName>
    <definedName name="JE.206">'MQ-SUPER'!$E$1387</definedName>
    <definedName name="JE.208">'MQ-SUPER'!$E$1553</definedName>
    <definedName name="JE.300.TOTAL">'MQ-SUPER'!$J$369</definedName>
    <definedName name="JE.301">'MQ-SUPER'!$E$2863</definedName>
    <definedName name="JE.700.TOTAL">'MQ-SUPER'!$J$637</definedName>
    <definedName name="JE.701">'MQ-SUPER'!$E$3175</definedName>
    <definedName name="JR.300.TOTAL">'MQ-SUPER'!$J$385</definedName>
    <definedName name="JR.301">'MQ-SUPER'!$E$2864</definedName>
    <definedName name="JS.100.TOTAL">'MQ-SUPER'!$J$94</definedName>
    <definedName name="JS.101">'MQ-SUPER'!$E$906</definedName>
    <definedName name="JS.200.TOTAL">'MQ-SUPER'!$J$267</definedName>
    <definedName name="JS.201">'MQ-SUPER'!$E$1040</definedName>
    <definedName name="JS.202">'MQ-SUPER'!$E$1121</definedName>
    <definedName name="JS.203">'MQ-SUPER'!$E$1234</definedName>
    <definedName name="JS.206">'MQ-SUPER'!$E$1388</definedName>
    <definedName name="JS.300.TOTAL">'MQ-SUPER'!$J$401</definedName>
    <definedName name="JS.301">'MQ-SUPER'!$E$2865</definedName>
    <definedName name="LC.100.TOTAL">'MQ-SUPER'!$J$110</definedName>
    <definedName name="LC.101">'MQ-SUPER'!$E$903</definedName>
    <definedName name="LC.200.TOTAL">'MQ-SUPER'!$J$224</definedName>
    <definedName name="LC.201">'MQ-SUPER'!$E$1038</definedName>
    <definedName name="LC.202">'MQ-SUPER'!$E$1119</definedName>
    <definedName name="LC.203">'MQ-SUPER'!$E$1232</definedName>
    <definedName name="LC.205">'MQ-SUPER'!$E$1336</definedName>
    <definedName name="LC.206">'MQ-SUPER'!$E$1386</definedName>
    <definedName name="LC.207">'MQ-SUPER'!$E$1462</definedName>
    <definedName name="LC.208">'MQ-SUPER'!$E$1552</definedName>
    <definedName name="LC.300.TOTAL">'MQ-SUPER'!$J$449</definedName>
    <definedName name="LC.301">'MQ-SUPER'!$E$2858</definedName>
    <definedName name="LC.400.TOTAL">'MQ-INFRA'!$J$158</definedName>
    <definedName name="LC.401">'MQ-INFRA'!$E$2181</definedName>
    <definedName name="LC.500.TOTAL">'MQ-INFRA'!$J$495</definedName>
    <definedName name="LC.501">'MQ-INFRA'!$E$2282</definedName>
    <definedName name="LC.502">'MQ-INFRA'!$E$2331</definedName>
    <definedName name="LC.503">'MQ-INFRA'!$E$2512</definedName>
    <definedName name="LC.504">'MQ-INFRA'!$E$2703</definedName>
    <definedName name="LC.505">'MQ-INFRA'!$E$3239</definedName>
    <definedName name="LC.506">'MQ-INFRA'!$E$3366</definedName>
    <definedName name="LC.507">'MQ-INFRA'!$E$3576</definedName>
    <definedName name="LC.508">'MQ-INFRA'!$E$3659</definedName>
    <definedName name="LC.509">'MQ-INFRA'!$E$4139</definedName>
    <definedName name="LC.510">'MQ-INFRA'!$E$4443</definedName>
    <definedName name="LC.511">'MQ-INFRA'!$E$4533</definedName>
    <definedName name="LC.600.TOTAL">'MQ-INFRA'!$J$794</definedName>
    <definedName name="LC.601">'MQ-INFRA'!$E$6586</definedName>
    <definedName name="LC.700.TOTAL">'MQ-SUPER'!$J$653</definedName>
    <definedName name="LC.701">'MQ-SUPER'!$E$3174</definedName>
    <definedName name="LC.702">'MQ-SUPER'!$E$3221</definedName>
    <definedName name="LC.703">'MQ-SUPER'!$E$3269</definedName>
    <definedName name="LC.704">'MQ-SUPER'!$E$3431</definedName>
    <definedName name="LC.705">'MQ-SUPER'!$E$3467</definedName>
    <definedName name="LC.706">'MQ-SUPER'!$E$3514</definedName>
    <definedName name="LC.707">'MQ-SUPER'!$E$3596</definedName>
    <definedName name="LC.708">'MQ-SUPER'!$E$3661</definedName>
    <definedName name="LC.709">'MQ-SUPER'!$E$3701</definedName>
    <definedName name="LC.710">'MQ-SUPER'!$E$3726</definedName>
    <definedName name="LC.712">'MQ-SUPER'!$E$3316</definedName>
    <definedName name="LC.713">'MQ-SUPER'!$E$3359</definedName>
    <definedName name="LC.714">'MQ-SUPER'!$E$3406</definedName>
    <definedName name="LC.800.TOTAL">'MQ-INFRA'!$J$1064</definedName>
    <definedName name="LC.801">'MQ-INFRA'!$E$6764</definedName>
    <definedName name="LC.802">'MQ-INFRA'!$E$6883</definedName>
    <definedName name="LC.804">'MQ-INFRA'!$E$7022</definedName>
    <definedName name="QE25.400.TOTAL">'MQ-INFRA'!$J$110</definedName>
    <definedName name="QE25.401">'MQ-INFRA'!$E$2186</definedName>
    <definedName name="QE25.500.TOTAL">'MQ-INFRA'!$J$407</definedName>
    <definedName name="QE25.503">'MQ-INFRA'!$E$2517</definedName>
    <definedName name="QE25.504">'MQ-INFRA'!$E$2708</definedName>
    <definedName name="QE25.505">'MQ-INFRA'!$E$3244</definedName>
    <definedName name="QE25.506">'MQ-INFRA'!$E$3371</definedName>
    <definedName name="QE25.508">'MQ-INFRA'!$E$3665</definedName>
    <definedName name="QE25.509">'MQ-INFRA'!$E$4144</definedName>
    <definedName name="QE25.511">'MQ-INFRA'!$E$4538</definedName>
    <definedName name="QE25.800.TOTAL">'MQ-INFRA'!$J$1014</definedName>
    <definedName name="QE25.801">'MQ-INFRA'!$E$6769</definedName>
    <definedName name="QE25.804">'MQ-INFRA'!$E$7027</definedName>
    <definedName name="QE30.500.TOTAL">'MQ-INFRA'!$J$429</definedName>
    <definedName name="QE30.502">'MQ-INFRA'!$E$2336</definedName>
    <definedName name="QE30.509">'MQ-INFRA'!$E$4145</definedName>
    <definedName name="QE30.800.TOTAL">'MQ-INFRA'!$J$1031</definedName>
    <definedName name="QE30.802">'MQ-INFRA'!$E$6888</definedName>
    <definedName name="QE35.400.TOTAL">'MQ-INFRA'!$J$126</definedName>
    <definedName name="QE35.401">'MQ-INFRA'!$E$2187</definedName>
    <definedName name="QE35.500.TOTAL">'MQ-INFRA'!$J$446</definedName>
    <definedName name="QE35.509">'MQ-INFRA'!$E$4146</definedName>
    <definedName name="QE35.510">'MQ-INFRA'!$E$4449</definedName>
    <definedName name="QE35.600.TOTAL">'MQ-INFRA'!$J$730</definedName>
    <definedName name="QE35.601">'MQ-INFRA'!$E$6591</definedName>
    <definedName name="QE35.800.TOTAL">'MQ-INFRA'!$J$1047</definedName>
    <definedName name="QE35.802">'MQ-INFRA'!$E$6889</definedName>
    <definedName name="QE35.803">'MQ-INFRA'!$E$6942</definedName>
    <definedName name="QE40.400.TOTAL">'MQ-INFRA'!$J$142</definedName>
    <definedName name="QE40.401">'MQ-INFRA'!$E$2188</definedName>
    <definedName name="QE40.500.TOTAL">'MQ-INFRA'!$J$463</definedName>
    <definedName name="QE40.507">'MQ-INFRA'!$E$3582</definedName>
    <definedName name="QE40.600.TOTAL">'MQ-INFRA'!$J$746</definedName>
    <definedName name="QE40.601">'MQ-INFRA'!$E$6592</definedName>
    <definedName name="QE60.500.TOTAL">'MQ-INFRA'!$J$479</definedName>
    <definedName name="QE60.510">'MQ-INFRA'!$E$4450</definedName>
    <definedName name="QE60.600.TOTAL">'MQ-INFRA'!$J$762</definedName>
    <definedName name="QE60.601">'MQ-INFRA'!$E$6593</definedName>
    <definedName name="QE70.600.TOTAL">'MQ-INFRA'!$J$778</definedName>
    <definedName name="QE70.601">'MQ-INFRA'!$E$6594</definedName>
    <definedName name="R.400.TOTAL">'MQ-INFRA'!$J$46</definedName>
    <definedName name="R.401">'MQ-INFRA'!$E$2178</definedName>
    <definedName name="R.500.TOTAL">'MQ-INFRA'!$J$293</definedName>
    <definedName name="R.501">'MQ-INFRA'!$E$2279</definedName>
    <definedName name="R.502">'MQ-INFRA'!$E$2328</definedName>
    <definedName name="R.503">'MQ-INFRA'!$E$2509</definedName>
    <definedName name="R.504">'MQ-INFRA'!$E$2700</definedName>
    <definedName name="R.505">'MQ-INFRA'!$E$3236</definedName>
    <definedName name="R.506">'MQ-INFRA'!$E$3363</definedName>
    <definedName name="R.507">'MQ-INFRA'!$E$3573</definedName>
    <definedName name="R.508">'MQ-INFRA'!$E$3656</definedName>
    <definedName name="R.509">'MQ-INFRA'!$E$4136</definedName>
    <definedName name="R.510">'MQ-INFRA'!$E$4440</definedName>
    <definedName name="R.511">'MQ-INFRA'!$E$4530</definedName>
    <definedName name="R.600.TOTAL">'MQ-INFRA'!$J$650</definedName>
    <definedName name="R.601">'MQ-INFRA'!$E$6583</definedName>
    <definedName name="R.800.TOTAL">'MQ-INFRA'!$J$906</definedName>
    <definedName name="R.801">'MQ-INFRA'!$E$6761</definedName>
    <definedName name="R.802">'MQ-INFRA'!$E$6880</definedName>
    <definedName name="R.803">'MQ-INFRA'!$E$6937</definedName>
    <definedName name="R.804">'MQ-INFRA'!$E$7019</definedName>
    <definedName name="R.805">'MQ-INFRA'!$E$7066</definedName>
    <definedName name="R.806">'MQ-INFRA'!$E$7097</definedName>
    <definedName name="R.807">'MQ-INFRA'!$E$7130</definedName>
    <definedName name="R.808">'MQ-INFRA'!$E$7184</definedName>
    <definedName name="R.809">'MQ-INFRA'!$E$7217</definedName>
    <definedName name="R.810">'MQ-INFRA'!$E$7252</definedName>
    <definedName name="R.811">'MQ-INFRA'!$E$7287</definedName>
    <definedName name="R.812">'MQ-INFRA'!$E$7321</definedName>
    <definedName name="R.813">'MQ-INFRA'!$E$7355</definedName>
    <definedName name="R.814">'MQ-INFRA'!$E$7389</definedName>
    <definedName name="RA.400.TOTAL">'MQ-INFRA'!$J$30</definedName>
    <definedName name="RA.401">'MQ-INFRA'!$E$2179</definedName>
    <definedName name="RA.500.TOTAL">'MQ-INFRA'!$J$267</definedName>
    <definedName name="RA.501">'MQ-INFRA'!$E$2280</definedName>
    <definedName name="RA.502">'MQ-INFRA'!$E$2329</definedName>
    <definedName name="RA.503">'MQ-INFRA'!$E$2510</definedName>
    <definedName name="RA.504">'MQ-INFRA'!$E$2701</definedName>
    <definedName name="RA.505">'MQ-INFRA'!$E$3237</definedName>
    <definedName name="RA.506">'MQ-INFRA'!$E$3364</definedName>
    <definedName name="RA.507">'MQ-INFRA'!$E$3574</definedName>
    <definedName name="RA.508">'MQ-INFRA'!$E$3657</definedName>
    <definedName name="RA.509">'MQ-INFRA'!$E$4137</definedName>
    <definedName name="RA.510">'MQ-INFRA'!$E$4441</definedName>
    <definedName name="RA.511">'MQ-INFRA'!$E$4531</definedName>
    <definedName name="RA.600.TOTAL">'MQ-INFRA'!$J$634</definedName>
    <definedName name="RA.601">'MQ-INFRA'!$E$6584</definedName>
    <definedName name="RA.800.TOTAL">'MQ-INFRA'!$J$935</definedName>
    <definedName name="RA.801">'MQ-INFRA'!$E$6741</definedName>
    <definedName name="RA.802">'MQ-INFRA'!$E$6881</definedName>
    <definedName name="RA.803">'MQ-INFRA'!$E$6938</definedName>
    <definedName name="RA.804">'MQ-INFRA'!$E$7020</definedName>
    <definedName name="RA.805">'MQ-INFRA'!$E$7067</definedName>
    <definedName name="RA.806">'MQ-INFRA'!$E$7098</definedName>
    <definedName name="RA.807">'MQ-INFRA'!$E$7131</definedName>
    <definedName name="RA.808">'MQ-INFRA'!$E$7185</definedName>
    <definedName name="RA.809">'MQ-INFRA'!$E$7218</definedName>
    <definedName name="RA.810">'MQ-INFRA'!$E$7253</definedName>
    <definedName name="RA.811">'MQ-INFRA'!$E$7288</definedName>
    <definedName name="RA.812">'MQ-INFRA'!$E$7322</definedName>
    <definedName name="RA.813">'MQ-INFRA'!$E$7356</definedName>
    <definedName name="RA.814">'MQ-INFRA'!$E$7390</definedName>
    <definedName name="RC.401">'MQ-INFRA'!$E$2178</definedName>
    <definedName name="TIT.101">'MQ-SUPER'!$B$693</definedName>
    <definedName name="TIT.201">'MQ-SUPER'!$B$977</definedName>
    <definedName name="TIT.202">'MQ-SUPER'!$B$1059</definedName>
    <definedName name="TIT.203">'MQ-SUPER'!$B$1140</definedName>
    <definedName name="TIT.204">'MQ-SUPER'!$B$1261</definedName>
    <definedName name="TIT.205">'MQ-SUPER'!$B$1301</definedName>
    <definedName name="TIT.206">'MQ-SUPER'!$B$1355</definedName>
    <definedName name="TIT.207">'MQ-SUPER'!$B$1406</definedName>
    <definedName name="TIT.208">'MQ-SUPER'!$B$1476</definedName>
    <definedName name="TIT.209">'MQ-SUPER'!$B$1580</definedName>
    <definedName name="TIT.301">'MQ-SUPER'!$B$1620</definedName>
    <definedName name="TIT.401">'MQ-INFRA'!$B$1136</definedName>
    <definedName name="TIT.501">'MQ-INFRA'!$B$2215</definedName>
    <definedName name="TIT.502">'MQ-INFRA'!$B$2288</definedName>
    <definedName name="TIT.503">'MQ-INFRA'!$B$2349</definedName>
    <definedName name="TIT.504">'MQ-INFRA'!$B$2527</definedName>
    <definedName name="TIT.505">'MQ-INFRA'!$B$2724</definedName>
    <definedName name="TIT.506">'MQ-INFRA'!$B$3267</definedName>
    <definedName name="TIT.507">'MQ-INFRA'!$B$3382</definedName>
    <definedName name="TIT.508">'MQ-INFRA'!$B$3592</definedName>
    <definedName name="TIT.509">'MQ-INFRA'!$B$3675</definedName>
    <definedName name="TIT.510">'MQ-INFRA'!$B$4164</definedName>
    <definedName name="TIT.511">'MQ-INFRA'!$B$4465</definedName>
    <definedName name="TIT.601">'MQ-INFRA'!$B$4552</definedName>
    <definedName name="TIT.602">'MQ-INFRA'!$B$6543</definedName>
    <definedName name="TIT.701">'MQ-SUPER'!$B$3122</definedName>
    <definedName name="TIT.702">'MQ-SUPER'!$B$3200</definedName>
    <definedName name="TIT.703">'MQ-SUPER'!$B$3236</definedName>
    <definedName name="TIT.704">'MQ-SUPER'!$B$3420</definedName>
    <definedName name="TIT.705">'MQ-SUPER'!$B$3444</definedName>
    <definedName name="TIT.706">'MQ-SUPER'!$B$3482</definedName>
    <definedName name="TIT.707">'MQ-SUPER'!$B$3527</definedName>
    <definedName name="TIT.708">'MQ-SUPER'!$B$3621</definedName>
    <definedName name="TIT.709">'MQ-SUPER'!$B$3675</definedName>
    <definedName name="TIT.710">'MQ-SUPER'!$B$3713</definedName>
    <definedName name="TIT.711">'MQ-SUPER'!$B$3739</definedName>
    <definedName name="TIT.712">'MQ-SUPER'!$B$3282</definedName>
    <definedName name="TIT.713">'MQ-SUPER'!$B$3329</definedName>
    <definedName name="TIT.714">'MQ-SUPER'!$B$3372</definedName>
    <definedName name="TIT.801">'MQ-INFRA'!$B$6696</definedName>
    <definedName name="TIT.802">'MQ-INFRA'!$B$6781</definedName>
    <definedName name="TIT.803">'MQ-INFRA'!$B$6903</definedName>
    <definedName name="TIT.804">'MQ-INFRA'!$B$6954</definedName>
    <definedName name="TIT.805">'MQ-INFRA'!$B$7040</definedName>
    <definedName name="TIT.806">'MQ-INFRA'!$B$7071</definedName>
    <definedName name="TIT.807">'MQ-INFRA'!$B$7101</definedName>
    <definedName name="TIT.808">'MQ-INFRA'!$B$7134</definedName>
    <definedName name="TIT.809">'MQ-INFRA'!$B$7187</definedName>
    <definedName name="TIT.810">'MQ-INFRA'!$B$7220</definedName>
    <definedName name="TIT.811">'MQ-INFRA'!$B$7256</definedName>
    <definedName name="TIT.812">'MQ-INFRA'!$B$7291</definedName>
    <definedName name="TIT.813">'MQ-INFRA'!$B$7325</definedName>
    <definedName name="TIT.814">'MQ-INFRA'!$B$7359</definedName>
    <definedName name="_xlnm.Print_Titles" localSheetId="1">ÍNDICE!$2:$7</definedName>
    <definedName name="_xlnm.Print_Titles" localSheetId="3">'MQ-INFRA'!$2:$7</definedName>
    <definedName name="_xlnm.Print_Titles" localSheetId="4">'MQ-SUPER'!$2:$7</definedName>
    <definedName name="_xlnm.Print_Titles" localSheetId="2">'Pág 2'!$2:$7</definedName>
    <definedName name="_xlnm.Print_Titles" localSheetId="5">'PSQ-INFRA'!$2:$8</definedName>
    <definedName name="_xlnm.Print_Titles" localSheetId="6">'PSQ-SUPER'!$2:$8</definedName>
  </definedNames>
  <calcPr calcId="125725"/>
</workbook>
</file>

<file path=xl/calcChain.xml><?xml version="1.0" encoding="utf-8"?>
<calcChain xmlns="http://schemas.openxmlformats.org/spreadsheetml/2006/main">
  <c r="E3117" i="8"/>
  <c r="E1577" l="1"/>
  <c r="E188" i="10"/>
  <c r="E126"/>
  <c r="E62"/>
  <c r="B866" i="9" l="1"/>
  <c r="B834"/>
  <c r="B818"/>
  <c r="B802"/>
  <c r="B738"/>
  <c r="B721"/>
  <c r="B674"/>
  <c r="B658"/>
  <c r="B642"/>
  <c r="B626"/>
  <c r="E6690" l="1"/>
  <c r="E6575"/>
  <c r="C6548" l="1"/>
  <c r="E6576" s="1"/>
  <c r="E6568"/>
  <c r="E6571" s="1"/>
  <c r="E6564"/>
  <c r="E6574" s="1"/>
  <c r="H6555"/>
  <c r="H6552"/>
  <c r="H6554" s="1"/>
  <c r="G6552"/>
  <c r="H6551"/>
  <c r="E6562" l="1"/>
  <c r="E6563" s="1"/>
  <c r="E88" i="1"/>
  <c r="E144"/>
  <c r="E54"/>
  <c r="E20"/>
  <c r="E6206" i="9" l="1"/>
  <c r="J6180"/>
  <c r="E6691"/>
  <c r="E2525" l="1"/>
  <c r="E2347"/>
  <c r="I3244" i="8" l="1"/>
  <c r="H3244"/>
  <c r="G3244"/>
  <c r="H3254"/>
  <c r="G3254"/>
  <c r="H3300"/>
  <c r="G3300"/>
  <c r="I3290"/>
  <c r="H3290"/>
  <c r="G3290"/>
  <c r="B672" l="1"/>
  <c r="B671"/>
  <c r="B670"/>
  <c r="B628"/>
  <c r="B627"/>
  <c r="B626"/>
  <c r="B565"/>
  <c r="B564"/>
  <c r="B563"/>
  <c r="B536"/>
  <c r="B535"/>
  <c r="B534"/>
  <c r="C3306"/>
  <c r="F3306" s="1"/>
  <c r="C3307"/>
  <c r="F3307" s="1"/>
  <c r="C3305"/>
  <c r="F3305" s="1"/>
  <c r="C3304"/>
  <c r="C3348"/>
  <c r="F3348" s="1"/>
  <c r="C3395"/>
  <c r="C3396" s="1"/>
  <c r="F3396" s="1"/>
  <c r="I3382"/>
  <c r="I3381"/>
  <c r="G3378"/>
  <c r="H3378"/>
  <c r="G3379"/>
  <c r="H3379"/>
  <c r="I3380"/>
  <c r="H3380"/>
  <c r="H3376"/>
  <c r="E3416"/>
  <c r="J565" s="1"/>
  <c r="E3326"/>
  <c r="J563" s="1"/>
  <c r="F3395"/>
  <c r="H3391"/>
  <c r="G3391"/>
  <c r="H3390"/>
  <c r="G3390"/>
  <c r="H3389"/>
  <c r="G3389"/>
  <c r="H3388"/>
  <c r="G3388"/>
  <c r="H3387"/>
  <c r="G3387"/>
  <c r="H3386"/>
  <c r="G3386"/>
  <c r="H3377"/>
  <c r="G3377"/>
  <c r="G3376"/>
  <c r="I3375"/>
  <c r="H3375"/>
  <c r="G3375"/>
  <c r="E3369"/>
  <c r="J564" s="1"/>
  <c r="H3341"/>
  <c r="G3341"/>
  <c r="H3340"/>
  <c r="G3340"/>
  <c r="H3339"/>
  <c r="G3339"/>
  <c r="H3338"/>
  <c r="G3338"/>
  <c r="I3333"/>
  <c r="H3333"/>
  <c r="G3333"/>
  <c r="I3332"/>
  <c r="H3332"/>
  <c r="G3332"/>
  <c r="F3304"/>
  <c r="H3299"/>
  <c r="G3299"/>
  <c r="H3298"/>
  <c r="G3298"/>
  <c r="H3297"/>
  <c r="G3297"/>
  <c r="H3296"/>
  <c r="G3296"/>
  <c r="H3295"/>
  <c r="G3295"/>
  <c r="H3294"/>
  <c r="G3294"/>
  <c r="H3293"/>
  <c r="G3293"/>
  <c r="I3289"/>
  <c r="H3288"/>
  <c r="G3288"/>
  <c r="H3287"/>
  <c r="G3287"/>
  <c r="I3286"/>
  <c r="H3286"/>
  <c r="G3286"/>
  <c r="I3285"/>
  <c r="H3285"/>
  <c r="G3285"/>
  <c r="B955" i="9"/>
  <c r="B954"/>
  <c r="B953"/>
  <c r="B926"/>
  <c r="B925"/>
  <c r="B924"/>
  <c r="B897"/>
  <c r="B896"/>
  <c r="B895"/>
  <c r="H7373"/>
  <c r="E7381" s="1"/>
  <c r="E7390" s="1"/>
  <c r="J955" s="1"/>
  <c r="H7372"/>
  <c r="H7367"/>
  <c r="H7365"/>
  <c r="H7364"/>
  <c r="H7339"/>
  <c r="E7347" s="1"/>
  <c r="E7356" s="1"/>
  <c r="J954" s="1"/>
  <c r="H7338"/>
  <c r="H7333"/>
  <c r="H7331"/>
  <c r="H7330"/>
  <c r="H7305"/>
  <c r="E7313" s="1"/>
  <c r="E7322" s="1"/>
  <c r="J953" s="1"/>
  <c r="H7304"/>
  <c r="H7299"/>
  <c r="H7297"/>
  <c r="H7296"/>
  <c r="C3258" i="8"/>
  <c r="E3258" s="1"/>
  <c r="I3243"/>
  <c r="G3239"/>
  <c r="G3242"/>
  <c r="H3242"/>
  <c r="D2787"/>
  <c r="E3406" l="1"/>
  <c r="J672" s="1"/>
  <c r="C3349"/>
  <c r="F3349" s="1"/>
  <c r="F3351" s="1"/>
  <c r="E3357" s="1"/>
  <c r="J535" s="1"/>
  <c r="E3307"/>
  <c r="F3308"/>
  <c r="E3314" s="1"/>
  <c r="J534" s="1"/>
  <c r="E3306"/>
  <c r="E3316"/>
  <c r="J670" s="1"/>
  <c r="F3398"/>
  <c r="E3404" s="1"/>
  <c r="J536" s="1"/>
  <c r="E3359"/>
  <c r="J671" s="1"/>
  <c r="E3396"/>
  <c r="E3395"/>
  <c r="E3348"/>
  <c r="E3305"/>
  <c r="E3304"/>
  <c r="H7301" i="9"/>
  <c r="H7334"/>
  <c r="H7368"/>
  <c r="H7369"/>
  <c r="H7335"/>
  <c r="H7300"/>
  <c r="H7366"/>
  <c r="H7332"/>
  <c r="H7298"/>
  <c r="E5" i="1"/>
  <c r="E5" i="10"/>
  <c r="J5" i="8"/>
  <c r="J5" i="9"/>
  <c r="J5" i="5"/>
  <c r="J5" i="6"/>
  <c r="B516" i="8"/>
  <c r="E3349" l="1"/>
  <c r="E3351" s="1"/>
  <c r="E3358" s="1"/>
  <c r="J627" s="1"/>
  <c r="H7302" i="9"/>
  <c r="H7303" s="1"/>
  <c r="E3308" i="8"/>
  <c r="E3315" s="1"/>
  <c r="J626" s="1"/>
  <c r="H7336" i="9"/>
  <c r="H7337" s="1"/>
  <c r="E7345" s="1"/>
  <c r="E7354" s="1"/>
  <c r="J896" s="1"/>
  <c r="H7370"/>
  <c r="H7371" s="1"/>
  <c r="E7379" s="1"/>
  <c r="E7388" s="1"/>
  <c r="J897" s="1"/>
  <c r="E3398" i="8"/>
  <c r="E3405" s="1"/>
  <c r="J628" s="1"/>
  <c r="E3197"/>
  <c r="E3196"/>
  <c r="E7311" i="9" l="1"/>
  <c r="E7320" s="1"/>
  <c r="J895" s="1"/>
  <c r="E7380"/>
  <c r="E7389" s="1"/>
  <c r="J926" s="1"/>
  <c r="E7346"/>
  <c r="E7355" s="1"/>
  <c r="J925" s="1"/>
  <c r="E7312"/>
  <c r="E7321" s="1"/>
  <c r="J924" s="1"/>
  <c r="F2205" i="8"/>
  <c r="F2201"/>
  <c r="H2202"/>
  <c r="G2202"/>
  <c r="H2200"/>
  <c r="F2199"/>
  <c r="F2195"/>
  <c r="F2191"/>
  <c r="F2190"/>
  <c r="F2189"/>
  <c r="F2188"/>
  <c r="G2200" l="1"/>
  <c r="B778" i="9"/>
  <c r="B762"/>
  <c r="B730"/>
  <c r="B714"/>
  <c r="B698"/>
  <c r="B666"/>
  <c r="E781"/>
  <c r="E765"/>
  <c r="H780"/>
  <c r="H764"/>
  <c r="H778"/>
  <c r="B776"/>
  <c r="D778" s="1"/>
  <c r="H762"/>
  <c r="B760"/>
  <c r="D762" s="1"/>
  <c r="B785"/>
  <c r="B769"/>
  <c r="E717"/>
  <c r="H716"/>
  <c r="H714"/>
  <c r="B712"/>
  <c r="D714" s="1"/>
  <c r="E701"/>
  <c r="H700"/>
  <c r="H684"/>
  <c r="H698"/>
  <c r="B696"/>
  <c r="D698" s="1"/>
  <c r="B705"/>
  <c r="E5624"/>
  <c r="E5549"/>
  <c r="E5508"/>
  <c r="E5365"/>
  <c r="E5323"/>
  <c r="C4908" l="1"/>
  <c r="B215" i="8"/>
  <c r="B214"/>
  <c r="B191"/>
  <c r="B190"/>
  <c r="B168"/>
  <c r="B167"/>
  <c r="B144"/>
  <c r="B606" i="9"/>
  <c r="B605"/>
  <c r="B580"/>
  <c r="B563"/>
  <c r="B562"/>
  <c r="B538"/>
  <c r="B537"/>
  <c r="B512"/>
  <c r="B511"/>
  <c r="B420"/>
  <c r="B419"/>
  <c r="B332"/>
  <c r="B331"/>
  <c r="B310"/>
  <c r="B309"/>
  <c r="B284"/>
  <c r="B283"/>
  <c r="B258"/>
  <c r="B257"/>
  <c r="E4547"/>
  <c r="J563" s="1"/>
  <c r="E4522"/>
  <c r="E4521"/>
  <c r="E4514"/>
  <c r="E4538" s="1"/>
  <c r="J420" s="1"/>
  <c r="E4510"/>
  <c r="E4520" s="1"/>
  <c r="H4498"/>
  <c r="H4495"/>
  <c r="H4497" s="1"/>
  <c r="G4495"/>
  <c r="H4494"/>
  <c r="C4472"/>
  <c r="E4487" s="1"/>
  <c r="E1616" i="8"/>
  <c r="J191" s="1"/>
  <c r="E1615"/>
  <c r="J168" s="1"/>
  <c r="D1598"/>
  <c r="G1598" s="1"/>
  <c r="G1599" s="1"/>
  <c r="H1594"/>
  <c r="G1594"/>
  <c r="H1593"/>
  <c r="G1593"/>
  <c r="H1592"/>
  <c r="G1592"/>
  <c r="H1591"/>
  <c r="G1591"/>
  <c r="H1587"/>
  <c r="G1587"/>
  <c r="H1586"/>
  <c r="G1586"/>
  <c r="H1585"/>
  <c r="G1585"/>
  <c r="H1584"/>
  <c r="G1584"/>
  <c r="H1595" l="1"/>
  <c r="E4534" i="9"/>
  <c r="J538" s="1"/>
  <c r="G1588" i="8"/>
  <c r="G1595"/>
  <c r="H1588"/>
  <c r="E4508" i="9"/>
  <c r="E4509" s="1"/>
  <c r="E4517"/>
  <c r="D4538" s="1"/>
  <c r="J332" s="1"/>
  <c r="E4488"/>
  <c r="E4535" s="1"/>
  <c r="J606" s="1"/>
  <c r="E4481"/>
  <c r="E4483"/>
  <c r="H1598" i="8"/>
  <c r="H1599" s="1"/>
  <c r="E1603" l="1"/>
  <c r="J144" s="1"/>
  <c r="E1605"/>
  <c r="J215" s="1"/>
  <c r="E4486" i="9"/>
  <c r="E4533" s="1"/>
  <c r="J512" s="1"/>
  <c r="E4531"/>
  <c r="J284" s="1"/>
  <c r="E4529"/>
  <c r="J258" s="1"/>
  <c r="E4482" l="1"/>
  <c r="E4530" s="1"/>
  <c r="J310" s="1"/>
  <c r="H2184" i="8"/>
  <c r="G2184"/>
  <c r="H1739"/>
  <c r="G1739"/>
  <c r="H1699"/>
  <c r="G1699"/>
  <c r="E5129" i="9"/>
  <c r="E5128"/>
  <c r="E5124"/>
  <c r="E5127" s="1"/>
  <c r="E5122"/>
  <c r="E5123" s="1"/>
  <c r="E5286"/>
  <c r="E5280"/>
  <c r="E5281" s="1"/>
  <c r="C4953"/>
  <c r="E4968" s="1"/>
  <c r="C5180"/>
  <c r="C4770"/>
  <c r="E1663"/>
  <c r="E1666" s="1"/>
  <c r="E4433"/>
  <c r="E4432"/>
  <c r="E4425"/>
  <c r="E4428" s="1"/>
  <c r="E4421"/>
  <c r="E4431" s="1"/>
  <c r="H4412"/>
  <c r="H4409"/>
  <c r="H4411" s="1"/>
  <c r="G4409"/>
  <c r="H4408"/>
  <c r="E4334"/>
  <c r="E4333"/>
  <c r="E4326"/>
  <c r="E4329" s="1"/>
  <c r="E4322"/>
  <c r="E4332" s="1"/>
  <c r="H4313"/>
  <c r="H4310"/>
  <c r="H4312" s="1"/>
  <c r="G4310"/>
  <c r="H4309"/>
  <c r="E5282" l="1"/>
  <c r="E5285" s="1"/>
  <c r="E4320"/>
  <c r="E4321" s="1"/>
  <c r="E5287"/>
  <c r="E4969"/>
  <c r="E4962"/>
  <c r="E4963" s="1"/>
  <c r="E4964"/>
  <c r="E4967" s="1"/>
  <c r="E4419"/>
  <c r="E4420" s="1"/>
  <c r="E3745"/>
  <c r="E3744"/>
  <c r="E3740"/>
  <c r="E3743" s="1"/>
  <c r="E3738"/>
  <c r="E1489" i="8"/>
  <c r="H1488"/>
  <c r="G1488"/>
  <c r="D1530"/>
  <c r="G1530" s="1"/>
  <c r="D1525"/>
  <c r="H1487"/>
  <c r="G1487"/>
  <c r="H1520"/>
  <c r="G1520"/>
  <c r="C4172" i="9"/>
  <c r="E4162"/>
  <c r="H1417" i="8"/>
  <c r="G1417"/>
  <c r="H1416"/>
  <c r="G1416"/>
  <c r="G1453"/>
  <c r="G1452"/>
  <c r="D1451"/>
  <c r="G1451" s="1"/>
  <c r="D1446"/>
  <c r="F1438"/>
  <c r="D1424"/>
  <c r="D1423"/>
  <c r="D1422"/>
  <c r="D1421"/>
  <c r="F1411"/>
  <c r="C3840" i="9"/>
  <c r="E3851" s="1"/>
  <c r="E3854" s="1"/>
  <c r="C3818"/>
  <c r="E3829" s="1"/>
  <c r="E3832" s="1"/>
  <c r="C3796"/>
  <c r="E3812" s="1"/>
  <c r="C3683"/>
  <c r="F2768" i="8"/>
  <c r="F2769" s="1"/>
  <c r="E2777" s="1"/>
  <c r="B952" i="9"/>
  <c r="B951"/>
  <c r="B950"/>
  <c r="B949"/>
  <c r="B948"/>
  <c r="B947"/>
  <c r="B946"/>
  <c r="B945"/>
  <c r="B944"/>
  <c r="B943"/>
  <c r="B942"/>
  <c r="B923"/>
  <c r="B922"/>
  <c r="B921"/>
  <c r="B920"/>
  <c r="B919"/>
  <c r="B918"/>
  <c r="B917"/>
  <c r="B916"/>
  <c r="B915"/>
  <c r="B914"/>
  <c r="B913"/>
  <c r="B894"/>
  <c r="B893"/>
  <c r="B892"/>
  <c r="B891"/>
  <c r="B890"/>
  <c r="B889"/>
  <c r="B888"/>
  <c r="B887"/>
  <c r="B886"/>
  <c r="H7230"/>
  <c r="H7236"/>
  <c r="E7244" s="1"/>
  <c r="E7253" s="1"/>
  <c r="J951" s="1"/>
  <c r="H7235"/>
  <c r="H7228"/>
  <c r="H7227"/>
  <c r="H7271"/>
  <c r="E7279" s="1"/>
  <c r="E7400" s="1"/>
  <c r="H7270"/>
  <c r="H7265"/>
  <c r="H7263"/>
  <c r="H7262"/>
  <c r="E6927"/>
  <c r="E6936" s="1"/>
  <c r="J886" s="1"/>
  <c r="E6929"/>
  <c r="E6938" s="1"/>
  <c r="J944" s="1"/>
  <c r="E7209"/>
  <c r="E7218" s="1"/>
  <c r="J950" s="1"/>
  <c r="E7207"/>
  <c r="E7216" s="1"/>
  <c r="J892" s="1"/>
  <c r="E7176"/>
  <c r="C7138"/>
  <c r="E7152" s="1"/>
  <c r="E7122"/>
  <c r="E7131" s="1"/>
  <c r="J948" s="1"/>
  <c r="E7120"/>
  <c r="E7129" s="1"/>
  <c r="J890" s="1"/>
  <c r="E7089"/>
  <c r="E7098" s="1"/>
  <c r="J947" s="1"/>
  <c r="E7087"/>
  <c r="E7096" s="1"/>
  <c r="J889" s="1"/>
  <c r="E7058"/>
  <c r="E7067" s="1"/>
  <c r="J946" s="1"/>
  <c r="E7056"/>
  <c r="E7065" s="1"/>
  <c r="J888" s="1"/>
  <c r="C2230" i="8"/>
  <c r="E2230" s="1"/>
  <c r="F2229"/>
  <c r="E2229"/>
  <c r="C2228"/>
  <c r="E2228" s="1"/>
  <c r="C2226"/>
  <c r="C2227"/>
  <c r="E2227" s="1"/>
  <c r="E2225"/>
  <c r="H7231" i="9" l="1"/>
  <c r="F2230" i="8"/>
  <c r="D2235"/>
  <c r="F1530"/>
  <c r="E7288" i="9"/>
  <c r="J952" s="1"/>
  <c r="E3827"/>
  <c r="E2226" i="8"/>
  <c r="E3811" i="9"/>
  <c r="E3849"/>
  <c r="E3805"/>
  <c r="E3807"/>
  <c r="E3810" s="1"/>
  <c r="E3833"/>
  <c r="E3855"/>
  <c r="E3739"/>
  <c r="E3856"/>
  <c r="E3834"/>
  <c r="H7264"/>
  <c r="E7150"/>
  <c r="E7151" s="1"/>
  <c r="E6928"/>
  <c r="E6937" s="1"/>
  <c r="J915" s="1"/>
  <c r="H7267"/>
  <c r="H7232"/>
  <c r="H7233" s="1"/>
  <c r="H7229"/>
  <c r="H7266"/>
  <c r="E7185"/>
  <c r="J949" s="1"/>
  <c r="E7208"/>
  <c r="E7217" s="1"/>
  <c r="J921" s="1"/>
  <c r="E7174"/>
  <c r="E7175" s="1"/>
  <c r="E7121"/>
  <c r="E7130" s="1"/>
  <c r="J919" s="1"/>
  <c r="E7088"/>
  <c r="E7097" s="1"/>
  <c r="J918" s="1"/>
  <c r="E7057"/>
  <c r="E7066" s="1"/>
  <c r="J917" s="1"/>
  <c r="F2228" i="8"/>
  <c r="F2231" s="1"/>
  <c r="E2231"/>
  <c r="E5149" i="9"/>
  <c r="C5157"/>
  <c r="C5068"/>
  <c r="C5045"/>
  <c r="C5022"/>
  <c r="C4999"/>
  <c r="C4839"/>
  <c r="E3617" i="8"/>
  <c r="F2171"/>
  <c r="E2170"/>
  <c r="B1054" i="9"/>
  <c r="B1055"/>
  <c r="B1004"/>
  <c r="B1005"/>
  <c r="E6889"/>
  <c r="J1054" s="1"/>
  <c r="F6873"/>
  <c r="D6889" s="1"/>
  <c r="J1004" s="1"/>
  <c r="H592" i="8"/>
  <c r="B592"/>
  <c r="B590"/>
  <c r="D592" s="1"/>
  <c r="B599"/>
  <c r="E595"/>
  <c r="B595"/>
  <c r="H594"/>
  <c r="B594"/>
  <c r="E1122" i="9"/>
  <c r="H1121"/>
  <c r="E1103"/>
  <c r="H1102"/>
  <c r="E1085"/>
  <c r="H1084"/>
  <c r="E1067"/>
  <c r="H1066"/>
  <c r="E1050"/>
  <c r="H1049"/>
  <c r="E1034"/>
  <c r="H1033"/>
  <c r="E1017"/>
  <c r="H1016"/>
  <c r="E1000"/>
  <c r="H999"/>
  <c r="E984"/>
  <c r="H983"/>
  <c r="E967"/>
  <c r="H966"/>
  <c r="E938"/>
  <c r="H937"/>
  <c r="E909"/>
  <c r="H908"/>
  <c r="H879"/>
  <c r="E880"/>
  <c r="H1082"/>
  <c r="B1082"/>
  <c r="B1080"/>
  <c r="D1082" s="1"/>
  <c r="B1091"/>
  <c r="B1090"/>
  <c r="B1089"/>
  <c r="H1064"/>
  <c r="B1064"/>
  <c r="B1062"/>
  <c r="D1064" s="1"/>
  <c r="B1073"/>
  <c r="B1072"/>
  <c r="B1071"/>
  <c r="B1128"/>
  <c r="B1127"/>
  <c r="B1126"/>
  <c r="H1119"/>
  <c r="B1119"/>
  <c r="B1117"/>
  <c r="B1110"/>
  <c r="B1109"/>
  <c r="B1108"/>
  <c r="B1107"/>
  <c r="H1100"/>
  <c r="B1100"/>
  <c r="B1098"/>
  <c r="H1047"/>
  <c r="B1047"/>
  <c r="B1045"/>
  <c r="B1038"/>
  <c r="H1031"/>
  <c r="B1031"/>
  <c r="B1029"/>
  <c r="B1022"/>
  <c r="B1021"/>
  <c r="H1014"/>
  <c r="B1014"/>
  <c r="B1012"/>
  <c r="H997"/>
  <c r="B997"/>
  <c r="B995"/>
  <c r="B988"/>
  <c r="H981"/>
  <c r="B981"/>
  <c r="B979"/>
  <c r="D981" s="1"/>
  <c r="H964"/>
  <c r="B964"/>
  <c r="B962"/>
  <c r="D964" s="1"/>
  <c r="B972"/>
  <c r="B971"/>
  <c r="H935"/>
  <c r="B935"/>
  <c r="B933"/>
  <c r="H906"/>
  <c r="B906"/>
  <c r="B904"/>
  <c r="B885"/>
  <c r="B884"/>
  <c r="H877"/>
  <c r="B877"/>
  <c r="B875"/>
  <c r="D877" s="1"/>
  <c r="H637" i="8"/>
  <c r="B637"/>
  <c r="B644"/>
  <c r="B635"/>
  <c r="D637" s="1"/>
  <c r="E640"/>
  <c r="B640"/>
  <c r="H639"/>
  <c r="B639"/>
  <c r="B669"/>
  <c r="B668"/>
  <c r="B667"/>
  <c r="B666"/>
  <c r="B665"/>
  <c r="B664"/>
  <c r="B663"/>
  <c r="B662"/>
  <c r="B661"/>
  <c r="B660"/>
  <c r="H653"/>
  <c r="B653"/>
  <c r="B651"/>
  <c r="D653" s="1"/>
  <c r="B625"/>
  <c r="B624"/>
  <c r="B623"/>
  <c r="B622"/>
  <c r="B621"/>
  <c r="B620"/>
  <c r="B619"/>
  <c r="B618"/>
  <c r="B617"/>
  <c r="B616"/>
  <c r="B615"/>
  <c r="H608"/>
  <c r="B608"/>
  <c r="B606"/>
  <c r="D608" s="1"/>
  <c r="H574"/>
  <c r="B574"/>
  <c r="B572"/>
  <c r="D574" s="1"/>
  <c r="B583"/>
  <c r="B582"/>
  <c r="B581"/>
  <c r="H545"/>
  <c r="B545"/>
  <c r="B543"/>
  <c r="D545" s="1"/>
  <c r="B562"/>
  <c r="B561"/>
  <c r="B560"/>
  <c r="B559"/>
  <c r="B558"/>
  <c r="B557"/>
  <c r="B556"/>
  <c r="B555"/>
  <c r="B554"/>
  <c r="B553"/>
  <c r="B552"/>
  <c r="B514"/>
  <c r="D516" s="1"/>
  <c r="H516"/>
  <c r="B533"/>
  <c r="B532"/>
  <c r="B531"/>
  <c r="B530"/>
  <c r="B529"/>
  <c r="B528"/>
  <c r="B527"/>
  <c r="B526"/>
  <c r="B525"/>
  <c r="B524"/>
  <c r="B523"/>
  <c r="E656"/>
  <c r="B656"/>
  <c r="H655"/>
  <c r="B655"/>
  <c r="E611"/>
  <c r="B611"/>
  <c r="H610"/>
  <c r="B610"/>
  <c r="E577"/>
  <c r="B577"/>
  <c r="H576"/>
  <c r="B576"/>
  <c r="E548"/>
  <c r="B548"/>
  <c r="H547"/>
  <c r="B547"/>
  <c r="E519"/>
  <c r="B519"/>
  <c r="H518"/>
  <c r="B518"/>
  <c r="F3260"/>
  <c r="C3259"/>
  <c r="E3259" s="1"/>
  <c r="E3260"/>
  <c r="F3258"/>
  <c r="H3253"/>
  <c r="G3253"/>
  <c r="H3252"/>
  <c r="G3252"/>
  <c r="H3251"/>
  <c r="G3251"/>
  <c r="I3240"/>
  <c r="H3240"/>
  <c r="G3240"/>
  <c r="E3279"/>
  <c r="J554" s="1"/>
  <c r="H3250"/>
  <c r="G3250"/>
  <c r="H3249"/>
  <c r="G3249"/>
  <c r="H3248"/>
  <c r="G3248"/>
  <c r="H3247"/>
  <c r="G3247"/>
  <c r="H3241"/>
  <c r="G3241"/>
  <c r="I3239"/>
  <c r="E3269" s="1"/>
  <c r="H3239"/>
  <c r="H3588"/>
  <c r="H3589" s="1"/>
  <c r="G3588"/>
  <c r="G3589" s="1"/>
  <c r="E3806" i="9" l="1"/>
  <c r="E3828"/>
  <c r="J662" i="8"/>
  <c r="E3850" i="9"/>
  <c r="H7268"/>
  <c r="H7269" s="1"/>
  <c r="E7278" s="1"/>
  <c r="E7399" s="1"/>
  <c r="E7184"/>
  <c r="J920" s="1"/>
  <c r="H7234"/>
  <c r="E7242" s="1"/>
  <c r="E7251" s="1"/>
  <c r="J893" s="1"/>
  <c r="E7183"/>
  <c r="J891" s="1"/>
  <c r="E5150"/>
  <c r="E5143"/>
  <c r="E5144" s="1"/>
  <c r="E5145"/>
  <c r="E5148" s="1"/>
  <c r="G2171" i="8"/>
  <c r="F3259"/>
  <c r="F3261" s="1"/>
  <c r="E3267" s="1"/>
  <c r="E3261"/>
  <c r="E3268" s="1"/>
  <c r="E7287" i="9" l="1"/>
  <c r="J923" s="1"/>
  <c r="J525" i="8"/>
  <c r="J617"/>
  <c r="E7277" i="9"/>
  <c r="E7398" s="1"/>
  <c r="E7243"/>
  <c r="E7252" s="1"/>
  <c r="J922" s="1"/>
  <c r="E3784" i="8"/>
  <c r="J583" s="1"/>
  <c r="E3783"/>
  <c r="J562" s="1"/>
  <c r="E3736"/>
  <c r="J561" s="1"/>
  <c r="H3761"/>
  <c r="G3761"/>
  <c r="H3760"/>
  <c r="G3760"/>
  <c r="H3759"/>
  <c r="G3759"/>
  <c r="H3758"/>
  <c r="G3758"/>
  <c r="H3757"/>
  <c r="G3757"/>
  <c r="G3754"/>
  <c r="F3754"/>
  <c r="F3753"/>
  <c r="G3752"/>
  <c r="F3752"/>
  <c r="G3748"/>
  <c r="F3748"/>
  <c r="G3747"/>
  <c r="F3747"/>
  <c r="G3746"/>
  <c r="F3746"/>
  <c r="G3745"/>
  <c r="F3745"/>
  <c r="G3744"/>
  <c r="F3744"/>
  <c r="G3743"/>
  <c r="F3743"/>
  <c r="E7036" i="9"/>
  <c r="E7009"/>
  <c r="E7008"/>
  <c r="E7001"/>
  <c r="E7027" s="1"/>
  <c r="E6997"/>
  <c r="E7007" s="1"/>
  <c r="H6985"/>
  <c r="H6982"/>
  <c r="H6984" s="1"/>
  <c r="G6982"/>
  <c r="H6981"/>
  <c r="E6976"/>
  <c r="E7024" s="1"/>
  <c r="J1128" s="1"/>
  <c r="E6975"/>
  <c r="E7023" s="1"/>
  <c r="E6971"/>
  <c r="E6969"/>
  <c r="E6970" s="1"/>
  <c r="I3717" i="8"/>
  <c r="E3726" s="1"/>
  <c r="J669" s="1"/>
  <c r="H3717"/>
  <c r="E3724" s="1"/>
  <c r="J532" s="1"/>
  <c r="G3717"/>
  <c r="E3725" s="1"/>
  <c r="J624" s="1"/>
  <c r="E3710"/>
  <c r="J560" s="1"/>
  <c r="H3693"/>
  <c r="G3693"/>
  <c r="H3692"/>
  <c r="G3692"/>
  <c r="H3691"/>
  <c r="G3691"/>
  <c r="H3690"/>
  <c r="G3690"/>
  <c r="H3689"/>
  <c r="G3689"/>
  <c r="H3688"/>
  <c r="G3688"/>
  <c r="H3687"/>
  <c r="G3687"/>
  <c r="H3686"/>
  <c r="G3686"/>
  <c r="H3685"/>
  <c r="G3685"/>
  <c r="H3684"/>
  <c r="G3684"/>
  <c r="I3679"/>
  <c r="E3701" s="1"/>
  <c r="J668" s="1"/>
  <c r="H3679"/>
  <c r="G3679"/>
  <c r="E3671"/>
  <c r="J559" s="1"/>
  <c r="H3653"/>
  <c r="G3653"/>
  <c r="H3652"/>
  <c r="G3652"/>
  <c r="H3651"/>
  <c r="G3651"/>
  <c r="H3650"/>
  <c r="G3650"/>
  <c r="H3647"/>
  <c r="G3647"/>
  <c r="H3646"/>
  <c r="G3646"/>
  <c r="H3645"/>
  <c r="G3645"/>
  <c r="H3644"/>
  <c r="G3644"/>
  <c r="H3643"/>
  <c r="G3643"/>
  <c r="H3642"/>
  <c r="G3642"/>
  <c r="H3641"/>
  <c r="G3641"/>
  <c r="H3640"/>
  <c r="G3640"/>
  <c r="H3636"/>
  <c r="G3636"/>
  <c r="H3635"/>
  <c r="G3635"/>
  <c r="H3634"/>
  <c r="G3634"/>
  <c r="H3633"/>
  <c r="G3633"/>
  <c r="H3632"/>
  <c r="G3632"/>
  <c r="H3631"/>
  <c r="G3631"/>
  <c r="H3630"/>
  <c r="G3630"/>
  <c r="H3629"/>
  <c r="E3659" s="1"/>
  <c r="J530" s="1"/>
  <c r="G3629"/>
  <c r="I3627"/>
  <c r="G3627"/>
  <c r="I3626"/>
  <c r="E3661" s="1"/>
  <c r="J667" s="1"/>
  <c r="G3626"/>
  <c r="E6942" i="9"/>
  <c r="J1055" s="1"/>
  <c r="J1057" s="1"/>
  <c r="E6951"/>
  <c r="E6924"/>
  <c r="D6942" s="1"/>
  <c r="J1005" s="1"/>
  <c r="J1007" s="1"/>
  <c r="E3618" i="8"/>
  <c r="J582" s="1"/>
  <c r="J558"/>
  <c r="E6899" i="9"/>
  <c r="H3584" i="8"/>
  <c r="G3584"/>
  <c r="H3583"/>
  <c r="G3583"/>
  <c r="H3582"/>
  <c r="G3582"/>
  <c r="H3581"/>
  <c r="G3581"/>
  <c r="H3580"/>
  <c r="G3580"/>
  <c r="H3579"/>
  <c r="G3579"/>
  <c r="H3578"/>
  <c r="G3578"/>
  <c r="H3577"/>
  <c r="G3577"/>
  <c r="H3576"/>
  <c r="G3576"/>
  <c r="H3575"/>
  <c r="G3575"/>
  <c r="H3574"/>
  <c r="G3574"/>
  <c r="H3573"/>
  <c r="G3573"/>
  <c r="H3572"/>
  <c r="G3572"/>
  <c r="H3571"/>
  <c r="G3571"/>
  <c r="H3570"/>
  <c r="G3570"/>
  <c r="H3569"/>
  <c r="G3569"/>
  <c r="H3568"/>
  <c r="G3568"/>
  <c r="H3567"/>
  <c r="G3567"/>
  <c r="H3564"/>
  <c r="G3564"/>
  <c r="H3563"/>
  <c r="G3563"/>
  <c r="H3562"/>
  <c r="G3562"/>
  <c r="H3561"/>
  <c r="G3561"/>
  <c r="H3560"/>
  <c r="G3560"/>
  <c r="G3556"/>
  <c r="H3555"/>
  <c r="G3555"/>
  <c r="H3554"/>
  <c r="G3554"/>
  <c r="H3553"/>
  <c r="G3553"/>
  <c r="H3552"/>
  <c r="G3552"/>
  <c r="H3551"/>
  <c r="G3551"/>
  <c r="H3550"/>
  <c r="G3550"/>
  <c r="H3549"/>
  <c r="G3549"/>
  <c r="H3548"/>
  <c r="G3548"/>
  <c r="H3547"/>
  <c r="G3547"/>
  <c r="H3546"/>
  <c r="G3546"/>
  <c r="H3545"/>
  <c r="G3545"/>
  <c r="I3544"/>
  <c r="H3544"/>
  <c r="G3544"/>
  <c r="I3543"/>
  <c r="H3543"/>
  <c r="G3543"/>
  <c r="I3542"/>
  <c r="H3542"/>
  <c r="G3542"/>
  <c r="I3541"/>
  <c r="H3541"/>
  <c r="G3541"/>
  <c r="I3540"/>
  <c r="H3540"/>
  <c r="G3540"/>
  <c r="G3536"/>
  <c r="F3536"/>
  <c r="G3535"/>
  <c r="F3535"/>
  <c r="G3534"/>
  <c r="F3534"/>
  <c r="G3533"/>
  <c r="F3533"/>
  <c r="G3532"/>
  <c r="F3532"/>
  <c r="G3531"/>
  <c r="F3531"/>
  <c r="E6869" i="9"/>
  <c r="E6868"/>
  <c r="E6861"/>
  <c r="E6864" s="1"/>
  <c r="E6857"/>
  <c r="E6867" s="1"/>
  <c r="E6855"/>
  <c r="E6856" s="1"/>
  <c r="E6836"/>
  <c r="E6835"/>
  <c r="E6828"/>
  <c r="E6824"/>
  <c r="E6834" s="1"/>
  <c r="H6812"/>
  <c r="H6809"/>
  <c r="H6811" s="1"/>
  <c r="G6809"/>
  <c r="H6808"/>
  <c r="E6803"/>
  <c r="E6802"/>
  <c r="E6798"/>
  <c r="E6801" s="1"/>
  <c r="E6796"/>
  <c r="E6797" s="1"/>
  <c r="C3502" i="8"/>
  <c r="F3502" s="1"/>
  <c r="F3503"/>
  <c r="E3503"/>
  <c r="F3501"/>
  <c r="E3501"/>
  <c r="E3769" l="1"/>
  <c r="J625" s="1"/>
  <c r="E7286" i="9"/>
  <c r="J894" s="1"/>
  <c r="E3767" i="8"/>
  <c r="J533" s="1"/>
  <c r="E3595"/>
  <c r="J621" s="1"/>
  <c r="E3699"/>
  <c r="J531" s="1"/>
  <c r="E3594"/>
  <c r="J529" s="1"/>
  <c r="E3660"/>
  <c r="J622" s="1"/>
  <c r="E7020" i="9"/>
  <c r="J945" s="1"/>
  <c r="J1091"/>
  <c r="E6885"/>
  <c r="J1127" s="1"/>
  <c r="J1108"/>
  <c r="J1109"/>
  <c r="J1110"/>
  <c r="J1022"/>
  <c r="E6974"/>
  <c r="E7022" s="1"/>
  <c r="E6881"/>
  <c r="J943" s="1"/>
  <c r="E6884"/>
  <c r="J1090" s="1"/>
  <c r="E6995"/>
  <c r="E6996" s="1"/>
  <c r="E7019" s="1"/>
  <c r="J916" s="1"/>
  <c r="E7004"/>
  <c r="D7027" s="1"/>
  <c r="E3700" i="8"/>
  <c r="J623" s="1"/>
  <c r="F3504"/>
  <c r="E3502"/>
  <c r="E3504" s="1"/>
  <c r="E6888" i="9"/>
  <c r="E3596" i="8"/>
  <c r="J666" s="1"/>
  <c r="E6883" i="9"/>
  <c r="J1072" s="1"/>
  <c r="E6822"/>
  <c r="E6823" s="1"/>
  <c r="E6880" s="1"/>
  <c r="J914" s="1"/>
  <c r="E6831"/>
  <c r="D6888" s="1"/>
  <c r="E3524" i="8"/>
  <c r="J557" s="1"/>
  <c r="H3498"/>
  <c r="G3498"/>
  <c r="H3497"/>
  <c r="G3497"/>
  <c r="H3496"/>
  <c r="G3496"/>
  <c r="H3495"/>
  <c r="G3495"/>
  <c r="H3489"/>
  <c r="G3489"/>
  <c r="H3488"/>
  <c r="G3488"/>
  <c r="H3487"/>
  <c r="G3487"/>
  <c r="I3486"/>
  <c r="E3514" s="1"/>
  <c r="J665" s="1"/>
  <c r="H3486"/>
  <c r="G3486"/>
  <c r="E3479"/>
  <c r="J599" s="1"/>
  <c r="J601" s="1"/>
  <c r="J592" s="1"/>
  <c r="E152" i="1" s="1"/>
  <c r="E3478" i="8"/>
  <c r="J556" s="1"/>
  <c r="H3459"/>
  <c r="G3459"/>
  <c r="H3458"/>
  <c r="G3458"/>
  <c r="H3457"/>
  <c r="G3457"/>
  <c r="H3456"/>
  <c r="G3456"/>
  <c r="H3452"/>
  <c r="G3452"/>
  <c r="H3451"/>
  <c r="G3451"/>
  <c r="H3450"/>
  <c r="G3450"/>
  <c r="I3449"/>
  <c r="E3467" s="1"/>
  <c r="J664" s="1"/>
  <c r="H3449"/>
  <c r="G3449"/>
  <c r="E3441"/>
  <c r="J555" s="1"/>
  <c r="I3425"/>
  <c r="E3431" s="1"/>
  <c r="J663" s="1"/>
  <c r="H3425"/>
  <c r="E3429" s="1"/>
  <c r="J526" s="1"/>
  <c r="G3425"/>
  <c r="E3430" s="1"/>
  <c r="J618" s="1"/>
  <c r="E3231"/>
  <c r="J553" s="1"/>
  <c r="H3213"/>
  <c r="G3213"/>
  <c r="H3212"/>
  <c r="G3212"/>
  <c r="H3211"/>
  <c r="G3211"/>
  <c r="H3210"/>
  <c r="G3210"/>
  <c r="H3206"/>
  <c r="G3206"/>
  <c r="I3205"/>
  <c r="E3221" s="1"/>
  <c r="J661" s="1"/>
  <c r="H3205"/>
  <c r="G3205"/>
  <c r="J552"/>
  <c r="J581"/>
  <c r="J585" s="1"/>
  <c r="E3175"/>
  <c r="J644" s="1"/>
  <c r="J646" s="1"/>
  <c r="J637" s="1"/>
  <c r="E162" i="1" s="1"/>
  <c r="H3166" i="8"/>
  <c r="G3166"/>
  <c r="H3165"/>
  <c r="G3165"/>
  <c r="H3164"/>
  <c r="G3164"/>
  <c r="H3163"/>
  <c r="G3163"/>
  <c r="H3159"/>
  <c r="G3159"/>
  <c r="H3158"/>
  <c r="G3158"/>
  <c r="H3157"/>
  <c r="G3157"/>
  <c r="H3156"/>
  <c r="G3156"/>
  <c r="H3155"/>
  <c r="G3155"/>
  <c r="H3154"/>
  <c r="G3154"/>
  <c r="H3153"/>
  <c r="G3153"/>
  <c r="H3152"/>
  <c r="G3152"/>
  <c r="H3148"/>
  <c r="G3148"/>
  <c r="F3147"/>
  <c r="G3147" s="1"/>
  <c r="F3146"/>
  <c r="H3146" s="1"/>
  <c r="H3145"/>
  <c r="G3145"/>
  <c r="H3144"/>
  <c r="G3144"/>
  <c r="H3143"/>
  <c r="G3143"/>
  <c r="H3142"/>
  <c r="G3142"/>
  <c r="H3141"/>
  <c r="G3141"/>
  <c r="H3140"/>
  <c r="G3140"/>
  <c r="H3139"/>
  <c r="G3139"/>
  <c r="H3138"/>
  <c r="G3138"/>
  <c r="H3137"/>
  <c r="G3137"/>
  <c r="H3136"/>
  <c r="G3136"/>
  <c r="H3135"/>
  <c r="G3135"/>
  <c r="H3131"/>
  <c r="G3131"/>
  <c r="H3130"/>
  <c r="G3130"/>
  <c r="H3129"/>
  <c r="G3129"/>
  <c r="H3128"/>
  <c r="G3128"/>
  <c r="H3127"/>
  <c r="G3127"/>
  <c r="H3126"/>
  <c r="G3126"/>
  <c r="H3125"/>
  <c r="G3125"/>
  <c r="E6778" i="9"/>
  <c r="E6753"/>
  <c r="E6752"/>
  <c r="E6745"/>
  <c r="E6769" s="1"/>
  <c r="E6741"/>
  <c r="J942" s="1"/>
  <c r="J957" s="1"/>
  <c r="H6729"/>
  <c r="H6726"/>
  <c r="H6728" s="1"/>
  <c r="G6726"/>
  <c r="H6725"/>
  <c r="E6718"/>
  <c r="D1119"/>
  <c r="D1100"/>
  <c r="D1047"/>
  <c r="D1031"/>
  <c r="D1014"/>
  <c r="D997"/>
  <c r="D935"/>
  <c r="D906"/>
  <c r="H1278" i="8"/>
  <c r="G1278"/>
  <c r="H1277"/>
  <c r="G1277"/>
  <c r="G1282"/>
  <c r="H1276"/>
  <c r="G1276"/>
  <c r="H1275"/>
  <c r="G1275"/>
  <c r="H1274"/>
  <c r="G1274"/>
  <c r="H1273"/>
  <c r="G1273"/>
  <c r="H1269"/>
  <c r="G1269"/>
  <c r="H1268"/>
  <c r="G1268"/>
  <c r="H1267"/>
  <c r="G1267"/>
  <c r="H1266"/>
  <c r="G1266"/>
  <c r="H2843"/>
  <c r="G2843"/>
  <c r="H2842"/>
  <c r="G2842"/>
  <c r="H2841"/>
  <c r="G2841"/>
  <c r="H2840"/>
  <c r="G2840"/>
  <c r="H2839"/>
  <c r="G2839"/>
  <c r="H2838"/>
  <c r="G2838"/>
  <c r="H2824"/>
  <c r="G2824"/>
  <c r="H2823"/>
  <c r="G2823"/>
  <c r="H2822"/>
  <c r="G2822"/>
  <c r="H2821"/>
  <c r="G2821"/>
  <c r="H2763"/>
  <c r="G2763"/>
  <c r="H2762"/>
  <c r="G2762"/>
  <c r="H2807"/>
  <c r="H2808" s="1"/>
  <c r="E2813" s="1"/>
  <c r="G2807"/>
  <c r="G2808" s="1"/>
  <c r="E2814" s="1"/>
  <c r="E6765" i="9" l="1"/>
  <c r="J1089" s="1"/>
  <c r="J1093" s="1"/>
  <c r="J1082" s="1"/>
  <c r="E238" i="10" s="1"/>
  <c r="J567" i="8"/>
  <c r="G2764"/>
  <c r="E2776" s="1"/>
  <c r="H2844"/>
  <c r="E2849" s="1"/>
  <c r="H1270"/>
  <c r="H1279"/>
  <c r="G3132"/>
  <c r="G3160"/>
  <c r="G3167"/>
  <c r="G2825"/>
  <c r="E2831" s="1"/>
  <c r="G2844"/>
  <c r="E2850" s="1"/>
  <c r="G1279"/>
  <c r="H3132"/>
  <c r="H3160"/>
  <c r="H3167"/>
  <c r="E3174" s="1"/>
  <c r="J660" s="1"/>
  <c r="J1073" i="9"/>
  <c r="J1107"/>
  <c r="J1112" s="1"/>
  <c r="J1038"/>
  <c r="J1040" s="1"/>
  <c r="J1021"/>
  <c r="J1024" s="1"/>
  <c r="J988"/>
  <c r="J990" s="1"/>
  <c r="J981" s="1"/>
  <c r="J972"/>
  <c r="E6751"/>
  <c r="E7018"/>
  <c r="J887" s="1"/>
  <c r="H2825" i="8"/>
  <c r="E2830" s="1"/>
  <c r="E3512"/>
  <c r="J528" s="1"/>
  <c r="E3466"/>
  <c r="J619" s="1"/>
  <c r="E3513"/>
  <c r="J620" s="1"/>
  <c r="E6879" i="9"/>
  <c r="E3465" i="8"/>
  <c r="J527" s="1"/>
  <c r="E3220"/>
  <c r="J616" s="1"/>
  <c r="G1270"/>
  <c r="E3219"/>
  <c r="J524" s="1"/>
  <c r="G3146"/>
  <c r="G3149" s="1"/>
  <c r="H3147"/>
  <c r="H3149" s="1"/>
  <c r="E6739" i="9"/>
  <c r="E6719"/>
  <c r="E6766" s="1"/>
  <c r="J1126" s="1"/>
  <c r="J1130" s="1"/>
  <c r="E6748"/>
  <c r="D6769" s="1"/>
  <c r="E6712"/>
  <c r="E6714"/>
  <c r="G1283" i="8"/>
  <c r="H1282"/>
  <c r="H1283" s="1"/>
  <c r="H2764"/>
  <c r="J674" l="1"/>
  <c r="J653" s="1"/>
  <c r="E166" i="1" s="1"/>
  <c r="E3172" i="8"/>
  <c r="J523" s="1"/>
  <c r="J538" s="1"/>
  <c r="E1287"/>
  <c r="E1288"/>
  <c r="E3173"/>
  <c r="J615" s="1"/>
  <c r="J630" s="1"/>
  <c r="E6740" i="9"/>
  <c r="J971"/>
  <c r="J974" s="1"/>
  <c r="J885"/>
  <c r="E6762"/>
  <c r="E6717"/>
  <c r="E6764" s="1"/>
  <c r="J1071" s="1"/>
  <c r="J1075" s="1"/>
  <c r="J1064" s="1"/>
  <c r="E234" i="10" s="1"/>
  <c r="E6760" i="9"/>
  <c r="J516" i="8" l="1"/>
  <c r="E142" i="1" s="1"/>
  <c r="E6713" i="9"/>
  <c r="E6761" s="1"/>
  <c r="J913" s="1"/>
  <c r="J928" s="1"/>
  <c r="J884"/>
  <c r="J899" s="1"/>
  <c r="C3599"/>
  <c r="C3274"/>
  <c r="C1145"/>
  <c r="B481" i="8"/>
  <c r="B465"/>
  <c r="B449"/>
  <c r="B433"/>
  <c r="B417"/>
  <c r="B401"/>
  <c r="B385"/>
  <c r="B369"/>
  <c r="B353"/>
  <c r="B337"/>
  <c r="B321"/>
  <c r="B305"/>
  <c r="B289"/>
  <c r="B267"/>
  <c r="B246"/>
  <c r="B224"/>
  <c r="B200"/>
  <c r="B177"/>
  <c r="B153"/>
  <c r="B129"/>
  <c r="B110"/>
  <c r="B94"/>
  <c r="B78"/>
  <c r="B62"/>
  <c r="B46"/>
  <c r="B30"/>
  <c r="B14"/>
  <c r="B858" i="9"/>
  <c r="B842"/>
  <c r="B826"/>
  <c r="B810"/>
  <c r="B794"/>
  <c r="B746"/>
  <c r="B682"/>
  <c r="B650"/>
  <c r="B634"/>
  <c r="B618"/>
  <c r="B589"/>
  <c r="B572"/>
  <c r="B547"/>
  <c r="B521"/>
  <c r="B495"/>
  <c r="B479"/>
  <c r="B463"/>
  <c r="B446"/>
  <c r="B429"/>
  <c r="B407"/>
  <c r="B391"/>
  <c r="B375"/>
  <c r="B358"/>
  <c r="B341"/>
  <c r="B319"/>
  <c r="B293"/>
  <c r="B267"/>
  <c r="B241"/>
  <c r="B222"/>
  <c r="B206"/>
  <c r="B190"/>
  <c r="B174"/>
  <c r="B158"/>
  <c r="B142"/>
  <c r="B126"/>
  <c r="B110"/>
  <c r="B94"/>
  <c r="B78"/>
  <c r="B62"/>
  <c r="B46"/>
  <c r="B30"/>
  <c r="B14"/>
  <c r="J1100"/>
  <c r="E242" i="10" s="1"/>
  <c r="G2786" i="8"/>
  <c r="H481"/>
  <c r="H465"/>
  <c r="B479"/>
  <c r="D481" s="1"/>
  <c r="B488"/>
  <c r="E484"/>
  <c r="B484"/>
  <c r="H483"/>
  <c r="B483"/>
  <c r="B463"/>
  <c r="D465" s="1"/>
  <c r="B472"/>
  <c r="E468"/>
  <c r="B468"/>
  <c r="H467"/>
  <c r="B467"/>
  <c r="H2436"/>
  <c r="G2436"/>
  <c r="H2435"/>
  <c r="G2435"/>
  <c r="H2434"/>
  <c r="G2434"/>
  <c r="H2433"/>
  <c r="G2433"/>
  <c r="H2432"/>
  <c r="G2432"/>
  <c r="H2431"/>
  <c r="G2431"/>
  <c r="H2430"/>
  <c r="G2430"/>
  <c r="E2799"/>
  <c r="D2792"/>
  <c r="F2792" s="1"/>
  <c r="D2791"/>
  <c r="F2791" s="1"/>
  <c r="D2790"/>
  <c r="F2790" s="1"/>
  <c r="G2785"/>
  <c r="G2784"/>
  <c r="G2783"/>
  <c r="G2757"/>
  <c r="G2758" s="1"/>
  <c r="E2775" s="1"/>
  <c r="E2757"/>
  <c r="E6442" i="9"/>
  <c r="E6441"/>
  <c r="E6437"/>
  <c r="E6440" s="1"/>
  <c r="E6435"/>
  <c r="E6436" s="1"/>
  <c r="E6541"/>
  <c r="E6540"/>
  <c r="E6533"/>
  <c r="E6529"/>
  <c r="E6539" s="1"/>
  <c r="H6520"/>
  <c r="H6517"/>
  <c r="H6519" s="1"/>
  <c r="G6517"/>
  <c r="H6516"/>
  <c r="E6508"/>
  <c r="E6507"/>
  <c r="E6500"/>
  <c r="E6496"/>
  <c r="E6506" s="1"/>
  <c r="H6487"/>
  <c r="H6484"/>
  <c r="H6486" s="1"/>
  <c r="G6484"/>
  <c r="H6483"/>
  <c r="E6474"/>
  <c r="E6473"/>
  <c r="E6466"/>
  <c r="E6462"/>
  <c r="E6472" s="1"/>
  <c r="H6453"/>
  <c r="H6450"/>
  <c r="H6452" s="1"/>
  <c r="G6450"/>
  <c r="H6449"/>
  <c r="C2980" i="8"/>
  <c r="J167"/>
  <c r="E3263" i="9"/>
  <c r="E973" i="8"/>
  <c r="J574" s="1"/>
  <c r="E150" i="1" s="1"/>
  <c r="E972" i="8"/>
  <c r="J545" s="1"/>
  <c r="E148" i="1" s="1"/>
  <c r="E2211" i="9"/>
  <c r="E2210"/>
  <c r="E890" i="8"/>
  <c r="H433"/>
  <c r="B431"/>
  <c r="D433" s="1"/>
  <c r="B440"/>
  <c r="E436"/>
  <c r="B436"/>
  <c r="H435"/>
  <c r="B435"/>
  <c r="E3264" i="9"/>
  <c r="J580" s="1"/>
  <c r="E2861" i="8" l="1"/>
  <c r="J488" s="1"/>
  <c r="J490" s="1"/>
  <c r="J481" s="1"/>
  <c r="E130" i="1" s="1"/>
  <c r="E6503" i="9"/>
  <c r="E6469"/>
  <c r="E6536"/>
  <c r="E6527"/>
  <c r="E6528" s="1"/>
  <c r="E6460"/>
  <c r="E6461" s="1"/>
  <c r="E6494"/>
  <c r="E6495" s="1"/>
  <c r="G2787" i="8"/>
  <c r="F2793"/>
  <c r="H2757"/>
  <c r="H2758" s="1"/>
  <c r="E2774" s="1"/>
  <c r="H2745"/>
  <c r="G2745"/>
  <c r="H2744"/>
  <c r="G2744"/>
  <c r="H2740"/>
  <c r="H2741" s="1"/>
  <c r="G2740"/>
  <c r="G2741" s="1"/>
  <c r="H2734"/>
  <c r="G2734"/>
  <c r="H2733"/>
  <c r="H2735" s="1"/>
  <c r="G2733"/>
  <c r="H2729"/>
  <c r="G2729"/>
  <c r="H2728"/>
  <c r="G2728"/>
  <c r="H2727"/>
  <c r="G2727"/>
  <c r="H2720"/>
  <c r="H2721" s="1"/>
  <c r="G2720"/>
  <c r="G2721" s="1"/>
  <c r="H2716"/>
  <c r="G2716"/>
  <c r="H2715"/>
  <c r="H2717" s="1"/>
  <c r="G2715"/>
  <c r="H2710"/>
  <c r="G2710"/>
  <c r="H2709"/>
  <c r="G2709"/>
  <c r="H2708"/>
  <c r="G2708"/>
  <c r="H2704"/>
  <c r="G2704"/>
  <c r="H2703"/>
  <c r="G2703"/>
  <c r="H2702"/>
  <c r="G2702"/>
  <c r="H2701"/>
  <c r="G2701"/>
  <c r="H2700"/>
  <c r="H2705" s="1"/>
  <c r="G2700"/>
  <c r="H2694"/>
  <c r="G2694"/>
  <c r="H2693"/>
  <c r="G2693"/>
  <c r="H2692"/>
  <c r="G2692"/>
  <c r="H2691"/>
  <c r="G2691"/>
  <c r="H2690"/>
  <c r="G2690"/>
  <c r="H2689"/>
  <c r="G2689"/>
  <c r="H2688"/>
  <c r="G2688"/>
  <c r="H2687"/>
  <c r="G2687"/>
  <c r="H2686"/>
  <c r="G2686"/>
  <c r="H2685"/>
  <c r="G2685"/>
  <c r="H2684"/>
  <c r="G2684"/>
  <c r="H2683"/>
  <c r="G2683"/>
  <c r="H2682"/>
  <c r="G2682"/>
  <c r="H2681"/>
  <c r="G2681"/>
  <c r="H2680"/>
  <c r="G2680"/>
  <c r="H2679"/>
  <c r="G2679"/>
  <c r="H2678"/>
  <c r="G2678"/>
  <c r="H2677"/>
  <c r="H2695" s="1"/>
  <c r="G2677"/>
  <c r="H2429"/>
  <c r="G2429"/>
  <c r="E5797" i="9"/>
  <c r="E5796"/>
  <c r="E5789"/>
  <c r="E5792" s="1"/>
  <c r="E5785"/>
  <c r="E5795" s="1"/>
  <c r="H5776"/>
  <c r="H5773"/>
  <c r="H5775" s="1"/>
  <c r="G5773"/>
  <c r="H5772"/>
  <c r="H2670" i="8"/>
  <c r="G2670"/>
  <c r="H2669"/>
  <c r="G2669"/>
  <c r="H2664"/>
  <c r="G2664"/>
  <c r="H2663"/>
  <c r="G2663"/>
  <c r="H2662"/>
  <c r="G2662"/>
  <c r="H2661"/>
  <c r="G2661"/>
  <c r="H2668"/>
  <c r="G2668"/>
  <c r="G2671" s="1"/>
  <c r="H2660"/>
  <c r="G2660"/>
  <c r="H2659"/>
  <c r="G2659"/>
  <c r="G2665" s="1"/>
  <c r="H2643"/>
  <c r="H2644" s="1"/>
  <c r="G2643"/>
  <c r="G2644" s="1"/>
  <c r="H2639"/>
  <c r="G2639"/>
  <c r="H2638"/>
  <c r="G2638"/>
  <c r="H2653"/>
  <c r="H2654" s="1"/>
  <c r="G2653"/>
  <c r="G2654" s="1"/>
  <c r="H2649"/>
  <c r="G2649"/>
  <c r="H2648"/>
  <c r="G2648"/>
  <c r="G2650" s="1"/>
  <c r="H2632"/>
  <c r="H2633" s="1"/>
  <c r="G2632"/>
  <c r="G2633" s="1"/>
  <c r="H2628"/>
  <c r="G2628"/>
  <c r="H2627"/>
  <c r="G2627"/>
  <c r="H2622"/>
  <c r="H2623" s="1"/>
  <c r="G2622"/>
  <c r="G2623" s="1"/>
  <c r="H2618"/>
  <c r="G2618"/>
  <c r="H2617"/>
  <c r="G2617"/>
  <c r="G2619" s="1"/>
  <c r="E3116"/>
  <c r="H391" i="9"/>
  <c r="B389"/>
  <c r="D391" s="1"/>
  <c r="E2371" i="8"/>
  <c r="D2371"/>
  <c r="G2371" s="1"/>
  <c r="H449"/>
  <c r="B447"/>
  <c r="D449" s="1"/>
  <c r="B456"/>
  <c r="E452"/>
  <c r="B452"/>
  <c r="H451"/>
  <c r="B451"/>
  <c r="H417"/>
  <c r="B415"/>
  <c r="D417" s="1"/>
  <c r="B424"/>
  <c r="E420"/>
  <c r="B420"/>
  <c r="H419"/>
  <c r="B419"/>
  <c r="H792"/>
  <c r="G792"/>
  <c r="E2862"/>
  <c r="J360" s="1"/>
  <c r="J362" s="1"/>
  <c r="J353" s="1"/>
  <c r="E104" i="1" s="1"/>
  <c r="E2272" i="8"/>
  <c r="F2272" s="1"/>
  <c r="E2271"/>
  <c r="G2271" s="1"/>
  <c r="E2102"/>
  <c r="F2102" s="1"/>
  <c r="E2101"/>
  <c r="G2101" s="1"/>
  <c r="E2100"/>
  <c r="F2100" s="1"/>
  <c r="E2099"/>
  <c r="F2099" s="1"/>
  <c r="E2098"/>
  <c r="F2098" s="1"/>
  <c r="E2097"/>
  <c r="G2097" s="1"/>
  <c r="F2097"/>
  <c r="E1820"/>
  <c r="G1820" s="1"/>
  <c r="E1821"/>
  <c r="F1821" s="1"/>
  <c r="F2013"/>
  <c r="E2021"/>
  <c r="F2021" s="1"/>
  <c r="E2025"/>
  <c r="F2025" s="1"/>
  <c r="F2026" s="1"/>
  <c r="E2124" s="1"/>
  <c r="C2601"/>
  <c r="E2601" s="1"/>
  <c r="E2602" s="1"/>
  <c r="E2608" s="1"/>
  <c r="G2591"/>
  <c r="F2591"/>
  <c r="H2596"/>
  <c r="H2597" s="1"/>
  <c r="G2596"/>
  <c r="G2597" s="1"/>
  <c r="E2587"/>
  <c r="G2587" s="1"/>
  <c r="E2586"/>
  <c r="G2586" s="1"/>
  <c r="H2581"/>
  <c r="G2581"/>
  <c r="H2580"/>
  <c r="G2580"/>
  <c r="H2579"/>
  <c r="G2579"/>
  <c r="H2578"/>
  <c r="G2578"/>
  <c r="H2577"/>
  <c r="G2577"/>
  <c r="H2576"/>
  <c r="G2576"/>
  <c r="H2575"/>
  <c r="H2574"/>
  <c r="H2573"/>
  <c r="H2572"/>
  <c r="H2571"/>
  <c r="H2570"/>
  <c r="H2569"/>
  <c r="H2568"/>
  <c r="H2567"/>
  <c r="G2575"/>
  <c r="G2574"/>
  <c r="G2573"/>
  <c r="G2572"/>
  <c r="G2571"/>
  <c r="G2570"/>
  <c r="G2569"/>
  <c r="G2568"/>
  <c r="G2567"/>
  <c r="H2566"/>
  <c r="G2566"/>
  <c r="H2565"/>
  <c r="G2565"/>
  <c r="E2564"/>
  <c r="G2564" s="1"/>
  <c r="E2563"/>
  <c r="H2563" s="1"/>
  <c r="H2562"/>
  <c r="G2562"/>
  <c r="H2561"/>
  <c r="G2561"/>
  <c r="E2546"/>
  <c r="E2547" s="1"/>
  <c r="E2553" s="1"/>
  <c r="H2541"/>
  <c r="G2541"/>
  <c r="H2540"/>
  <c r="G2540"/>
  <c r="H2536"/>
  <c r="G2536"/>
  <c r="H2535"/>
  <c r="G2535"/>
  <c r="H2534"/>
  <c r="G2534"/>
  <c r="H2533"/>
  <c r="G2533"/>
  <c r="H2532"/>
  <c r="G2532"/>
  <c r="H2531"/>
  <c r="G2531"/>
  <c r="H2530"/>
  <c r="G2530"/>
  <c r="H2529"/>
  <c r="G2529"/>
  <c r="H2528"/>
  <c r="G2528"/>
  <c r="H2527"/>
  <c r="G2527"/>
  <c r="H2526"/>
  <c r="G2526"/>
  <c r="H2525"/>
  <c r="G2525"/>
  <c r="H2524"/>
  <c r="G2524"/>
  <c r="H2523"/>
  <c r="G2523"/>
  <c r="H2522"/>
  <c r="G2522"/>
  <c r="H2521"/>
  <c r="G2521"/>
  <c r="H2520"/>
  <c r="G2520"/>
  <c r="H2519"/>
  <c r="G2519"/>
  <c r="H2518"/>
  <c r="G2518"/>
  <c r="H2517"/>
  <c r="G2517"/>
  <c r="H2516"/>
  <c r="G2516"/>
  <c r="H2515"/>
  <c r="G2515"/>
  <c r="H2514"/>
  <c r="G2514"/>
  <c r="H2513"/>
  <c r="G2513"/>
  <c r="H2512"/>
  <c r="G2512"/>
  <c r="H2511"/>
  <c r="G2511"/>
  <c r="H2510"/>
  <c r="G2510"/>
  <c r="H2509"/>
  <c r="G2509"/>
  <c r="H2508"/>
  <c r="G2508"/>
  <c r="H2507"/>
  <c r="G2507"/>
  <c r="H2506"/>
  <c r="G2506"/>
  <c r="H2505"/>
  <c r="G2505"/>
  <c r="H2504"/>
  <c r="G2504"/>
  <c r="H2503"/>
  <c r="G2503"/>
  <c r="H2502"/>
  <c r="G2502"/>
  <c r="H2501"/>
  <c r="G2501"/>
  <c r="H2500"/>
  <c r="G2500"/>
  <c r="H2499"/>
  <c r="G2499"/>
  <c r="H2498"/>
  <c r="G2498"/>
  <c r="H2497"/>
  <c r="G2497"/>
  <c r="H2496"/>
  <c r="G2496"/>
  <c r="H2495"/>
  <c r="G2495"/>
  <c r="H2494"/>
  <c r="G2494"/>
  <c r="H2493"/>
  <c r="G2493"/>
  <c r="H2492"/>
  <c r="G2492"/>
  <c r="D2480"/>
  <c r="G2480" s="1"/>
  <c r="C2488"/>
  <c r="E2488" s="1"/>
  <c r="E2489" s="1"/>
  <c r="F2479"/>
  <c r="G2479"/>
  <c r="D2484"/>
  <c r="F2484" s="1"/>
  <c r="F2485" s="1"/>
  <c r="D2478"/>
  <c r="F2478" s="1"/>
  <c r="D2477"/>
  <c r="G2477" s="1"/>
  <c r="H2457"/>
  <c r="H2456"/>
  <c r="H2455"/>
  <c r="H2454"/>
  <c r="H2453"/>
  <c r="H2452"/>
  <c r="H2450"/>
  <c r="H2451"/>
  <c r="F2462"/>
  <c r="G2462"/>
  <c r="G2461"/>
  <c r="F2461"/>
  <c r="G2460"/>
  <c r="F2460"/>
  <c r="G2459"/>
  <c r="F2459"/>
  <c r="G2458"/>
  <c r="F2458"/>
  <c r="E2457"/>
  <c r="G2457" s="1"/>
  <c r="G2453"/>
  <c r="F2453"/>
  <c r="E2456"/>
  <c r="F2456" s="1"/>
  <c r="E2455"/>
  <c r="F2455" s="1"/>
  <c r="E2454"/>
  <c r="F2454" s="1"/>
  <c r="E2452"/>
  <c r="F2452" s="1"/>
  <c r="E2451"/>
  <c r="G2451" s="1"/>
  <c r="G2450"/>
  <c r="F2450"/>
  <c r="I2281"/>
  <c r="F2277"/>
  <c r="E2281" s="1"/>
  <c r="E2283"/>
  <c r="F2283" s="1"/>
  <c r="E2282"/>
  <c r="F2282" s="1"/>
  <c r="I2112"/>
  <c r="F2108"/>
  <c r="H2108" s="1"/>
  <c r="F2107"/>
  <c r="G2107" s="1"/>
  <c r="E2115"/>
  <c r="F2115" s="1"/>
  <c r="E2114"/>
  <c r="F2114" s="1"/>
  <c r="E2113"/>
  <c r="F2113" s="1"/>
  <c r="G2116"/>
  <c r="F2116"/>
  <c r="F1826"/>
  <c r="E1831" s="1"/>
  <c r="E1832"/>
  <c r="F1832" s="1"/>
  <c r="G1833"/>
  <c r="F1833"/>
  <c r="G2235"/>
  <c r="G2236" s="1"/>
  <c r="E2221"/>
  <c r="F2221" s="1"/>
  <c r="E2220"/>
  <c r="G2220" s="1"/>
  <c r="E2219"/>
  <c r="G2219" s="1"/>
  <c r="H2213"/>
  <c r="G2213"/>
  <c r="H2212"/>
  <c r="G2212"/>
  <c r="F2218"/>
  <c r="H2015"/>
  <c r="G2015"/>
  <c r="E2019"/>
  <c r="E2020"/>
  <c r="F2020" s="1"/>
  <c r="G2014"/>
  <c r="H2014"/>
  <c r="F1745"/>
  <c r="G1745" s="1"/>
  <c r="F1744"/>
  <c r="G1744" s="1"/>
  <c r="E1750"/>
  <c r="G1750" s="1"/>
  <c r="G1751"/>
  <c r="F1751"/>
  <c r="H1744"/>
  <c r="E2168"/>
  <c r="F2168" s="1"/>
  <c r="H2164"/>
  <c r="G2164"/>
  <c r="H2163"/>
  <c r="G2163"/>
  <c r="H2162"/>
  <c r="G2162"/>
  <c r="H2161"/>
  <c r="G2161"/>
  <c r="E1969"/>
  <c r="G1969" s="1"/>
  <c r="G1961"/>
  <c r="G1960"/>
  <c r="G1959"/>
  <c r="G1958"/>
  <c r="G1949"/>
  <c r="H1961"/>
  <c r="H1960"/>
  <c r="H1959"/>
  <c r="H1958"/>
  <c r="G1966"/>
  <c r="F1966"/>
  <c r="D2176"/>
  <c r="G2176" s="1"/>
  <c r="G2177" s="1"/>
  <c r="E2172"/>
  <c r="F2172" s="1"/>
  <c r="E2169"/>
  <c r="F2169" s="1"/>
  <c r="F2170"/>
  <c r="D1973"/>
  <c r="G1973" s="1"/>
  <c r="G1974" s="1"/>
  <c r="E1968"/>
  <c r="F1968" s="1"/>
  <c r="E1967"/>
  <c r="F1967" s="1"/>
  <c r="F1969"/>
  <c r="D1713"/>
  <c r="I1713" s="1"/>
  <c r="I1714" s="1"/>
  <c r="E1842" s="1"/>
  <c r="E1709"/>
  <c r="F1709" s="1"/>
  <c r="E1708"/>
  <c r="G1708" s="1"/>
  <c r="H2309"/>
  <c r="G2309"/>
  <c r="H2411"/>
  <c r="G2411"/>
  <c r="H2410"/>
  <c r="G2410"/>
  <c r="H2409"/>
  <c r="G2409"/>
  <c r="H2408"/>
  <c r="G2408"/>
  <c r="H2428"/>
  <c r="G2428"/>
  <c r="H2427"/>
  <c r="G2427"/>
  <c r="H2426"/>
  <c r="G2426"/>
  <c r="H2425"/>
  <c r="G2425"/>
  <c r="H2420"/>
  <c r="G2420"/>
  <c r="H2419"/>
  <c r="G2419"/>
  <c r="H2418"/>
  <c r="G2418"/>
  <c r="H2417"/>
  <c r="G2417"/>
  <c r="H2416"/>
  <c r="G2416"/>
  <c r="H2415"/>
  <c r="G2415"/>
  <c r="H2414"/>
  <c r="G2414"/>
  <c r="H2413"/>
  <c r="G2413"/>
  <c r="H2424"/>
  <c r="G2424"/>
  <c r="H2423"/>
  <c r="G2423"/>
  <c r="H2422"/>
  <c r="G2422"/>
  <c r="H2421"/>
  <c r="G2421"/>
  <c r="H2391"/>
  <c r="G2391"/>
  <c r="H2390"/>
  <c r="G2390"/>
  <c r="H2389"/>
  <c r="G2389"/>
  <c r="H2388"/>
  <c r="G2388"/>
  <c r="H2387"/>
  <c r="G2387"/>
  <c r="H2386"/>
  <c r="G2386"/>
  <c r="H2385"/>
  <c r="G2385"/>
  <c r="H2384"/>
  <c r="G2384"/>
  <c r="H2383"/>
  <c r="G2383"/>
  <c r="H2382"/>
  <c r="G2382"/>
  <c r="H2381"/>
  <c r="G2381"/>
  <c r="H2363"/>
  <c r="G2363"/>
  <c r="H2362"/>
  <c r="G2362"/>
  <c r="H2361"/>
  <c r="G2361"/>
  <c r="H2360"/>
  <c r="G2360"/>
  <c r="H2359"/>
  <c r="G2359"/>
  <c r="H2358"/>
  <c r="G2358"/>
  <c r="H2357"/>
  <c r="G2357"/>
  <c r="H2356"/>
  <c r="G2356"/>
  <c r="H2355"/>
  <c r="G2355"/>
  <c r="H2354"/>
  <c r="G2354"/>
  <c r="H2353"/>
  <c r="G2353"/>
  <c r="H2352"/>
  <c r="G2352"/>
  <c r="H2336"/>
  <c r="G2336"/>
  <c r="H2335"/>
  <c r="G2335"/>
  <c r="H2334"/>
  <c r="G2334"/>
  <c r="H2333"/>
  <c r="G2333"/>
  <c r="H2332"/>
  <c r="G2332"/>
  <c r="H2331"/>
  <c r="G2331"/>
  <c r="H2330"/>
  <c r="G2330"/>
  <c r="H2329"/>
  <c r="G2329"/>
  <c r="H2328"/>
  <c r="G2328"/>
  <c r="H2327"/>
  <c r="G2327"/>
  <c r="H2326"/>
  <c r="G2326"/>
  <c r="H2325"/>
  <c r="G2325"/>
  <c r="H2308"/>
  <c r="G2308"/>
  <c r="H2307"/>
  <c r="G2307"/>
  <c r="H2306"/>
  <c r="G2306"/>
  <c r="H2305"/>
  <c r="G2305"/>
  <c r="H2304"/>
  <c r="G2304"/>
  <c r="H2303"/>
  <c r="G2303"/>
  <c r="H2302"/>
  <c r="G2302"/>
  <c r="H2301"/>
  <c r="G2301"/>
  <c r="H2300"/>
  <c r="G2300"/>
  <c r="H2299"/>
  <c r="G2299"/>
  <c r="H2298"/>
  <c r="G2298"/>
  <c r="H2093"/>
  <c r="G2093"/>
  <c r="H2092"/>
  <c r="G2092"/>
  <c r="H2086"/>
  <c r="G2086"/>
  <c r="H2085"/>
  <c r="G2085"/>
  <c r="H2084"/>
  <c r="G2084"/>
  <c r="H2056"/>
  <c r="G2056"/>
  <c r="H2055"/>
  <c r="G2055"/>
  <c r="H1816"/>
  <c r="G1816"/>
  <c r="H1815"/>
  <c r="G1815"/>
  <c r="H1814"/>
  <c r="G1814"/>
  <c r="H1813"/>
  <c r="G1813"/>
  <c r="H1812"/>
  <c r="G1812"/>
  <c r="H1811"/>
  <c r="G1811"/>
  <c r="H1771"/>
  <c r="G1771"/>
  <c r="H2009"/>
  <c r="G2009"/>
  <c r="H2008"/>
  <c r="G2008"/>
  <c r="H2007"/>
  <c r="G2007"/>
  <c r="H2003"/>
  <c r="G2003"/>
  <c r="G1987"/>
  <c r="H1987"/>
  <c r="H2371"/>
  <c r="H2370"/>
  <c r="G2370"/>
  <c r="H2157"/>
  <c r="G2157"/>
  <c r="H2156"/>
  <c r="G2156"/>
  <c r="H2150"/>
  <c r="G2150"/>
  <c r="H2149"/>
  <c r="G2149"/>
  <c r="H2148"/>
  <c r="G2148"/>
  <c r="H2147"/>
  <c r="G2147"/>
  <c r="H2143"/>
  <c r="G2143"/>
  <c r="H2142"/>
  <c r="G2142"/>
  <c r="H2141"/>
  <c r="G2141"/>
  <c r="F2140"/>
  <c r="G2140" s="1"/>
  <c r="F2138"/>
  <c r="H2138" s="1"/>
  <c r="F2136"/>
  <c r="H2136" s="1"/>
  <c r="F2135"/>
  <c r="H2135" s="1"/>
  <c r="H2139"/>
  <c r="G2139"/>
  <c r="H2137"/>
  <c r="G2137"/>
  <c r="H2134"/>
  <c r="G2134"/>
  <c r="H1954"/>
  <c r="G1954"/>
  <c r="H1953"/>
  <c r="G1953"/>
  <c r="H1952"/>
  <c r="G1952"/>
  <c r="G1913"/>
  <c r="H1913"/>
  <c r="H1901"/>
  <c r="G1901"/>
  <c r="H1900"/>
  <c r="G1900"/>
  <c r="H1899"/>
  <c r="G1899"/>
  <c r="H1898"/>
  <c r="G1898"/>
  <c r="H1897"/>
  <c r="G1897"/>
  <c r="H1896"/>
  <c r="G1896"/>
  <c r="H1895"/>
  <c r="G1895"/>
  <c r="H1894"/>
  <c r="G1894"/>
  <c r="H1893"/>
  <c r="G1893"/>
  <c r="H1892"/>
  <c r="G1892"/>
  <c r="H1891"/>
  <c r="G1891"/>
  <c r="H1890"/>
  <c r="G1890"/>
  <c r="H1889"/>
  <c r="G1889"/>
  <c r="H1888"/>
  <c r="G1888"/>
  <c r="H1881"/>
  <c r="G1881"/>
  <c r="H1883"/>
  <c r="G1883"/>
  <c r="H1882"/>
  <c r="G1882"/>
  <c r="H1880"/>
  <c r="G1880"/>
  <c r="H1879"/>
  <c r="G1879"/>
  <c r="H1878"/>
  <c r="G1878"/>
  <c r="H1877"/>
  <c r="G1877"/>
  <c r="H1876"/>
  <c r="G1876"/>
  <c r="H1875"/>
  <c r="G1875"/>
  <c r="H1873"/>
  <c r="G1873"/>
  <c r="H1869"/>
  <c r="G1869"/>
  <c r="H1868"/>
  <c r="G1868"/>
  <c r="H1704"/>
  <c r="G1704"/>
  <c r="H1703"/>
  <c r="G1703"/>
  <c r="H1674"/>
  <c r="G1674"/>
  <c r="H1672"/>
  <c r="G1672"/>
  <c r="H1671"/>
  <c r="G1671"/>
  <c r="H1669"/>
  <c r="G1669"/>
  <c r="H1667"/>
  <c r="G1667"/>
  <c r="H1665"/>
  <c r="G1665"/>
  <c r="H1663"/>
  <c r="G1663"/>
  <c r="H1661"/>
  <c r="G1661"/>
  <c r="H1659"/>
  <c r="G1659"/>
  <c r="H1657"/>
  <c r="G1657"/>
  <c r="F1652"/>
  <c r="H1652" s="1"/>
  <c r="H1653"/>
  <c r="G1653"/>
  <c r="H1655"/>
  <c r="G1655"/>
  <c r="H1650"/>
  <c r="G1650"/>
  <c r="H1644"/>
  <c r="G1644"/>
  <c r="H1643"/>
  <c r="G1643"/>
  <c r="H1647"/>
  <c r="G1647"/>
  <c r="H1646"/>
  <c r="G1646"/>
  <c r="H1645"/>
  <c r="G1645"/>
  <c r="B3" i="10"/>
  <c r="B3" i="9"/>
  <c r="E861"/>
  <c r="H860"/>
  <c r="E845"/>
  <c r="H844"/>
  <c r="E829"/>
  <c r="H828"/>
  <c r="E813"/>
  <c r="H812"/>
  <c r="E797"/>
  <c r="H796"/>
  <c r="E749"/>
  <c r="H748"/>
  <c r="E733"/>
  <c r="H732"/>
  <c r="E685"/>
  <c r="E669"/>
  <c r="H668"/>
  <c r="E653"/>
  <c r="H652"/>
  <c r="E637"/>
  <c r="H636"/>
  <c r="E621"/>
  <c r="H620"/>
  <c r="E592"/>
  <c r="H591"/>
  <c r="E575"/>
  <c r="H574"/>
  <c r="E550"/>
  <c r="H549"/>
  <c r="E524"/>
  <c r="H523"/>
  <c r="E498"/>
  <c r="H497"/>
  <c r="E482"/>
  <c r="H481"/>
  <c r="E466"/>
  <c r="H465"/>
  <c r="E449"/>
  <c r="H448"/>
  <c r="E432"/>
  <c r="H431"/>
  <c r="E410"/>
  <c r="H409"/>
  <c r="E394"/>
  <c r="H393"/>
  <c r="E378"/>
  <c r="H377"/>
  <c r="E361"/>
  <c r="H360"/>
  <c r="E344"/>
  <c r="H343"/>
  <c r="E322"/>
  <c r="H321"/>
  <c r="E296"/>
  <c r="H295"/>
  <c r="E270"/>
  <c r="H269"/>
  <c r="E244"/>
  <c r="H243"/>
  <c r="E225"/>
  <c r="H224"/>
  <c r="E209"/>
  <c r="H208"/>
  <c r="E193"/>
  <c r="H192"/>
  <c r="E177"/>
  <c r="H176"/>
  <c r="E161"/>
  <c r="H160"/>
  <c r="E145"/>
  <c r="H144"/>
  <c r="E129"/>
  <c r="H128"/>
  <c r="E113"/>
  <c r="H112"/>
  <c r="E97"/>
  <c r="H96"/>
  <c r="E81"/>
  <c r="H80"/>
  <c r="H48"/>
  <c r="E49"/>
  <c r="H64"/>
  <c r="E65"/>
  <c r="H32"/>
  <c r="E33"/>
  <c r="H16"/>
  <c r="E17"/>
  <c r="C15" i="6"/>
  <c r="C14"/>
  <c r="C13"/>
  <c r="E4" i="10"/>
  <c r="E3"/>
  <c r="J4" i="9"/>
  <c r="J3"/>
  <c r="J833"/>
  <c r="J835" s="1"/>
  <c r="J826" s="1"/>
  <c r="E184" i="10" s="1"/>
  <c r="F6417" i="9"/>
  <c r="E6417"/>
  <c r="F6416"/>
  <c r="E6416"/>
  <c r="G6415"/>
  <c r="F6415"/>
  <c r="E6415"/>
  <c r="G6414"/>
  <c r="F6414"/>
  <c r="E6414"/>
  <c r="E6413"/>
  <c r="I6407"/>
  <c r="H6407"/>
  <c r="G6407"/>
  <c r="F6407"/>
  <c r="I6406"/>
  <c r="H6406"/>
  <c r="G6406"/>
  <c r="F6406"/>
  <c r="I6405"/>
  <c r="H6405"/>
  <c r="G6405"/>
  <c r="F6405"/>
  <c r="I6404"/>
  <c r="H6404"/>
  <c r="G6404"/>
  <c r="F6404"/>
  <c r="I6403"/>
  <c r="H6403"/>
  <c r="G6403"/>
  <c r="F6403"/>
  <c r="I6402"/>
  <c r="H6402"/>
  <c r="G6402"/>
  <c r="F6402"/>
  <c r="E6396"/>
  <c r="E6395"/>
  <c r="E6391"/>
  <c r="H6380"/>
  <c r="H6377"/>
  <c r="H6379" s="1"/>
  <c r="G6377"/>
  <c r="H6375"/>
  <c r="E6369"/>
  <c r="E6368"/>
  <c r="E6364"/>
  <c r="E6367" s="1"/>
  <c r="H6353"/>
  <c r="H6350"/>
  <c r="H6352" s="1"/>
  <c r="G6350"/>
  <c r="H6348"/>
  <c r="E6342"/>
  <c r="E6341"/>
  <c r="E6337"/>
  <c r="E6340" s="1"/>
  <c r="H6326"/>
  <c r="H6323"/>
  <c r="H6325" s="1"/>
  <c r="G6323"/>
  <c r="H6321"/>
  <c r="E6312"/>
  <c r="E6311"/>
  <c r="E6307"/>
  <c r="E6310" s="1"/>
  <c r="H6296"/>
  <c r="H6293"/>
  <c r="H6295" s="1"/>
  <c r="G6293"/>
  <c r="H6291"/>
  <c r="E6285"/>
  <c r="E6284"/>
  <c r="E6280"/>
  <c r="E6283" s="1"/>
  <c r="H6269"/>
  <c r="H6266"/>
  <c r="H6268" s="1"/>
  <c r="G6266"/>
  <c r="H6264"/>
  <c r="E6258"/>
  <c r="E6257"/>
  <c r="E6253"/>
  <c r="E6256" s="1"/>
  <c r="H6242"/>
  <c r="H6239"/>
  <c r="H6241" s="1"/>
  <c r="G6239"/>
  <c r="H6237"/>
  <c r="E6231"/>
  <c r="E6230"/>
  <c r="E6226"/>
  <c r="E6229" s="1"/>
  <c r="H6215"/>
  <c r="H6212"/>
  <c r="H6214" s="1"/>
  <c r="G6212"/>
  <c r="H6210"/>
  <c r="E6205"/>
  <c r="E6198"/>
  <c r="E6194"/>
  <c r="E6204" s="1"/>
  <c r="H6185"/>
  <c r="H6182"/>
  <c r="H6184" s="1"/>
  <c r="G6182"/>
  <c r="H6181"/>
  <c r="E6172"/>
  <c r="E6171"/>
  <c r="E6164"/>
  <c r="E6167" s="1"/>
  <c r="E6160"/>
  <c r="E6170" s="1"/>
  <c r="H6151"/>
  <c r="H6148"/>
  <c r="H6150" s="1"/>
  <c r="G6148"/>
  <c r="H6147"/>
  <c r="E6136"/>
  <c r="E6135"/>
  <c r="E6128"/>
  <c r="E6131" s="1"/>
  <c r="E6124"/>
  <c r="E6134" s="1"/>
  <c r="H6118"/>
  <c r="H6115"/>
  <c r="H6117" s="1"/>
  <c r="G6115"/>
  <c r="H6114"/>
  <c r="E6103"/>
  <c r="E6102"/>
  <c r="E6098"/>
  <c r="E6095"/>
  <c r="E6091"/>
  <c r="E6101" s="1"/>
  <c r="H6085"/>
  <c r="H6084"/>
  <c r="E6089" s="1"/>
  <c r="E6090" s="1"/>
  <c r="H6082"/>
  <c r="G6082"/>
  <c r="H6081"/>
  <c r="E6070"/>
  <c r="E6069"/>
  <c r="E6062"/>
  <c r="E6065" s="1"/>
  <c r="E6058"/>
  <c r="E6068" s="1"/>
  <c r="H6049"/>
  <c r="H6046"/>
  <c r="H6048" s="1"/>
  <c r="G6046"/>
  <c r="H6045"/>
  <c r="E6036"/>
  <c r="E6035"/>
  <c r="E6028"/>
  <c r="E6031" s="1"/>
  <c r="E6024"/>
  <c r="E6034" s="1"/>
  <c r="H6015"/>
  <c r="H6012"/>
  <c r="H6014" s="1"/>
  <c r="G6012"/>
  <c r="H6011"/>
  <c r="E6002"/>
  <c r="E6001"/>
  <c r="E5994"/>
  <c r="E5997" s="1"/>
  <c r="E5990"/>
  <c r="E6000" s="1"/>
  <c r="H5981"/>
  <c r="H5978"/>
  <c r="H5980" s="1"/>
  <c r="G5978"/>
  <c r="H5977"/>
  <c r="E5968"/>
  <c r="E5967"/>
  <c r="E5960"/>
  <c r="E5963" s="1"/>
  <c r="E5956"/>
  <c r="E5966" s="1"/>
  <c r="H5947"/>
  <c r="H5944"/>
  <c r="H5946" s="1"/>
  <c r="G5944"/>
  <c r="H5943"/>
  <c r="E5934"/>
  <c r="E5933"/>
  <c r="E5926"/>
  <c r="E5929" s="1"/>
  <c r="E5922"/>
  <c r="E5932" s="1"/>
  <c r="H5913"/>
  <c r="H5910"/>
  <c r="H5912" s="1"/>
  <c r="G5910"/>
  <c r="H5909"/>
  <c r="E5900"/>
  <c r="E5899"/>
  <c r="E5892"/>
  <c r="E6593" s="1"/>
  <c r="J769" s="1"/>
  <c r="J771" s="1"/>
  <c r="J762" s="1"/>
  <c r="E153" i="10" s="1"/>
  <c r="E5888" i="9"/>
  <c r="E5898" s="1"/>
  <c r="H5879"/>
  <c r="H5876"/>
  <c r="H5878" s="1"/>
  <c r="G5876"/>
  <c r="H5875"/>
  <c r="E5866"/>
  <c r="E5867" s="1"/>
  <c r="E5865"/>
  <c r="E5861"/>
  <c r="E5858"/>
  <c r="E5854"/>
  <c r="E5864" s="1"/>
  <c r="I5841"/>
  <c r="F5841"/>
  <c r="F5838"/>
  <c r="F5837"/>
  <c r="F5839" s="1"/>
  <c r="E5831"/>
  <c r="E5832" s="1"/>
  <c r="E5830"/>
  <c r="E5823"/>
  <c r="E5819"/>
  <c r="E5829" s="1"/>
  <c r="I5806"/>
  <c r="F5806"/>
  <c r="F5803"/>
  <c r="F5802"/>
  <c r="E5765"/>
  <c r="E5764"/>
  <c r="E5757"/>
  <c r="E5760" s="1"/>
  <c r="E5753"/>
  <c r="E5763" s="1"/>
  <c r="H5744"/>
  <c r="H5741"/>
  <c r="H5743" s="1"/>
  <c r="G5741"/>
  <c r="H5740"/>
  <c r="E5731"/>
  <c r="E5730"/>
  <c r="E5723"/>
  <c r="E5726" s="1"/>
  <c r="E5719"/>
  <c r="E5729" s="1"/>
  <c r="H5710"/>
  <c r="H5707"/>
  <c r="H5709" s="1"/>
  <c r="G5707"/>
  <c r="H5706"/>
  <c r="E5697"/>
  <c r="E5698" s="1"/>
  <c r="E5696"/>
  <c r="E5689"/>
  <c r="E5692" s="1"/>
  <c r="E5685"/>
  <c r="E5695" s="1"/>
  <c r="I5673"/>
  <c r="F5673"/>
  <c r="F5670"/>
  <c r="F5669"/>
  <c r="E5663"/>
  <c r="E5664" s="1"/>
  <c r="E5662"/>
  <c r="E5655"/>
  <c r="E5658" s="1"/>
  <c r="E5651"/>
  <c r="E5661" s="1"/>
  <c r="I5638"/>
  <c r="F5638"/>
  <c r="F5635"/>
  <c r="F5634"/>
  <c r="E5629"/>
  <c r="E5628"/>
  <c r="E5617"/>
  <c r="E5610"/>
  <c r="E5627" s="1"/>
  <c r="H5601"/>
  <c r="H5598"/>
  <c r="H5600" s="1"/>
  <c r="G5598"/>
  <c r="H5597"/>
  <c r="E5588"/>
  <c r="E5587"/>
  <c r="E5580"/>
  <c r="E5583" s="1"/>
  <c r="E5576"/>
  <c r="E5586" s="1"/>
  <c r="H5567"/>
  <c r="H5564"/>
  <c r="H5566" s="1"/>
  <c r="G5564"/>
  <c r="H5563"/>
  <c r="E5554"/>
  <c r="E5553"/>
  <c r="E5542"/>
  <c r="E5535"/>
  <c r="E5552" s="1"/>
  <c r="H5526"/>
  <c r="H5523"/>
  <c r="H5525" s="1"/>
  <c r="G5523"/>
  <c r="H5522"/>
  <c r="E5513"/>
  <c r="E5512"/>
  <c r="E5501"/>
  <c r="E5494"/>
  <c r="E5511" s="1"/>
  <c r="H5485"/>
  <c r="H5482"/>
  <c r="H5484" s="1"/>
  <c r="G5482"/>
  <c r="H5481"/>
  <c r="E5472"/>
  <c r="E5471"/>
  <c r="E5464"/>
  <c r="E5467" s="1"/>
  <c r="E5460"/>
  <c r="E5470" s="1"/>
  <c r="H5451"/>
  <c r="H5448"/>
  <c r="H5450" s="1"/>
  <c r="G5448"/>
  <c r="H5447"/>
  <c r="E5438"/>
  <c r="E5437"/>
  <c r="E5430"/>
  <c r="E5433" s="1"/>
  <c r="E5426"/>
  <c r="E5436" s="1"/>
  <c r="H5417"/>
  <c r="H5414"/>
  <c r="H5416" s="1"/>
  <c r="G5414"/>
  <c r="H5413"/>
  <c r="E5404"/>
  <c r="E5403"/>
  <c r="E5396"/>
  <c r="E5399" s="1"/>
  <c r="E5392"/>
  <c r="E5402" s="1"/>
  <c r="H5383"/>
  <c r="H5380"/>
  <c r="H5382" s="1"/>
  <c r="G5380"/>
  <c r="H5379"/>
  <c r="E5370"/>
  <c r="E5369"/>
  <c r="E5358"/>
  <c r="E5351"/>
  <c r="E5368" s="1"/>
  <c r="H5342"/>
  <c r="H5339"/>
  <c r="H5341" s="1"/>
  <c r="G5339"/>
  <c r="H5338"/>
  <c r="E5328"/>
  <c r="E5327"/>
  <c r="E5316"/>
  <c r="E5309"/>
  <c r="E5326" s="1"/>
  <c r="H5300"/>
  <c r="H5297"/>
  <c r="H5299" s="1"/>
  <c r="G5297"/>
  <c r="H5296"/>
  <c r="E5265"/>
  <c r="E5264"/>
  <c r="E5260"/>
  <c r="E5263" s="1"/>
  <c r="E5258"/>
  <c r="E5259" s="1"/>
  <c r="E5242"/>
  <c r="E5241"/>
  <c r="E5237"/>
  <c r="E5240" s="1"/>
  <c r="E5235"/>
  <c r="E5236" s="1"/>
  <c r="E5219"/>
  <c r="E5218"/>
  <c r="E5214"/>
  <c r="E5217" s="1"/>
  <c r="E5212"/>
  <c r="E5213" s="1"/>
  <c r="E5196"/>
  <c r="E5195"/>
  <c r="E5191"/>
  <c r="E5194" s="1"/>
  <c r="E5189"/>
  <c r="E5190" s="1"/>
  <c r="E5173"/>
  <c r="E5172"/>
  <c r="E5168"/>
  <c r="E5171" s="1"/>
  <c r="E5166"/>
  <c r="E5167" s="1"/>
  <c r="E5107"/>
  <c r="E5106"/>
  <c r="E5102"/>
  <c r="E5105" s="1"/>
  <c r="E5100"/>
  <c r="E5101" s="1"/>
  <c r="E5084"/>
  <c r="E5083"/>
  <c r="E5079"/>
  <c r="E5082" s="1"/>
  <c r="E5077"/>
  <c r="E5078" s="1"/>
  <c r="E5061"/>
  <c r="E5060"/>
  <c r="E5056"/>
  <c r="E5059" s="1"/>
  <c r="E5054"/>
  <c r="E5055" s="1"/>
  <c r="E5038"/>
  <c r="E5037"/>
  <c r="E5033"/>
  <c r="E5036" s="1"/>
  <c r="E5031"/>
  <c r="E5032" s="1"/>
  <c r="E5015"/>
  <c r="E5014"/>
  <c r="E5010"/>
  <c r="E5013" s="1"/>
  <c r="E5008"/>
  <c r="E5009" s="1"/>
  <c r="E4992"/>
  <c r="E4991"/>
  <c r="E4987"/>
  <c r="E4990" s="1"/>
  <c r="E4985"/>
  <c r="E4986" s="1"/>
  <c r="E4947"/>
  <c r="E4946"/>
  <c r="E4942"/>
  <c r="E4945" s="1"/>
  <c r="E4940"/>
  <c r="E4941" s="1"/>
  <c r="E4924"/>
  <c r="E4923"/>
  <c r="E4919"/>
  <c r="E4922" s="1"/>
  <c r="E4917"/>
  <c r="E4918" s="1"/>
  <c r="E4901"/>
  <c r="E4900"/>
  <c r="E4896"/>
  <c r="E4899" s="1"/>
  <c r="E4894"/>
  <c r="E4895" s="1"/>
  <c r="E4878"/>
  <c r="E4877"/>
  <c r="E4873"/>
  <c r="E4876" s="1"/>
  <c r="E4871"/>
  <c r="E4872" s="1"/>
  <c r="E4855"/>
  <c r="E4854"/>
  <c r="E4850"/>
  <c r="E4853" s="1"/>
  <c r="E4848"/>
  <c r="E4849" s="1"/>
  <c r="E4832"/>
  <c r="E4831"/>
  <c r="E4827"/>
  <c r="E4830" s="1"/>
  <c r="E4825"/>
  <c r="E4826" s="1"/>
  <c r="E4809"/>
  <c r="E4808"/>
  <c r="E4804"/>
  <c r="E4807" s="1"/>
  <c r="E4802"/>
  <c r="E4803" s="1"/>
  <c r="E4786"/>
  <c r="E4785"/>
  <c r="E4781"/>
  <c r="E4784" s="1"/>
  <c r="E4779"/>
  <c r="E4780" s="1"/>
  <c r="E4763"/>
  <c r="E4762"/>
  <c r="E4758"/>
  <c r="E4761" s="1"/>
  <c r="E4756"/>
  <c r="E4757" s="1"/>
  <c r="E4740"/>
  <c r="E4739"/>
  <c r="E4735"/>
  <c r="E4738" s="1"/>
  <c r="E4733"/>
  <c r="E4734" s="1"/>
  <c r="E4717"/>
  <c r="E4716"/>
  <c r="E4712"/>
  <c r="E4715" s="1"/>
  <c r="E4710"/>
  <c r="E4711" s="1"/>
  <c r="E4694"/>
  <c r="E4693"/>
  <c r="E4689"/>
  <c r="E4692" s="1"/>
  <c r="E4687"/>
  <c r="E4688" s="1"/>
  <c r="E4671"/>
  <c r="E4670"/>
  <c r="E4666"/>
  <c r="E4669" s="1"/>
  <c r="E4664"/>
  <c r="E4665" s="1"/>
  <c r="E4647"/>
  <c r="E4646"/>
  <c r="E4642"/>
  <c r="E4645" s="1"/>
  <c r="E4640"/>
  <c r="E4641" s="1"/>
  <c r="E4624"/>
  <c r="E4623"/>
  <c r="E4619"/>
  <c r="E4622" s="1"/>
  <c r="E4617"/>
  <c r="E4618" s="1"/>
  <c r="E4600"/>
  <c r="E4599"/>
  <c r="E4595"/>
  <c r="E4598" s="1"/>
  <c r="E4593"/>
  <c r="E4594" s="1"/>
  <c r="E4577"/>
  <c r="E4576"/>
  <c r="E4572"/>
  <c r="E4575" s="1"/>
  <c r="E4570"/>
  <c r="E4571" s="1"/>
  <c r="E4463"/>
  <c r="J562" s="1"/>
  <c r="E4400"/>
  <c r="E4399"/>
  <c r="E4392"/>
  <c r="E4388"/>
  <c r="H4379"/>
  <c r="H4376"/>
  <c r="H4378" s="1"/>
  <c r="G4376"/>
  <c r="H4375"/>
  <c r="E4367"/>
  <c r="E4366"/>
  <c r="E4359"/>
  <c r="E4362" s="1"/>
  <c r="E4355"/>
  <c r="E4365" s="1"/>
  <c r="H4343"/>
  <c r="H4340"/>
  <c r="H4342" s="1"/>
  <c r="G4340"/>
  <c r="H4339"/>
  <c r="E4300"/>
  <c r="E4299"/>
  <c r="E4292"/>
  <c r="E4288"/>
  <c r="E4298" s="1"/>
  <c r="H4279"/>
  <c r="H4276"/>
  <c r="H4278" s="1"/>
  <c r="G4276"/>
  <c r="H4275"/>
  <c r="E4267"/>
  <c r="E4266"/>
  <c r="E4259"/>
  <c r="E4262" s="1"/>
  <c r="E4255"/>
  <c r="E4265" s="1"/>
  <c r="H4243"/>
  <c r="H4240"/>
  <c r="H4242" s="1"/>
  <c r="G4240"/>
  <c r="H4239"/>
  <c r="E4234"/>
  <c r="E4233"/>
  <c r="E4229"/>
  <c r="E4232" s="1"/>
  <c r="E4227"/>
  <c r="E4211"/>
  <c r="E4210"/>
  <c r="E4206"/>
  <c r="E4209" s="1"/>
  <c r="E4204"/>
  <c r="E4188"/>
  <c r="E4128"/>
  <c r="E4127"/>
  <c r="E4120"/>
  <c r="E4123" s="1"/>
  <c r="E4116"/>
  <c r="H4104"/>
  <c r="H4101"/>
  <c r="H4103" s="1"/>
  <c r="G4101"/>
  <c r="H4100"/>
  <c r="E4094"/>
  <c r="E4093"/>
  <c r="E4086"/>
  <c r="E4089" s="1"/>
  <c r="E4082"/>
  <c r="E4092" s="1"/>
  <c r="H4070"/>
  <c r="H4067"/>
  <c r="H4069" s="1"/>
  <c r="G4067"/>
  <c r="H4066"/>
  <c r="E4060"/>
  <c r="E4059"/>
  <c r="E4052"/>
  <c r="E4055" s="1"/>
  <c r="E4048"/>
  <c r="E4058" s="1"/>
  <c r="H4036"/>
  <c r="H4033"/>
  <c r="H4035" s="1"/>
  <c r="G4033"/>
  <c r="H4032"/>
  <c r="E4026"/>
  <c r="E4025"/>
  <c r="E4018"/>
  <c r="E4014"/>
  <c r="E4024" s="1"/>
  <c r="H4002"/>
  <c r="H3999"/>
  <c r="H4001" s="1"/>
  <c r="G3999"/>
  <c r="H3998"/>
  <c r="E3992"/>
  <c r="E3991"/>
  <c r="E3984"/>
  <c r="E3987" s="1"/>
  <c r="E3980"/>
  <c r="E3990" s="1"/>
  <c r="H3968"/>
  <c r="H3965"/>
  <c r="H3967" s="1"/>
  <c r="G3965"/>
  <c r="H3964"/>
  <c r="E3958"/>
  <c r="E3957"/>
  <c r="E3950"/>
  <c r="E3953" s="1"/>
  <c r="E3946"/>
  <c r="E3956" s="1"/>
  <c r="H3934"/>
  <c r="H3931"/>
  <c r="H3933" s="1"/>
  <c r="G3931"/>
  <c r="H3930"/>
  <c r="E3924"/>
  <c r="E3923"/>
  <c r="E3916"/>
  <c r="E3912"/>
  <c r="E3922" s="1"/>
  <c r="H3900"/>
  <c r="H3897"/>
  <c r="H3899" s="1"/>
  <c r="G3897"/>
  <c r="H3896"/>
  <c r="E3890"/>
  <c r="E3889"/>
  <c r="E3882"/>
  <c r="E3885" s="1"/>
  <c r="E3878"/>
  <c r="E3888" s="1"/>
  <c r="H3866"/>
  <c r="H3863"/>
  <c r="H3865" s="1"/>
  <c r="G3863"/>
  <c r="H3862"/>
  <c r="E3790"/>
  <c r="E3789"/>
  <c r="E3785"/>
  <c r="E3788" s="1"/>
  <c r="E3783"/>
  <c r="E3767"/>
  <c r="E3766"/>
  <c r="E3762"/>
  <c r="E3765" s="1"/>
  <c r="E3760"/>
  <c r="E3715"/>
  <c r="E3722"/>
  <c r="E3698"/>
  <c r="E3673"/>
  <c r="E3649"/>
  <c r="E3648"/>
  <c r="E3641"/>
  <c r="E3644" s="1"/>
  <c r="D3665" s="1"/>
  <c r="J330" s="1"/>
  <c r="E3637"/>
  <c r="H3625"/>
  <c r="H3622"/>
  <c r="H3624" s="1"/>
  <c r="G3622"/>
  <c r="H3621"/>
  <c r="E3615"/>
  <c r="E3590"/>
  <c r="E3566"/>
  <c r="E3565"/>
  <c r="E3561"/>
  <c r="E3564" s="1"/>
  <c r="E3559"/>
  <c r="E3545"/>
  <c r="E3544"/>
  <c r="E3540"/>
  <c r="E3543" s="1"/>
  <c r="E3538"/>
  <c r="E3524"/>
  <c r="E3523"/>
  <c r="E3519"/>
  <c r="E3522" s="1"/>
  <c r="E3517"/>
  <c r="E3503"/>
  <c r="E3502"/>
  <c r="E3498"/>
  <c r="E3501" s="1"/>
  <c r="E3496"/>
  <c r="E3481"/>
  <c r="E3480"/>
  <c r="E3476"/>
  <c r="E3479" s="1"/>
  <c r="E3474"/>
  <c r="E3459"/>
  <c r="E3458"/>
  <c r="E3454"/>
  <c r="E3457" s="1"/>
  <c r="E3452"/>
  <c r="E3438"/>
  <c r="E3437"/>
  <c r="E3433"/>
  <c r="E3436" s="1"/>
  <c r="E3431"/>
  <c r="E3416"/>
  <c r="E3415"/>
  <c r="E3411"/>
  <c r="D3582" s="1"/>
  <c r="J382" s="1"/>
  <c r="J384" s="1"/>
  <c r="J375" s="1"/>
  <c r="E109" i="10" s="1"/>
  <c r="E3408" i="9"/>
  <c r="E3582" s="1"/>
  <c r="E3404"/>
  <c r="E3414" s="1"/>
  <c r="H3395"/>
  <c r="H3394"/>
  <c r="H3392"/>
  <c r="G3392"/>
  <c r="H3391"/>
  <c r="E3380"/>
  <c r="J558" s="1"/>
  <c r="E3357"/>
  <c r="E3356"/>
  <c r="E3349"/>
  <c r="E3345"/>
  <c r="E3355" s="1"/>
  <c r="H3333"/>
  <c r="H3330"/>
  <c r="H3332" s="1"/>
  <c r="G3330"/>
  <c r="H3329"/>
  <c r="E3324"/>
  <c r="E3323"/>
  <c r="E3316"/>
  <c r="E3319" s="1"/>
  <c r="E3312"/>
  <c r="E3322" s="1"/>
  <c r="H3300"/>
  <c r="H3297"/>
  <c r="H3299" s="1"/>
  <c r="G3297"/>
  <c r="H3296"/>
  <c r="E3290"/>
  <c r="F3228"/>
  <c r="E3228"/>
  <c r="E3224"/>
  <c r="E3223"/>
  <c r="E3218"/>
  <c r="E3222" s="1"/>
  <c r="H3205"/>
  <c r="H3202"/>
  <c r="H3204" s="1"/>
  <c r="G3202"/>
  <c r="H3201"/>
  <c r="E3196"/>
  <c r="E3195"/>
  <c r="E3190"/>
  <c r="E3194" s="1"/>
  <c r="H3177"/>
  <c r="H3174"/>
  <c r="H3176" s="1"/>
  <c r="G3174"/>
  <c r="H3173"/>
  <c r="E3168"/>
  <c r="E3167"/>
  <c r="E3162"/>
  <c r="E3166" s="1"/>
  <c r="H3149"/>
  <c r="H3146"/>
  <c r="H3148" s="1"/>
  <c r="G3146"/>
  <c r="H3145"/>
  <c r="E3140"/>
  <c r="E3139"/>
  <c r="E3134"/>
  <c r="E3138" s="1"/>
  <c r="H3121"/>
  <c r="H3118"/>
  <c r="H3120" s="1"/>
  <c r="G3118"/>
  <c r="H3117"/>
  <c r="E3112"/>
  <c r="E3111"/>
  <c r="E3106"/>
  <c r="E3110" s="1"/>
  <c r="H3093"/>
  <c r="H3090"/>
  <c r="H3092" s="1"/>
  <c r="G3090"/>
  <c r="H3089"/>
  <c r="E3084"/>
  <c r="E3083"/>
  <c r="E3078"/>
  <c r="E3082" s="1"/>
  <c r="H3065"/>
  <c r="H3062"/>
  <c r="H3064" s="1"/>
  <c r="G3062"/>
  <c r="H3061"/>
  <c r="E3056"/>
  <c r="E3055"/>
  <c r="E3050"/>
  <c r="E3054" s="1"/>
  <c r="H3037"/>
  <c r="H3034"/>
  <c r="H3036" s="1"/>
  <c r="G3034"/>
  <c r="H3033"/>
  <c r="E3029"/>
  <c r="E3028"/>
  <c r="E3024"/>
  <c r="E3027" s="1"/>
  <c r="H3013"/>
  <c r="H3010"/>
  <c r="H3012" s="1"/>
  <c r="G3010"/>
  <c r="H3008"/>
  <c r="E3001"/>
  <c r="E3000"/>
  <c r="E2996"/>
  <c r="E2999" s="1"/>
  <c r="H2985"/>
  <c r="H2982"/>
  <c r="H2984" s="1"/>
  <c r="G2982"/>
  <c r="H2980"/>
  <c r="E2975"/>
  <c r="E2974"/>
  <c r="E2970"/>
  <c r="E2973" s="1"/>
  <c r="H2959"/>
  <c r="H2956"/>
  <c r="H2958" s="1"/>
  <c r="G2956"/>
  <c r="H2954"/>
  <c r="E2949"/>
  <c r="E2948"/>
  <c r="E2944"/>
  <c r="E2947" s="1"/>
  <c r="H2933"/>
  <c r="H2930"/>
  <c r="H2932" s="1"/>
  <c r="G2930"/>
  <c r="H2928"/>
  <c r="E2923"/>
  <c r="E2922"/>
  <c r="E2915"/>
  <c r="E2911"/>
  <c r="E2921" s="1"/>
  <c r="H2899"/>
  <c r="H2896"/>
  <c r="H2898" s="1"/>
  <c r="G2896"/>
  <c r="H2895"/>
  <c r="E2891"/>
  <c r="E2890"/>
  <c r="E2883"/>
  <c r="E2886" s="1"/>
  <c r="E2879"/>
  <c r="E2889" s="1"/>
  <c r="H2867"/>
  <c r="H2864"/>
  <c r="H2866" s="1"/>
  <c r="G2864"/>
  <c r="H2863"/>
  <c r="E2858"/>
  <c r="E2857"/>
  <c r="E2850"/>
  <c r="E2853" s="1"/>
  <c r="E2846"/>
  <c r="E2856" s="1"/>
  <c r="H2834"/>
  <c r="H2831"/>
  <c r="H2833" s="1"/>
  <c r="G2831"/>
  <c r="H2830"/>
  <c r="E2825"/>
  <c r="E2824"/>
  <c r="E2817"/>
  <c r="E2820" s="1"/>
  <c r="E2813"/>
  <c r="E2823" s="1"/>
  <c r="H2801"/>
  <c r="H2798"/>
  <c r="H2800" s="1"/>
  <c r="G2798"/>
  <c r="H2797"/>
  <c r="E2793"/>
  <c r="E2792"/>
  <c r="E2788"/>
  <c r="E2791" s="1"/>
  <c r="E2786"/>
  <c r="E2770"/>
  <c r="E2769"/>
  <c r="E2765"/>
  <c r="E2768" s="1"/>
  <c r="E2763"/>
  <c r="C2732"/>
  <c r="E2747" s="1"/>
  <c r="E2721"/>
  <c r="J579" s="1"/>
  <c r="E2720"/>
  <c r="J556" s="1"/>
  <c r="E2693"/>
  <c r="E2692"/>
  <c r="E2685"/>
  <c r="E2688" s="1"/>
  <c r="E2681"/>
  <c r="E2691" s="1"/>
  <c r="H2669"/>
  <c r="H2666"/>
  <c r="H2668" s="1"/>
  <c r="G2666"/>
  <c r="H2665"/>
  <c r="E2661"/>
  <c r="E2660"/>
  <c r="E2653"/>
  <c r="E2656" s="1"/>
  <c r="E2649"/>
  <c r="E2659" s="1"/>
  <c r="H2637"/>
  <c r="H2634"/>
  <c r="H2636" s="1"/>
  <c r="G2634"/>
  <c r="H2633"/>
  <c r="E2628"/>
  <c r="E2627"/>
  <c r="E2620"/>
  <c r="E2623" s="1"/>
  <c r="E2616"/>
  <c r="E2626" s="1"/>
  <c r="H2604"/>
  <c r="H2601"/>
  <c r="H2603" s="1"/>
  <c r="G2601"/>
  <c r="H2600"/>
  <c r="C2578"/>
  <c r="E2593" s="1"/>
  <c r="C2556"/>
  <c r="E2572" s="1"/>
  <c r="C2534"/>
  <c r="E2549" s="1"/>
  <c r="J555"/>
  <c r="E2503"/>
  <c r="E2502"/>
  <c r="E2495"/>
  <c r="E2498" s="1"/>
  <c r="E2491"/>
  <c r="H2479"/>
  <c r="H2476"/>
  <c r="H2478" s="1"/>
  <c r="G2476"/>
  <c r="H2475"/>
  <c r="E2470"/>
  <c r="E2469"/>
  <c r="E2462"/>
  <c r="E2465" s="1"/>
  <c r="E2458"/>
  <c r="E2468" s="1"/>
  <c r="H2446"/>
  <c r="H2443"/>
  <c r="H2445" s="1"/>
  <c r="G2443"/>
  <c r="H2442"/>
  <c r="E2437"/>
  <c r="E2436"/>
  <c r="E2432"/>
  <c r="E2435" s="1"/>
  <c r="E2430"/>
  <c r="E2416"/>
  <c r="E2415"/>
  <c r="E2411"/>
  <c r="E2414" s="1"/>
  <c r="E2409"/>
  <c r="E2394"/>
  <c r="E2393"/>
  <c r="E2389"/>
  <c r="E2392" s="1"/>
  <c r="E2387"/>
  <c r="E2372"/>
  <c r="E2371"/>
  <c r="E2367"/>
  <c r="E2370" s="1"/>
  <c r="E2365"/>
  <c r="J554"/>
  <c r="E2320"/>
  <c r="E2332" s="1"/>
  <c r="J529" s="1"/>
  <c r="E2313"/>
  <c r="E2336" s="1"/>
  <c r="J436" s="1"/>
  <c r="E2309"/>
  <c r="E2319" s="1"/>
  <c r="E2331" s="1"/>
  <c r="J503" s="1"/>
  <c r="H2301"/>
  <c r="H2298"/>
  <c r="H2300" s="1"/>
  <c r="G2298"/>
  <c r="C2296"/>
  <c r="E2321" s="1"/>
  <c r="E2333" s="1"/>
  <c r="J597" s="1"/>
  <c r="E2272"/>
  <c r="E2271"/>
  <c r="E2266"/>
  <c r="E2270" s="1"/>
  <c r="H2253"/>
  <c r="H2250"/>
  <c r="H2252" s="1"/>
  <c r="G2250"/>
  <c r="H2249"/>
  <c r="E2244"/>
  <c r="E2243"/>
  <c r="E2238"/>
  <c r="E2242" s="1"/>
  <c r="H2225"/>
  <c r="H2222"/>
  <c r="H2224" s="1"/>
  <c r="G2222"/>
  <c r="H2221"/>
  <c r="E2171"/>
  <c r="E2170"/>
  <c r="E2163"/>
  <c r="E2166" s="1"/>
  <c r="E2159"/>
  <c r="E2169" s="1"/>
  <c r="H2150"/>
  <c r="H2147"/>
  <c r="H2149" s="1"/>
  <c r="G2147"/>
  <c r="H2146"/>
  <c r="E2137"/>
  <c r="E2136"/>
  <c r="E2129"/>
  <c r="E2132" s="1"/>
  <c r="E2125"/>
  <c r="E2135" s="1"/>
  <c r="H2116"/>
  <c r="H2113"/>
  <c r="H2115" s="1"/>
  <c r="G2113"/>
  <c r="H2112"/>
  <c r="E2103"/>
  <c r="E2102"/>
  <c r="E2098"/>
  <c r="E2101" s="1"/>
  <c r="E2096"/>
  <c r="E2081"/>
  <c r="E2080"/>
  <c r="E2076"/>
  <c r="E2079" s="1"/>
  <c r="E2074"/>
  <c r="E2058"/>
  <c r="E2057"/>
  <c r="E2053"/>
  <c r="E2056" s="1"/>
  <c r="E2051"/>
  <c r="E2035"/>
  <c r="E2034"/>
  <c r="E2027"/>
  <c r="E2030" s="1"/>
  <c r="E2023"/>
  <c r="E2033" s="1"/>
  <c r="H2014"/>
  <c r="H2011"/>
  <c r="H2013" s="1"/>
  <c r="G2011"/>
  <c r="H2010"/>
  <c r="E2001"/>
  <c r="E2000"/>
  <c r="E1993"/>
  <c r="E2186" s="1"/>
  <c r="J117" s="1"/>
  <c r="J119" s="1"/>
  <c r="J110" s="1"/>
  <c r="E28" i="10" s="1"/>
  <c r="E1989" i="9"/>
  <c r="E1999" s="1"/>
  <c r="H1980"/>
  <c r="H1977"/>
  <c r="H1979" s="1"/>
  <c r="G1977"/>
  <c r="H1976"/>
  <c r="E1966"/>
  <c r="E1965"/>
  <c r="E1961"/>
  <c r="E1964" s="1"/>
  <c r="E1959"/>
  <c r="E1943"/>
  <c r="E1942"/>
  <c r="E1938"/>
  <c r="E1941" s="1"/>
  <c r="E1936"/>
  <c r="E1920"/>
  <c r="E1919"/>
  <c r="E1915"/>
  <c r="E1918" s="1"/>
  <c r="E1913"/>
  <c r="E1897"/>
  <c r="E1896"/>
  <c r="E1892"/>
  <c r="E1895" s="1"/>
  <c r="E1890"/>
  <c r="E1873"/>
  <c r="E1872"/>
  <c r="E1865"/>
  <c r="E1868" s="1"/>
  <c r="E1861"/>
  <c r="H1852"/>
  <c r="H1849"/>
  <c r="H1851" s="1"/>
  <c r="G1849"/>
  <c r="H1848"/>
  <c r="E1839"/>
  <c r="E1838"/>
  <c r="E1831"/>
  <c r="E1827"/>
  <c r="E1837" s="1"/>
  <c r="H1818"/>
  <c r="H1815"/>
  <c r="H1817" s="1"/>
  <c r="G1815"/>
  <c r="H1814"/>
  <c r="E1804"/>
  <c r="E1803"/>
  <c r="E1796"/>
  <c r="E1799" s="1"/>
  <c r="E1791"/>
  <c r="E1802" s="1"/>
  <c r="H1779"/>
  <c r="H1776"/>
  <c r="H1778" s="1"/>
  <c r="G1776"/>
  <c r="H1775"/>
  <c r="E1767"/>
  <c r="E1766"/>
  <c r="E1759"/>
  <c r="E1762" s="1"/>
  <c r="E1755"/>
  <c r="E1765" s="1"/>
  <c r="H1745"/>
  <c r="H1742"/>
  <c r="H1744" s="1"/>
  <c r="G1742"/>
  <c r="H1741"/>
  <c r="E1735"/>
  <c r="E1734"/>
  <c r="E1727"/>
  <c r="E1730" s="1"/>
  <c r="E1723"/>
  <c r="E1733" s="1"/>
  <c r="H1717"/>
  <c r="H1714"/>
  <c r="H1716" s="1"/>
  <c r="G1714"/>
  <c r="H1713"/>
  <c r="E1703"/>
  <c r="E1702"/>
  <c r="E1695"/>
  <c r="E1698" s="1"/>
  <c r="E1691"/>
  <c r="E1701" s="1"/>
  <c r="H1679"/>
  <c r="H1676"/>
  <c r="H1678" s="1"/>
  <c r="G1676"/>
  <c r="H1675"/>
  <c r="E1671"/>
  <c r="E1670"/>
  <c r="E1656"/>
  <c r="E1659" s="1"/>
  <c r="E1652"/>
  <c r="E1669" s="1"/>
  <c r="H1640"/>
  <c r="H1637"/>
  <c r="H1639" s="1"/>
  <c r="G1637"/>
  <c r="H1636"/>
  <c r="E1632"/>
  <c r="E1631"/>
  <c r="E1624"/>
  <c r="E1627" s="1"/>
  <c r="E1620"/>
  <c r="E1630" s="1"/>
  <c r="H1608"/>
  <c r="H1605"/>
  <c r="H1607" s="1"/>
  <c r="G1605"/>
  <c r="H1604"/>
  <c r="E1598"/>
  <c r="E1597"/>
  <c r="E1590"/>
  <c r="E1593" s="1"/>
  <c r="E1586"/>
  <c r="E1596" s="1"/>
  <c r="H1574"/>
  <c r="H1571"/>
  <c r="H1573" s="1"/>
  <c r="G1571"/>
  <c r="H1570"/>
  <c r="E1564"/>
  <c r="E1563"/>
  <c r="E1556"/>
  <c r="E1559" s="1"/>
  <c r="E1552"/>
  <c r="E1562" s="1"/>
  <c r="H1540"/>
  <c r="H1537"/>
  <c r="H1539" s="1"/>
  <c r="G1537"/>
  <c r="H1536"/>
  <c r="E1530"/>
  <c r="E1529"/>
  <c r="E1522"/>
  <c r="E1525" s="1"/>
  <c r="E1515"/>
  <c r="E1518" s="1"/>
  <c r="E1511"/>
  <c r="E1528" s="1"/>
  <c r="H1499"/>
  <c r="H1496"/>
  <c r="H1498" s="1"/>
  <c r="G1496"/>
  <c r="H1495"/>
  <c r="E1490"/>
  <c r="E1489"/>
  <c r="E1482"/>
  <c r="E1485" s="1"/>
  <c r="E1475"/>
  <c r="E1478" s="1"/>
  <c r="E1471"/>
  <c r="E1488" s="1"/>
  <c r="H1459"/>
  <c r="H1456"/>
  <c r="H1458" s="1"/>
  <c r="G1456"/>
  <c r="H1455"/>
  <c r="E1449"/>
  <c r="E1448"/>
  <c r="E1441"/>
  <c r="E1444" s="1"/>
  <c r="E1437"/>
  <c r="E1447" s="1"/>
  <c r="H1425"/>
  <c r="H1422"/>
  <c r="H1424" s="1"/>
  <c r="G1422"/>
  <c r="H1421"/>
  <c r="E1415"/>
  <c r="E1414"/>
  <c r="E1407"/>
  <c r="E1410" s="1"/>
  <c r="E1400"/>
  <c r="E1403" s="1"/>
  <c r="E1396"/>
  <c r="E1413" s="1"/>
  <c r="H1384"/>
  <c r="H1381"/>
  <c r="H1383" s="1"/>
  <c r="G1381"/>
  <c r="H1380"/>
  <c r="E1373"/>
  <c r="E1372"/>
  <c r="E1368"/>
  <c r="E1371" s="1"/>
  <c r="E1366"/>
  <c r="E1350"/>
  <c r="E1349"/>
  <c r="E1345"/>
  <c r="E1348" s="1"/>
  <c r="E1343"/>
  <c r="E1327"/>
  <c r="E1326"/>
  <c r="E1322"/>
  <c r="E1325" s="1"/>
  <c r="E1320"/>
  <c r="E1304"/>
  <c r="E1303"/>
  <c r="E1299"/>
  <c r="E1302" s="1"/>
  <c r="E1297"/>
  <c r="E1281"/>
  <c r="E1280"/>
  <c r="E1276"/>
  <c r="E1279" s="1"/>
  <c r="E1274"/>
  <c r="E1258"/>
  <c r="E1257"/>
  <c r="E1253"/>
  <c r="E1256" s="1"/>
  <c r="E1251"/>
  <c r="E1235"/>
  <c r="E1234"/>
  <c r="E1230"/>
  <c r="E1233" s="1"/>
  <c r="E1228"/>
  <c r="E1211"/>
  <c r="E1210"/>
  <c r="E1206"/>
  <c r="E1209" s="1"/>
  <c r="E1204"/>
  <c r="E1187"/>
  <c r="E1186"/>
  <c r="E1182"/>
  <c r="E1185" s="1"/>
  <c r="E1180"/>
  <c r="E1163"/>
  <c r="B865"/>
  <c r="H858"/>
  <c r="B856"/>
  <c r="D858" s="1"/>
  <c r="J849"/>
  <c r="J851" s="1"/>
  <c r="J842" s="1"/>
  <c r="E186" i="10" s="1"/>
  <c r="B849" i="9"/>
  <c r="H842"/>
  <c r="B840"/>
  <c r="D842" s="1"/>
  <c r="B833"/>
  <c r="H826"/>
  <c r="B824"/>
  <c r="D826" s="1"/>
  <c r="B817"/>
  <c r="H810"/>
  <c r="B808"/>
  <c r="D810" s="1"/>
  <c r="B801"/>
  <c r="H794"/>
  <c r="B792"/>
  <c r="D794" s="1"/>
  <c r="B753"/>
  <c r="H746"/>
  <c r="B744"/>
  <c r="D746" s="1"/>
  <c r="B737"/>
  <c r="H730"/>
  <c r="B728"/>
  <c r="D730" s="1"/>
  <c r="B689"/>
  <c r="H682"/>
  <c r="B680"/>
  <c r="D682" s="1"/>
  <c r="B673"/>
  <c r="H666"/>
  <c r="B664"/>
  <c r="D666" s="1"/>
  <c r="B657"/>
  <c r="H650"/>
  <c r="B648"/>
  <c r="D650" s="1"/>
  <c r="B641"/>
  <c r="H634"/>
  <c r="B632"/>
  <c r="D634" s="1"/>
  <c r="B625"/>
  <c r="H618"/>
  <c r="B616"/>
  <c r="D618" s="1"/>
  <c r="B604"/>
  <c r="B603"/>
  <c r="B602"/>
  <c r="B601"/>
  <c r="B600"/>
  <c r="B599"/>
  <c r="B598"/>
  <c r="B597"/>
  <c r="B596"/>
  <c r="H589"/>
  <c r="B587"/>
  <c r="D589" s="1"/>
  <c r="B579"/>
  <c r="H572"/>
  <c r="B570"/>
  <c r="D572" s="1"/>
  <c r="J561"/>
  <c r="B561"/>
  <c r="J560"/>
  <c r="B560"/>
  <c r="J559"/>
  <c r="B559"/>
  <c r="B558"/>
  <c r="J557"/>
  <c r="B557"/>
  <c r="B556"/>
  <c r="B555"/>
  <c r="B554"/>
  <c r="H547"/>
  <c r="B545"/>
  <c r="D547" s="1"/>
  <c r="B536"/>
  <c r="B535"/>
  <c r="B534"/>
  <c r="B533"/>
  <c r="B532"/>
  <c r="B531"/>
  <c r="B530"/>
  <c r="B529"/>
  <c r="B528"/>
  <c r="H521"/>
  <c r="B519"/>
  <c r="D521" s="1"/>
  <c r="B510"/>
  <c r="B509"/>
  <c r="B508"/>
  <c r="B507"/>
  <c r="B506"/>
  <c r="B505"/>
  <c r="B504"/>
  <c r="B503"/>
  <c r="B502"/>
  <c r="H495"/>
  <c r="B493"/>
  <c r="D495" s="1"/>
  <c r="B486"/>
  <c r="H479"/>
  <c r="B477"/>
  <c r="D479" s="1"/>
  <c r="J470"/>
  <c r="J472" s="1"/>
  <c r="J463" s="1"/>
  <c r="E89" i="10" s="1"/>
  <c r="B470" i="9"/>
  <c r="H463"/>
  <c r="B461"/>
  <c r="D463" s="1"/>
  <c r="B454"/>
  <c r="B453"/>
  <c r="H446"/>
  <c r="B444"/>
  <c r="D446" s="1"/>
  <c r="B437"/>
  <c r="B436"/>
  <c r="H429"/>
  <c r="B427"/>
  <c r="D429" s="1"/>
  <c r="B418"/>
  <c r="B417"/>
  <c r="B416"/>
  <c r="B415"/>
  <c r="B414"/>
  <c r="H407"/>
  <c r="B405"/>
  <c r="D407" s="1"/>
  <c r="B398"/>
  <c r="B382"/>
  <c r="H375"/>
  <c r="B373"/>
  <c r="D375" s="1"/>
  <c r="B366"/>
  <c r="B365"/>
  <c r="H358"/>
  <c r="B356"/>
  <c r="D358" s="1"/>
  <c r="B349"/>
  <c r="B348"/>
  <c r="H341"/>
  <c r="B339"/>
  <c r="D341" s="1"/>
  <c r="B330"/>
  <c r="B329"/>
  <c r="B328"/>
  <c r="B327"/>
  <c r="B326"/>
  <c r="H319"/>
  <c r="B317"/>
  <c r="D319" s="1"/>
  <c r="B308"/>
  <c r="B307"/>
  <c r="B306"/>
  <c r="B305"/>
  <c r="B304"/>
  <c r="B303"/>
  <c r="B302"/>
  <c r="B301"/>
  <c r="B300"/>
  <c r="H293"/>
  <c r="B291"/>
  <c r="D293" s="1"/>
  <c r="B282"/>
  <c r="B281"/>
  <c r="B280"/>
  <c r="B279"/>
  <c r="B278"/>
  <c r="B277"/>
  <c r="B276"/>
  <c r="B275"/>
  <c r="B274"/>
  <c r="H267"/>
  <c r="B265"/>
  <c r="D267" s="1"/>
  <c r="B256"/>
  <c r="B255"/>
  <c r="B254"/>
  <c r="B253"/>
  <c r="B252"/>
  <c r="B251"/>
  <c r="B250"/>
  <c r="B249"/>
  <c r="B248"/>
  <c r="H241"/>
  <c r="B239"/>
  <c r="D241" s="1"/>
  <c r="B229"/>
  <c r="H222"/>
  <c r="B220"/>
  <c r="D222" s="1"/>
  <c r="J213"/>
  <c r="J215" s="1"/>
  <c r="J206" s="1"/>
  <c r="E60" i="10" s="1"/>
  <c r="B213" i="9"/>
  <c r="H206"/>
  <c r="B204"/>
  <c r="D206" s="1"/>
  <c r="J197"/>
  <c r="J199" s="1"/>
  <c r="J190" s="1"/>
  <c r="E58" i="10" s="1"/>
  <c r="B197" i="9"/>
  <c r="H190"/>
  <c r="B188"/>
  <c r="D190" s="1"/>
  <c r="B181"/>
  <c r="H174"/>
  <c r="B172"/>
  <c r="D174" s="1"/>
  <c r="B165"/>
  <c r="H158"/>
  <c r="B156"/>
  <c r="D158" s="1"/>
  <c r="B149"/>
  <c r="H142"/>
  <c r="B140"/>
  <c r="D142" s="1"/>
  <c r="B133"/>
  <c r="H126"/>
  <c r="B124"/>
  <c r="D126" s="1"/>
  <c r="B117"/>
  <c r="H110"/>
  <c r="B108"/>
  <c r="D110" s="1"/>
  <c r="B101"/>
  <c r="H94"/>
  <c r="B92"/>
  <c r="D94" s="1"/>
  <c r="B85"/>
  <c r="H78"/>
  <c r="B76"/>
  <c r="D78" s="1"/>
  <c r="B69"/>
  <c r="H62"/>
  <c r="B60"/>
  <c r="D62" s="1"/>
  <c r="B53"/>
  <c r="H46"/>
  <c r="B44"/>
  <c r="D46" s="1"/>
  <c r="B37"/>
  <c r="H30"/>
  <c r="B28"/>
  <c r="D30" s="1"/>
  <c r="B21"/>
  <c r="H14"/>
  <c r="B12"/>
  <c r="D14" s="1"/>
  <c r="J408" i="8"/>
  <c r="J410" s="1"/>
  <c r="J401" s="1"/>
  <c r="E110" i="1" s="1"/>
  <c r="J392" i="8"/>
  <c r="J394" s="1"/>
  <c r="J385" s="1"/>
  <c r="E108" i="1" s="1"/>
  <c r="J376" i="8"/>
  <c r="J378" s="1"/>
  <c r="J369" s="1"/>
  <c r="B408"/>
  <c r="B392"/>
  <c r="B376"/>
  <c r="B360"/>
  <c r="B344"/>
  <c r="B328"/>
  <c r="B312"/>
  <c r="B296"/>
  <c r="H305"/>
  <c r="H321"/>
  <c r="H337"/>
  <c r="H401"/>
  <c r="H369"/>
  <c r="H353"/>
  <c r="B351"/>
  <c r="D353" s="1"/>
  <c r="E356"/>
  <c r="B356"/>
  <c r="H355"/>
  <c r="B355"/>
  <c r="H385"/>
  <c r="B383"/>
  <c r="D385" s="1"/>
  <c r="E388"/>
  <c r="B388"/>
  <c r="H387"/>
  <c r="B387"/>
  <c r="B399"/>
  <c r="D401" s="1"/>
  <c r="B367"/>
  <c r="D369" s="1"/>
  <c r="B335"/>
  <c r="D337" s="1"/>
  <c r="B319"/>
  <c r="D321" s="1"/>
  <c r="B303"/>
  <c r="D305" s="1"/>
  <c r="B287"/>
  <c r="D289" s="1"/>
  <c r="H289"/>
  <c r="E404"/>
  <c r="B404"/>
  <c r="H403"/>
  <c r="B403"/>
  <c r="E372"/>
  <c r="B372"/>
  <c r="H371"/>
  <c r="B371"/>
  <c r="E340"/>
  <c r="B340"/>
  <c r="H339"/>
  <c r="B339"/>
  <c r="E324"/>
  <c r="B324"/>
  <c r="H323"/>
  <c r="B323"/>
  <c r="E308"/>
  <c r="B308"/>
  <c r="H307"/>
  <c r="B307"/>
  <c r="E292"/>
  <c r="B292"/>
  <c r="H291"/>
  <c r="B291"/>
  <c r="H2266"/>
  <c r="G2266"/>
  <c r="H2265"/>
  <c r="G2265"/>
  <c r="H2264"/>
  <c r="G2264"/>
  <c r="H2263"/>
  <c r="G2263"/>
  <c r="H2262"/>
  <c r="G2262"/>
  <c r="H2261"/>
  <c r="G2261"/>
  <c r="H2260"/>
  <c r="G2260"/>
  <c r="H2259"/>
  <c r="G2259"/>
  <c r="H2258"/>
  <c r="G2258"/>
  <c r="H2257"/>
  <c r="G2257"/>
  <c r="H2051"/>
  <c r="G2051"/>
  <c r="H2256"/>
  <c r="G2256"/>
  <c r="H2255"/>
  <c r="G2255"/>
  <c r="H2254"/>
  <c r="G2254"/>
  <c r="H2050"/>
  <c r="G2050"/>
  <c r="H2253"/>
  <c r="G2253"/>
  <c r="H2252"/>
  <c r="G2252"/>
  <c r="H2251"/>
  <c r="G2251"/>
  <c r="H2250"/>
  <c r="G2250"/>
  <c r="H2249"/>
  <c r="G2249"/>
  <c r="H2248"/>
  <c r="G2248"/>
  <c r="H2247"/>
  <c r="G2247"/>
  <c r="H2246"/>
  <c r="G2246"/>
  <c r="H2245"/>
  <c r="G2245"/>
  <c r="H2244"/>
  <c r="G2244"/>
  <c r="H2243"/>
  <c r="G2243"/>
  <c r="H2242"/>
  <c r="G2242"/>
  <c r="H2241"/>
  <c r="G2241"/>
  <c r="H2089"/>
  <c r="G2089"/>
  <c r="H2088"/>
  <c r="G2088"/>
  <c r="H2087"/>
  <c r="G2087"/>
  <c r="H2208"/>
  <c r="G2208"/>
  <c r="H2207"/>
  <c r="G2207"/>
  <c r="H2206"/>
  <c r="G2206"/>
  <c r="H2205"/>
  <c r="G2205"/>
  <c r="H2204"/>
  <c r="G2204"/>
  <c r="H2203"/>
  <c r="G2203"/>
  <c r="H2201"/>
  <c r="G2201"/>
  <c r="H2199"/>
  <c r="G2199"/>
  <c r="H2198"/>
  <c r="G2198"/>
  <c r="H2197"/>
  <c r="G2197"/>
  <c r="H2196"/>
  <c r="G2196"/>
  <c r="H2195"/>
  <c r="G2195"/>
  <c r="H2194"/>
  <c r="G2194"/>
  <c r="H2193"/>
  <c r="G2193"/>
  <c r="H2192"/>
  <c r="G2192"/>
  <c r="H2191"/>
  <c r="G2191"/>
  <c r="H2190"/>
  <c r="G2190"/>
  <c r="H2189"/>
  <c r="G2189"/>
  <c r="H2188"/>
  <c r="G2188"/>
  <c r="H2187"/>
  <c r="G2187"/>
  <c r="H2186"/>
  <c r="G2186"/>
  <c r="H2185"/>
  <c r="G2185"/>
  <c r="H2183"/>
  <c r="G2183"/>
  <c r="H2412"/>
  <c r="G2412"/>
  <c r="H2407"/>
  <c r="G2407"/>
  <c r="H2406"/>
  <c r="G2406"/>
  <c r="H2405"/>
  <c r="G2405"/>
  <c r="H2404"/>
  <c r="G2404"/>
  <c r="H2403"/>
  <c r="G2403"/>
  <c r="H2402"/>
  <c r="G2402"/>
  <c r="H2380"/>
  <c r="G2380"/>
  <c r="H2379"/>
  <c r="G2379"/>
  <c r="H2378"/>
  <c r="G2378"/>
  <c r="H2377"/>
  <c r="G2377"/>
  <c r="H2376"/>
  <c r="G2376"/>
  <c r="H2375"/>
  <c r="G2375"/>
  <c r="H2351"/>
  <c r="G2351"/>
  <c r="H2350"/>
  <c r="G2350"/>
  <c r="H2349"/>
  <c r="G2349"/>
  <c r="H2348"/>
  <c r="G2348"/>
  <c r="H2347"/>
  <c r="G2347"/>
  <c r="H2346"/>
  <c r="G2346"/>
  <c r="H2324"/>
  <c r="G2324"/>
  <c r="H2323"/>
  <c r="G2323"/>
  <c r="H2322"/>
  <c r="G2322"/>
  <c r="H2321"/>
  <c r="G2321"/>
  <c r="H2320"/>
  <c r="G2320"/>
  <c r="H2319"/>
  <c r="G2319"/>
  <c r="H2155"/>
  <c r="G2155"/>
  <c r="H2154"/>
  <c r="G2154"/>
  <c r="H2153"/>
  <c r="G2153"/>
  <c r="H2152"/>
  <c r="G2152"/>
  <c r="H2151"/>
  <c r="G2151"/>
  <c r="H2146"/>
  <c r="G2146"/>
  <c r="H2145"/>
  <c r="G2145"/>
  <c r="H2144"/>
  <c r="G2144"/>
  <c r="H2133"/>
  <c r="G2133"/>
  <c r="H2091"/>
  <c r="G2091"/>
  <c r="H2090"/>
  <c r="G2090"/>
  <c r="H2083"/>
  <c r="G2083"/>
  <c r="H2082"/>
  <c r="G2082"/>
  <c r="H2081"/>
  <c r="G2081"/>
  <c r="H2080"/>
  <c r="G2080"/>
  <c r="H2079"/>
  <c r="G2079"/>
  <c r="H2078"/>
  <c r="G2078"/>
  <c r="H2077"/>
  <c r="G2077"/>
  <c r="H2076"/>
  <c r="G2076"/>
  <c r="H2075"/>
  <c r="G2075"/>
  <c r="H2074"/>
  <c r="G2074"/>
  <c r="H2073"/>
  <c r="G2073"/>
  <c r="H2072"/>
  <c r="G2072"/>
  <c r="H2071"/>
  <c r="G2071"/>
  <c r="H2070"/>
  <c r="G2070"/>
  <c r="H2069"/>
  <c r="G2069"/>
  <c r="H2068"/>
  <c r="G2068"/>
  <c r="H2067"/>
  <c r="G2067"/>
  <c r="H2066"/>
  <c r="G2066"/>
  <c r="H2065"/>
  <c r="G2065"/>
  <c r="H2064"/>
  <c r="G2064"/>
  <c r="H2063"/>
  <c r="G2063"/>
  <c r="H2062"/>
  <c r="G2062"/>
  <c r="H2061"/>
  <c r="G2061"/>
  <c r="H2060"/>
  <c r="G2060"/>
  <c r="H2059"/>
  <c r="G2059"/>
  <c r="H2058"/>
  <c r="G2058"/>
  <c r="H2054"/>
  <c r="G2054"/>
  <c r="H2053"/>
  <c r="G2053"/>
  <c r="H2052"/>
  <c r="G2052"/>
  <c r="H2049"/>
  <c r="G2049"/>
  <c r="H2048"/>
  <c r="G2048"/>
  <c r="H2047"/>
  <c r="G2047"/>
  <c r="H2046"/>
  <c r="G2046"/>
  <c r="H2045"/>
  <c r="G2045"/>
  <c r="H2044"/>
  <c r="G2044"/>
  <c r="H2043"/>
  <c r="G2043"/>
  <c r="H2042"/>
  <c r="G2042"/>
  <c r="H2041"/>
  <c r="G2041"/>
  <c r="H2040"/>
  <c r="G2040"/>
  <c r="H2038"/>
  <c r="G2038"/>
  <c r="H2037"/>
  <c r="G2037"/>
  <c r="H2036"/>
  <c r="G2036"/>
  <c r="H2035"/>
  <c r="G2035"/>
  <c r="H2034"/>
  <c r="G2034"/>
  <c r="H2033"/>
  <c r="G2033"/>
  <c r="H2032"/>
  <c r="G2032"/>
  <c r="H2006"/>
  <c r="G2006"/>
  <c r="H2005"/>
  <c r="G2005"/>
  <c r="H2004"/>
  <c r="G2004"/>
  <c r="H2002"/>
  <c r="G2002"/>
  <c r="H2001"/>
  <c r="G2001"/>
  <c r="H2000"/>
  <c r="G2000"/>
  <c r="H1999"/>
  <c r="G1999"/>
  <c r="H1998"/>
  <c r="G1998"/>
  <c r="H1997"/>
  <c r="G1997"/>
  <c r="H1996"/>
  <c r="G1996"/>
  <c r="H1995"/>
  <c r="G1995"/>
  <c r="H1994"/>
  <c r="G1994"/>
  <c r="H1993"/>
  <c r="G1993"/>
  <c r="H1992"/>
  <c r="G1992"/>
  <c r="H1991"/>
  <c r="G1991"/>
  <c r="H1990"/>
  <c r="G1990"/>
  <c r="H1989"/>
  <c r="G1989"/>
  <c r="H1988"/>
  <c r="G1988"/>
  <c r="H1986"/>
  <c r="G1986"/>
  <c r="H1985"/>
  <c r="G1985"/>
  <c r="H1984"/>
  <c r="G1984"/>
  <c r="H1983"/>
  <c r="G1983"/>
  <c r="H1982"/>
  <c r="G1982"/>
  <c r="H1981"/>
  <c r="G1981"/>
  <c r="H1980"/>
  <c r="G1980"/>
  <c r="H2401"/>
  <c r="G2401"/>
  <c r="H2400"/>
  <c r="G2400"/>
  <c r="H2399"/>
  <c r="G2399"/>
  <c r="H2398"/>
  <c r="G2398"/>
  <c r="H2397"/>
  <c r="G2397"/>
  <c r="H2396"/>
  <c r="G2396"/>
  <c r="H2395"/>
  <c r="G2395"/>
  <c r="H2394"/>
  <c r="G2394"/>
  <c r="H2393"/>
  <c r="G2393"/>
  <c r="H2374"/>
  <c r="G2374"/>
  <c r="H2373"/>
  <c r="G2373"/>
  <c r="H2372"/>
  <c r="G2372"/>
  <c r="H2369"/>
  <c r="G2369"/>
  <c r="H2368"/>
  <c r="G2368"/>
  <c r="H2367"/>
  <c r="G2367"/>
  <c r="H2366"/>
  <c r="G2366"/>
  <c r="H2365"/>
  <c r="G2365"/>
  <c r="H2345"/>
  <c r="G2345"/>
  <c r="H2344"/>
  <c r="G2344"/>
  <c r="H2343"/>
  <c r="G2343"/>
  <c r="H2342"/>
  <c r="G2342"/>
  <c r="H2341"/>
  <c r="G2341"/>
  <c r="H2340"/>
  <c r="G2340"/>
  <c r="H2339"/>
  <c r="G2339"/>
  <c r="H2338"/>
  <c r="G2338"/>
  <c r="H2337"/>
  <c r="G2337"/>
  <c r="H2318"/>
  <c r="G2318"/>
  <c r="H2317"/>
  <c r="G2317"/>
  <c r="H2316"/>
  <c r="G2316"/>
  <c r="H2315"/>
  <c r="G2315"/>
  <c r="H2314"/>
  <c r="G2314"/>
  <c r="H2313"/>
  <c r="G2313"/>
  <c r="H2312"/>
  <c r="G2312"/>
  <c r="H2311"/>
  <c r="G2311"/>
  <c r="H2310"/>
  <c r="G2310"/>
  <c r="H1951"/>
  <c r="G1951"/>
  <c r="H1950"/>
  <c r="G1950"/>
  <c r="H1949"/>
  <c r="H1948"/>
  <c r="G1948"/>
  <c r="H1947"/>
  <c r="G1947"/>
  <c r="H1946"/>
  <c r="G1946"/>
  <c r="H1945"/>
  <c r="G1945"/>
  <c r="H1944"/>
  <c r="G1944"/>
  <c r="H1943"/>
  <c r="G1943"/>
  <c r="H1942"/>
  <c r="G1942"/>
  <c r="H1941"/>
  <c r="G1941"/>
  <c r="H1940"/>
  <c r="G1940"/>
  <c r="H1939"/>
  <c r="G1939"/>
  <c r="H1938"/>
  <c r="G1938"/>
  <c r="H1937"/>
  <c r="G1937"/>
  <c r="H1936"/>
  <c r="G1936"/>
  <c r="H1935"/>
  <c r="G1935"/>
  <c r="H1934"/>
  <c r="G1934"/>
  <c r="H1933"/>
  <c r="G1933"/>
  <c r="H1932"/>
  <c r="G1932"/>
  <c r="H1931"/>
  <c r="G1931"/>
  <c r="H1930"/>
  <c r="G1930"/>
  <c r="H1929"/>
  <c r="G1929"/>
  <c r="H1928"/>
  <c r="G1928"/>
  <c r="H1927"/>
  <c r="G1927"/>
  <c r="H1926"/>
  <c r="G1926"/>
  <c r="H1925"/>
  <c r="G1925"/>
  <c r="H1924"/>
  <c r="G1924"/>
  <c r="H1923"/>
  <c r="G1923"/>
  <c r="H1922"/>
  <c r="G1922"/>
  <c r="H1921"/>
  <c r="G1921"/>
  <c r="H1920"/>
  <c r="G1920"/>
  <c r="H1919"/>
  <c r="G1919"/>
  <c r="H1918"/>
  <c r="G1918"/>
  <c r="H1917"/>
  <c r="G1917"/>
  <c r="H1916"/>
  <c r="G1916"/>
  <c r="H1915"/>
  <c r="G1915"/>
  <c r="H1914"/>
  <c r="G1914"/>
  <c r="H1912"/>
  <c r="G1912"/>
  <c r="H1911"/>
  <c r="G1911"/>
  <c r="H1910"/>
  <c r="G1910"/>
  <c r="H1909"/>
  <c r="G1909"/>
  <c r="H1908"/>
  <c r="G1908"/>
  <c r="H1907"/>
  <c r="G1907"/>
  <c r="H1906"/>
  <c r="G1906"/>
  <c r="H1905"/>
  <c r="G1905"/>
  <c r="H1904"/>
  <c r="G1904"/>
  <c r="H1903"/>
  <c r="G1903"/>
  <c r="H1902"/>
  <c r="G1902"/>
  <c r="H1887"/>
  <c r="G1887"/>
  <c r="H1886"/>
  <c r="G1886"/>
  <c r="H1885"/>
  <c r="G1885"/>
  <c r="H1884"/>
  <c r="G1884"/>
  <c r="H1874"/>
  <c r="G1874"/>
  <c r="H1872"/>
  <c r="G1872"/>
  <c r="H1871"/>
  <c r="G1871"/>
  <c r="H1870"/>
  <c r="G1870"/>
  <c r="H1867"/>
  <c r="G1867"/>
  <c r="H1866"/>
  <c r="G1866"/>
  <c r="H1865"/>
  <c r="G1865"/>
  <c r="H1864"/>
  <c r="G1864"/>
  <c r="H1863"/>
  <c r="G1863"/>
  <c r="H1862"/>
  <c r="G1862"/>
  <c r="H1861"/>
  <c r="G1861"/>
  <c r="H1860"/>
  <c r="G1860"/>
  <c r="H1859"/>
  <c r="G1859"/>
  <c r="H1858"/>
  <c r="G1858"/>
  <c r="H1857"/>
  <c r="G1857"/>
  <c r="H1856"/>
  <c r="G1856"/>
  <c r="H1855"/>
  <c r="G1855"/>
  <c r="H1854"/>
  <c r="G1854"/>
  <c r="H1853"/>
  <c r="G1853"/>
  <c r="H1852"/>
  <c r="G1852"/>
  <c r="H1851"/>
  <c r="G1851"/>
  <c r="H1850"/>
  <c r="G1850"/>
  <c r="H1810"/>
  <c r="G1810"/>
  <c r="H1809"/>
  <c r="G1809"/>
  <c r="H1808"/>
  <c r="G1808"/>
  <c r="H1807"/>
  <c r="G1807"/>
  <c r="H2057"/>
  <c r="G2057"/>
  <c r="H1806"/>
  <c r="G1806"/>
  <c r="H1805"/>
  <c r="G1805"/>
  <c r="H1804"/>
  <c r="G1804"/>
  <c r="H1803"/>
  <c r="G1803"/>
  <c r="H1802"/>
  <c r="G1802"/>
  <c r="H1801"/>
  <c r="G1801"/>
  <c r="H1800"/>
  <c r="G1800"/>
  <c r="H1799"/>
  <c r="G1799"/>
  <c r="H1798"/>
  <c r="G1798"/>
  <c r="H1797"/>
  <c r="G1797"/>
  <c r="H1796"/>
  <c r="G1796"/>
  <c r="H1795"/>
  <c r="G1795"/>
  <c r="H1794"/>
  <c r="G1794"/>
  <c r="H1793"/>
  <c r="G1793"/>
  <c r="H1792"/>
  <c r="G1792"/>
  <c r="H1791"/>
  <c r="G1791"/>
  <c r="H1790"/>
  <c r="G1790"/>
  <c r="H1789"/>
  <c r="G1789"/>
  <c r="H1788"/>
  <c r="G1788"/>
  <c r="H1787"/>
  <c r="G1787"/>
  <c r="H1786"/>
  <c r="G1786"/>
  <c r="H1785"/>
  <c r="G1785"/>
  <c r="H1784"/>
  <c r="G1784"/>
  <c r="H1783"/>
  <c r="G1783"/>
  <c r="H1782"/>
  <c r="G1782"/>
  <c r="H1781"/>
  <c r="G1781"/>
  <c r="H1780"/>
  <c r="G1780"/>
  <c r="H1779"/>
  <c r="G1779"/>
  <c r="H1778"/>
  <c r="G1778"/>
  <c r="H1777"/>
  <c r="G1777"/>
  <c r="H1776"/>
  <c r="G1776"/>
  <c r="H1775"/>
  <c r="G1775"/>
  <c r="H1774"/>
  <c r="G1774"/>
  <c r="H1773"/>
  <c r="G1773"/>
  <c r="H1772"/>
  <c r="G1772"/>
  <c r="H1770"/>
  <c r="G1770"/>
  <c r="H1769"/>
  <c r="G1769"/>
  <c r="H1768"/>
  <c r="G1768"/>
  <c r="H2039"/>
  <c r="G2039"/>
  <c r="H1767"/>
  <c r="G1767"/>
  <c r="H1766"/>
  <c r="G1766"/>
  <c r="H1765"/>
  <c r="G1765"/>
  <c r="H1764"/>
  <c r="G1764"/>
  <c r="H1763"/>
  <c r="G1763"/>
  <c r="H1762"/>
  <c r="G1762"/>
  <c r="H1740"/>
  <c r="G1740"/>
  <c r="H1738"/>
  <c r="G1738"/>
  <c r="H1737"/>
  <c r="G1737"/>
  <c r="H1736"/>
  <c r="G1736"/>
  <c r="H1735"/>
  <c r="G1735"/>
  <c r="H1734"/>
  <c r="G1734"/>
  <c r="H1733"/>
  <c r="G1733"/>
  <c r="H1732"/>
  <c r="G1732"/>
  <c r="H1731"/>
  <c r="G1731"/>
  <c r="H1730"/>
  <c r="G1730"/>
  <c r="H1729"/>
  <c r="G1729"/>
  <c r="H1728"/>
  <c r="G1728"/>
  <c r="H1727"/>
  <c r="G1727"/>
  <c r="H1726"/>
  <c r="G1726"/>
  <c r="H1725"/>
  <c r="G1725"/>
  <c r="H1724"/>
  <c r="G1724"/>
  <c r="H1723"/>
  <c r="G1723"/>
  <c r="H1722"/>
  <c r="G1722"/>
  <c r="H1721"/>
  <c r="G1721"/>
  <c r="H1720"/>
  <c r="G1720"/>
  <c r="H2392"/>
  <c r="G2392"/>
  <c r="H2364"/>
  <c r="G2364"/>
  <c r="H1702"/>
  <c r="G1702"/>
  <c r="H1701"/>
  <c r="G1701"/>
  <c r="H1700"/>
  <c r="G1700"/>
  <c r="H1698"/>
  <c r="G1698"/>
  <c r="H1697"/>
  <c r="G1697"/>
  <c r="H1696"/>
  <c r="G1696"/>
  <c r="H1695"/>
  <c r="G1695"/>
  <c r="H1694"/>
  <c r="G1694"/>
  <c r="H1693"/>
  <c r="G1693"/>
  <c r="H1692"/>
  <c r="G1692"/>
  <c r="H1691"/>
  <c r="G1691"/>
  <c r="H1690"/>
  <c r="G1690"/>
  <c r="H1689"/>
  <c r="G1689"/>
  <c r="H1688"/>
  <c r="G1688"/>
  <c r="H1687"/>
  <c r="G1687"/>
  <c r="H1686"/>
  <c r="G1686"/>
  <c r="H1685"/>
  <c r="G1685"/>
  <c r="H1684"/>
  <c r="G1684"/>
  <c r="H1683"/>
  <c r="G1683"/>
  <c r="H1682"/>
  <c r="G1682"/>
  <c r="H1681"/>
  <c r="G1681"/>
  <c r="H1680"/>
  <c r="G1680"/>
  <c r="H1679"/>
  <c r="G1679"/>
  <c r="H1678"/>
  <c r="G1678"/>
  <c r="H1677"/>
  <c r="G1677"/>
  <c r="H1676"/>
  <c r="G1676"/>
  <c r="H1675"/>
  <c r="G1675"/>
  <c r="H1673"/>
  <c r="G1673"/>
  <c r="H1670"/>
  <c r="G1670"/>
  <c r="H1668"/>
  <c r="G1668"/>
  <c r="H1666"/>
  <c r="G1666"/>
  <c r="H1664"/>
  <c r="G1664"/>
  <c r="H1662"/>
  <c r="G1662"/>
  <c r="H1660"/>
  <c r="G1660"/>
  <c r="H1658"/>
  <c r="G1658"/>
  <c r="H1656"/>
  <c r="G1656"/>
  <c r="H1654"/>
  <c r="G1654"/>
  <c r="H1651"/>
  <c r="G1651"/>
  <c r="H1649"/>
  <c r="G1649"/>
  <c r="H1648"/>
  <c r="G1648"/>
  <c r="H1642"/>
  <c r="G1642"/>
  <c r="H1641"/>
  <c r="G1641"/>
  <c r="H1640"/>
  <c r="G1640"/>
  <c r="H1639"/>
  <c r="G1639"/>
  <c r="H1638"/>
  <c r="G1638"/>
  <c r="H1637"/>
  <c r="G1637"/>
  <c r="H1636"/>
  <c r="G1636"/>
  <c r="H1635"/>
  <c r="G1635"/>
  <c r="H1634"/>
  <c r="G1634"/>
  <c r="H1633"/>
  <c r="G1633"/>
  <c r="H1632"/>
  <c r="G1632"/>
  <c r="H1631"/>
  <c r="G1631"/>
  <c r="H1630"/>
  <c r="G1630"/>
  <c r="H1629"/>
  <c r="G1629"/>
  <c r="H1628"/>
  <c r="G1628"/>
  <c r="E1578"/>
  <c r="J190" s="1"/>
  <c r="E1553"/>
  <c r="J258" s="1"/>
  <c r="H1545"/>
  <c r="G1545"/>
  <c r="H1544"/>
  <c r="G1544"/>
  <c r="H1543"/>
  <c r="F1543"/>
  <c r="G1543" s="1"/>
  <c r="H1542"/>
  <c r="F1542"/>
  <c r="G1542" s="1"/>
  <c r="H1541"/>
  <c r="G1541"/>
  <c r="H1540"/>
  <c r="G1540"/>
  <c r="H1539"/>
  <c r="G1539"/>
  <c r="H1538"/>
  <c r="G1538"/>
  <c r="H1537"/>
  <c r="F1537"/>
  <c r="G1537" s="1"/>
  <c r="H1536"/>
  <c r="F1536"/>
  <c r="G1536" s="1"/>
  <c r="H1535"/>
  <c r="G1535"/>
  <c r="H1534"/>
  <c r="G1534"/>
  <c r="G1529"/>
  <c r="F1529"/>
  <c r="G1528"/>
  <c r="F1528"/>
  <c r="G1527"/>
  <c r="F1527"/>
  <c r="G1526"/>
  <c r="F1526"/>
  <c r="F1525"/>
  <c r="H1521"/>
  <c r="G1521"/>
  <c r="H1519"/>
  <c r="G1519"/>
  <c r="H1518"/>
  <c r="G1518"/>
  <c r="H1517"/>
  <c r="G1517"/>
  <c r="H1516"/>
  <c r="G1516"/>
  <c r="H1515"/>
  <c r="G1515"/>
  <c r="H1514"/>
  <c r="G1514"/>
  <c r="H1513"/>
  <c r="G1513"/>
  <c r="H1512"/>
  <c r="G1512"/>
  <c r="H1511"/>
  <c r="G1511"/>
  <c r="H1510"/>
  <c r="G1510"/>
  <c r="H1509"/>
  <c r="G1509"/>
  <c r="H1508"/>
  <c r="G1508"/>
  <c r="H1507"/>
  <c r="G1507"/>
  <c r="H1506"/>
  <c r="G1506"/>
  <c r="H1505"/>
  <c r="G1505"/>
  <c r="H1504"/>
  <c r="G1504"/>
  <c r="H1503"/>
  <c r="G1503"/>
  <c r="H1502"/>
  <c r="G1502"/>
  <c r="H1498"/>
  <c r="G1498"/>
  <c r="H1497"/>
  <c r="G1497"/>
  <c r="H1496"/>
  <c r="G1496"/>
  <c r="H1495"/>
  <c r="G1495"/>
  <c r="H1494"/>
  <c r="G1494"/>
  <c r="H1493"/>
  <c r="G1493"/>
  <c r="H1489"/>
  <c r="G1489"/>
  <c r="H1486"/>
  <c r="G1486"/>
  <c r="H1485"/>
  <c r="G1485"/>
  <c r="H1484"/>
  <c r="G1484"/>
  <c r="H1483"/>
  <c r="G1483"/>
  <c r="H1482"/>
  <c r="G1482"/>
  <c r="H1481"/>
  <c r="G1481"/>
  <c r="E1474"/>
  <c r="J166" s="1"/>
  <c r="H1446"/>
  <c r="H1447" s="1"/>
  <c r="G1446"/>
  <c r="G1447" s="1"/>
  <c r="E1440"/>
  <c r="H1440" s="1"/>
  <c r="E1439"/>
  <c r="H1439" s="1"/>
  <c r="E1438"/>
  <c r="H1438" s="1"/>
  <c r="E1437"/>
  <c r="H1437" s="1"/>
  <c r="E1436"/>
  <c r="H1436" s="1"/>
  <c r="H1432"/>
  <c r="G1432"/>
  <c r="H1431"/>
  <c r="G1431"/>
  <c r="H1430"/>
  <c r="G1430"/>
  <c r="D1426"/>
  <c r="H1426" s="1"/>
  <c r="D1425"/>
  <c r="H1424"/>
  <c r="H1423"/>
  <c r="H1422"/>
  <c r="H1421"/>
  <c r="H1415"/>
  <c r="G1415"/>
  <c r="H1414"/>
  <c r="G1414"/>
  <c r="H1413"/>
  <c r="G1413"/>
  <c r="F1412"/>
  <c r="H1412" s="1"/>
  <c r="H1411"/>
  <c r="G1411"/>
  <c r="E1404"/>
  <c r="J189" s="1"/>
  <c r="E1403"/>
  <c r="E1388"/>
  <c r="J277" s="1"/>
  <c r="H1379"/>
  <c r="H1380" s="1"/>
  <c r="G1379"/>
  <c r="G1380" s="1"/>
  <c r="H1375"/>
  <c r="G1375"/>
  <c r="H1374"/>
  <c r="G1374"/>
  <c r="H1373"/>
  <c r="G1373"/>
  <c r="H1372"/>
  <c r="G1372"/>
  <c r="H1371"/>
  <c r="G1371"/>
  <c r="H1370"/>
  <c r="G1370"/>
  <c r="H1369"/>
  <c r="G1369"/>
  <c r="H1368"/>
  <c r="G1368"/>
  <c r="H1364"/>
  <c r="G1364"/>
  <c r="H1363"/>
  <c r="G1363"/>
  <c r="F1362"/>
  <c r="H1362" s="1"/>
  <c r="F1361"/>
  <c r="H1361" s="1"/>
  <c r="E1352"/>
  <c r="J188" s="1"/>
  <c r="E1351"/>
  <c r="J164" s="1"/>
  <c r="F1330"/>
  <c r="E1336" s="1"/>
  <c r="J234" s="1"/>
  <c r="E1330"/>
  <c r="G1326"/>
  <c r="F1326"/>
  <c r="G1325"/>
  <c r="F1325"/>
  <c r="G1324"/>
  <c r="F1324"/>
  <c r="H1320"/>
  <c r="G1320"/>
  <c r="H1319"/>
  <c r="G1319"/>
  <c r="H1318"/>
  <c r="G1318"/>
  <c r="H1314"/>
  <c r="G1314"/>
  <c r="H1313"/>
  <c r="G1313"/>
  <c r="H1312"/>
  <c r="G1312"/>
  <c r="H1311"/>
  <c r="G1311"/>
  <c r="G1307"/>
  <c r="F1307"/>
  <c r="G1306"/>
  <c r="F1306"/>
  <c r="E1299"/>
  <c r="J187" s="1"/>
  <c r="E1298"/>
  <c r="J163" s="1"/>
  <c r="E1258"/>
  <c r="J186" s="1"/>
  <c r="E1257"/>
  <c r="J162" s="1"/>
  <c r="F1226"/>
  <c r="E1232" s="1"/>
  <c r="J233" s="1"/>
  <c r="E1226"/>
  <c r="G1222"/>
  <c r="G1223" s="1"/>
  <c r="F1222"/>
  <c r="F1223" s="1"/>
  <c r="H1218"/>
  <c r="G1218"/>
  <c r="H1217"/>
  <c r="G1217"/>
  <c r="H1216"/>
  <c r="G1216"/>
  <c r="H1215"/>
  <c r="G1215"/>
  <c r="H1214"/>
  <c r="G1214"/>
  <c r="H1213"/>
  <c r="G1213"/>
  <c r="H1212"/>
  <c r="G1212"/>
  <c r="H1211"/>
  <c r="G1211"/>
  <c r="H1210"/>
  <c r="G1210"/>
  <c r="H1209"/>
  <c r="G1209"/>
  <c r="H1208"/>
  <c r="G1208"/>
  <c r="H1207"/>
  <c r="G1207"/>
  <c r="H1206"/>
  <c r="G1206"/>
  <c r="H1205"/>
  <c r="G1205"/>
  <c r="H1204"/>
  <c r="G1204"/>
  <c r="H1203"/>
  <c r="G1203"/>
  <c r="H1202"/>
  <c r="G1202"/>
  <c r="H1201"/>
  <c r="G1201"/>
  <c r="H1200"/>
  <c r="G1200"/>
  <c r="H1199"/>
  <c r="G1199"/>
  <c r="H1198"/>
  <c r="G1198"/>
  <c r="H1197"/>
  <c r="G1197"/>
  <c r="H1196"/>
  <c r="G1196"/>
  <c r="H1195"/>
  <c r="G1195"/>
  <c r="H1194"/>
  <c r="G1194"/>
  <c r="H1193"/>
  <c r="G1193"/>
  <c r="H1192"/>
  <c r="G1192"/>
  <c r="H1191"/>
  <c r="G1191"/>
  <c r="H1190"/>
  <c r="G1190"/>
  <c r="H1189"/>
  <c r="G1189"/>
  <c r="H1188"/>
  <c r="G1188"/>
  <c r="H1187"/>
  <c r="G1187"/>
  <c r="H1186"/>
  <c r="G1186"/>
  <c r="H1185"/>
  <c r="G1185"/>
  <c r="H1184"/>
  <c r="G1184"/>
  <c r="H1183"/>
  <c r="G1183"/>
  <c r="H1182"/>
  <c r="G1182"/>
  <c r="H1181"/>
  <c r="G1181"/>
  <c r="H1180"/>
  <c r="G1180"/>
  <c r="H1179"/>
  <c r="G1179"/>
  <c r="H1178"/>
  <c r="G1178"/>
  <c r="H1177"/>
  <c r="G1177"/>
  <c r="H1176"/>
  <c r="G1176"/>
  <c r="H1175"/>
  <c r="G1175"/>
  <c r="H1174"/>
  <c r="G1174"/>
  <c r="H1173"/>
  <c r="G1173"/>
  <c r="H1172"/>
  <c r="G1172"/>
  <c r="H1171"/>
  <c r="G1171"/>
  <c r="H1170"/>
  <c r="G1170"/>
  <c r="H1169"/>
  <c r="G1169"/>
  <c r="H1168"/>
  <c r="G1168"/>
  <c r="H1167"/>
  <c r="G1167"/>
  <c r="H1166"/>
  <c r="G1166"/>
  <c r="H1162"/>
  <c r="G1162"/>
  <c r="H1161"/>
  <c r="G1161"/>
  <c r="H1160"/>
  <c r="G1160"/>
  <c r="H1159"/>
  <c r="G1159"/>
  <c r="H1158"/>
  <c r="G1158"/>
  <c r="F1157"/>
  <c r="G1157" s="1"/>
  <c r="H1156"/>
  <c r="G1156"/>
  <c r="H1155"/>
  <c r="G1155"/>
  <c r="H1154"/>
  <c r="G1154"/>
  <c r="H1153"/>
  <c r="G1153"/>
  <c r="H1152"/>
  <c r="G1152"/>
  <c r="H1151"/>
  <c r="G1151"/>
  <c r="H1150"/>
  <c r="G1150"/>
  <c r="H1149"/>
  <c r="G1149"/>
  <c r="H1148"/>
  <c r="G1148"/>
  <c r="H1147"/>
  <c r="G1147"/>
  <c r="H1146"/>
  <c r="G1146"/>
  <c r="F1145"/>
  <c r="H1145" s="1"/>
  <c r="E1137"/>
  <c r="J185" s="1"/>
  <c r="E1136"/>
  <c r="E1121"/>
  <c r="J275" s="1"/>
  <c r="E1120"/>
  <c r="J254" s="1"/>
  <c r="D1112"/>
  <c r="H1112" s="1"/>
  <c r="H1113" s="1"/>
  <c r="E1119" s="1"/>
  <c r="J232" s="1"/>
  <c r="H1108"/>
  <c r="G1108"/>
  <c r="H1107"/>
  <c r="G1107"/>
  <c r="H1106"/>
  <c r="G1106"/>
  <c r="H1105"/>
  <c r="G1105"/>
  <c r="H1104"/>
  <c r="G1104"/>
  <c r="H1103"/>
  <c r="G1103"/>
  <c r="H1102"/>
  <c r="G1102"/>
  <c r="H1101"/>
  <c r="G1101"/>
  <c r="H1100"/>
  <c r="G1100"/>
  <c r="H1099"/>
  <c r="G1099"/>
  <c r="H1098"/>
  <c r="G1098"/>
  <c r="H1097"/>
  <c r="G1097"/>
  <c r="H1096"/>
  <c r="G1096"/>
  <c r="H1095"/>
  <c r="G1095"/>
  <c r="H1094"/>
  <c r="G1094"/>
  <c r="H1093"/>
  <c r="G1093"/>
  <c r="H1092"/>
  <c r="G1092"/>
  <c r="H1091"/>
  <c r="G1091"/>
  <c r="H1090"/>
  <c r="G1090"/>
  <c r="H1089"/>
  <c r="G1089"/>
  <c r="H1088"/>
  <c r="G1088"/>
  <c r="H1087"/>
  <c r="G1087"/>
  <c r="H1086"/>
  <c r="G1086"/>
  <c r="H1085"/>
  <c r="G1085"/>
  <c r="H1084"/>
  <c r="G1084"/>
  <c r="H1083"/>
  <c r="G1083"/>
  <c r="H1082"/>
  <c r="G1082"/>
  <c r="H1081"/>
  <c r="G1081"/>
  <c r="H1080"/>
  <c r="G1080"/>
  <c r="H1079"/>
  <c r="G1079"/>
  <c r="H1078"/>
  <c r="G1078"/>
  <c r="H1077"/>
  <c r="G1077"/>
  <c r="H1076"/>
  <c r="G1076"/>
  <c r="H1075"/>
  <c r="G1075"/>
  <c r="H1074"/>
  <c r="G1074"/>
  <c r="H1073"/>
  <c r="H1109" s="1"/>
  <c r="G1073"/>
  <c r="F1069"/>
  <c r="G1069" s="1"/>
  <c r="F1068"/>
  <c r="H1068" s="1"/>
  <c r="F1067"/>
  <c r="G1067" s="1"/>
  <c r="F1066"/>
  <c r="H1066" s="1"/>
  <c r="F1065"/>
  <c r="G1065" s="1"/>
  <c r="F1064"/>
  <c r="H1064" s="1"/>
  <c r="E1056"/>
  <c r="J184" s="1"/>
  <c r="E1055"/>
  <c r="J160" s="1"/>
  <c r="E1040"/>
  <c r="J274" s="1"/>
  <c r="E1039"/>
  <c r="J253" s="1"/>
  <c r="D1032"/>
  <c r="H1032" s="1"/>
  <c r="E1038" s="1"/>
  <c r="J231" s="1"/>
  <c r="H1028"/>
  <c r="G1028"/>
  <c r="H1027"/>
  <c r="G1027"/>
  <c r="H1026"/>
  <c r="G1026"/>
  <c r="H1025"/>
  <c r="G1025"/>
  <c r="H1024"/>
  <c r="G1024"/>
  <c r="H1023"/>
  <c r="G1023"/>
  <c r="H1022"/>
  <c r="G1022"/>
  <c r="H1021"/>
  <c r="G1021"/>
  <c r="H1020"/>
  <c r="G1020"/>
  <c r="H1019"/>
  <c r="G1019"/>
  <c r="H1018"/>
  <c r="G1018"/>
  <c r="H1017"/>
  <c r="G1017"/>
  <c r="H1016"/>
  <c r="G1016"/>
  <c r="H1015"/>
  <c r="G1015"/>
  <c r="H1014"/>
  <c r="G1014"/>
  <c r="H1013"/>
  <c r="G1013"/>
  <c r="H1012"/>
  <c r="G1012"/>
  <c r="H1011"/>
  <c r="G1011"/>
  <c r="H1010"/>
  <c r="G1010"/>
  <c r="H1009"/>
  <c r="G1009"/>
  <c r="H1008"/>
  <c r="G1008"/>
  <c r="H1007"/>
  <c r="G1007"/>
  <c r="H1006"/>
  <c r="G1006"/>
  <c r="H1005"/>
  <c r="G1005"/>
  <c r="H1004"/>
  <c r="G1004"/>
  <c r="H1003"/>
  <c r="G1003"/>
  <c r="H1002"/>
  <c r="G1002"/>
  <c r="H1001"/>
  <c r="G1001"/>
  <c r="H1000"/>
  <c r="G1000"/>
  <c r="H999"/>
  <c r="G999"/>
  <c r="H998"/>
  <c r="G998"/>
  <c r="H997"/>
  <c r="G997"/>
  <c r="H996"/>
  <c r="G996"/>
  <c r="H995"/>
  <c r="G995"/>
  <c r="H994"/>
  <c r="G994"/>
  <c r="H993"/>
  <c r="G993"/>
  <c r="H992"/>
  <c r="G992"/>
  <c r="H991"/>
  <c r="G991"/>
  <c r="H990"/>
  <c r="G990"/>
  <c r="H989"/>
  <c r="G989"/>
  <c r="H985"/>
  <c r="G985"/>
  <c r="H984"/>
  <c r="G984"/>
  <c r="H983"/>
  <c r="G983"/>
  <c r="H982"/>
  <c r="G982"/>
  <c r="G986" s="1"/>
  <c r="J37"/>
  <c r="J53"/>
  <c r="G895"/>
  <c r="E895"/>
  <c r="G894"/>
  <c r="E894"/>
  <c r="E893"/>
  <c r="G892"/>
  <c r="E892"/>
  <c r="G891"/>
  <c r="E891"/>
  <c r="G890"/>
  <c r="G889"/>
  <c r="E889"/>
  <c r="G888"/>
  <c r="E888"/>
  <c r="F887"/>
  <c r="F896" s="1"/>
  <c r="E903" s="1"/>
  <c r="E887"/>
  <c r="H883"/>
  <c r="H884" s="1"/>
  <c r="G883"/>
  <c r="G884" s="1"/>
  <c r="H879"/>
  <c r="H880" s="1"/>
  <c r="G879"/>
  <c r="G880" s="1"/>
  <c r="H875"/>
  <c r="G875"/>
  <c r="H874"/>
  <c r="G874"/>
  <c r="H873"/>
  <c r="G873"/>
  <c r="H872"/>
  <c r="G872"/>
  <c r="H867"/>
  <c r="G867"/>
  <c r="H866"/>
  <c r="G866"/>
  <c r="H865"/>
  <c r="G865"/>
  <c r="H864"/>
  <c r="G864"/>
  <c r="H860"/>
  <c r="G860"/>
  <c r="H859"/>
  <c r="G859"/>
  <c r="H858"/>
  <c r="G858"/>
  <c r="H857"/>
  <c r="G857"/>
  <c r="H856"/>
  <c r="G856"/>
  <c r="H855"/>
  <c r="G855"/>
  <c r="H854"/>
  <c r="G854"/>
  <c r="H853"/>
  <c r="G853"/>
  <c r="H852"/>
  <c r="G852"/>
  <c r="H851"/>
  <c r="G851"/>
  <c r="H850"/>
  <c r="G850"/>
  <c r="H849"/>
  <c r="G849"/>
  <c r="H848"/>
  <c r="G848"/>
  <c r="H847"/>
  <c r="G847"/>
  <c r="H846"/>
  <c r="G846"/>
  <c r="H845"/>
  <c r="G845"/>
  <c r="H844"/>
  <c r="G844"/>
  <c r="H843"/>
  <c r="G843"/>
  <c r="H842"/>
  <c r="G842"/>
  <c r="H841"/>
  <c r="G841"/>
  <c r="H840"/>
  <c r="G840"/>
  <c r="H839"/>
  <c r="G839"/>
  <c r="H838"/>
  <c r="G838"/>
  <c r="H837"/>
  <c r="G837"/>
  <c r="H836"/>
  <c r="G836"/>
  <c r="H835"/>
  <c r="G835"/>
  <c r="H834"/>
  <c r="G834"/>
  <c r="H833"/>
  <c r="G833"/>
  <c r="H832"/>
  <c r="G832"/>
  <c r="H831"/>
  <c r="G831"/>
  <c r="H830"/>
  <c r="G830"/>
  <c r="H829"/>
  <c r="G829"/>
  <c r="H828"/>
  <c r="G828"/>
  <c r="H827"/>
  <c r="G827"/>
  <c r="H826"/>
  <c r="G826"/>
  <c r="H825"/>
  <c r="G825"/>
  <c r="H824"/>
  <c r="G824"/>
  <c r="H823"/>
  <c r="G823"/>
  <c r="H822"/>
  <c r="G822"/>
  <c r="H821"/>
  <c r="G821"/>
  <c r="H820"/>
  <c r="G820"/>
  <c r="H819"/>
  <c r="G819"/>
  <c r="H818"/>
  <c r="G818"/>
  <c r="H817"/>
  <c r="G817"/>
  <c r="H816"/>
  <c r="G816"/>
  <c r="H815"/>
  <c r="G815"/>
  <c r="H814"/>
  <c r="G814"/>
  <c r="H813"/>
  <c r="G813"/>
  <c r="H812"/>
  <c r="G812"/>
  <c r="H811"/>
  <c r="G811"/>
  <c r="H810"/>
  <c r="G810"/>
  <c r="H809"/>
  <c r="G809"/>
  <c r="H808"/>
  <c r="G808"/>
  <c r="H807"/>
  <c r="G807"/>
  <c r="H806"/>
  <c r="G806"/>
  <c r="H805"/>
  <c r="G805"/>
  <c r="H801"/>
  <c r="G801"/>
  <c r="H800"/>
  <c r="G800"/>
  <c r="H799"/>
  <c r="G799"/>
  <c r="H798"/>
  <c r="G798"/>
  <c r="H797"/>
  <c r="G797"/>
  <c r="H796"/>
  <c r="G796"/>
  <c r="H795"/>
  <c r="G795"/>
  <c r="H794"/>
  <c r="G794"/>
  <c r="H793"/>
  <c r="G793"/>
  <c r="H791"/>
  <c r="G791"/>
  <c r="H790"/>
  <c r="G790"/>
  <c r="H789"/>
  <c r="G789"/>
  <c r="H788"/>
  <c r="G788"/>
  <c r="H787"/>
  <c r="G787"/>
  <c r="H786"/>
  <c r="G786"/>
  <c r="H785"/>
  <c r="G785"/>
  <c r="H784"/>
  <c r="G784"/>
  <c r="H783"/>
  <c r="G783"/>
  <c r="H782"/>
  <c r="G782"/>
  <c r="H781"/>
  <c r="G781"/>
  <c r="H780"/>
  <c r="G780"/>
  <c r="H779"/>
  <c r="G779"/>
  <c r="H778"/>
  <c r="G778"/>
  <c r="H777"/>
  <c r="G777"/>
  <c r="H776"/>
  <c r="G776"/>
  <c r="H775"/>
  <c r="G775"/>
  <c r="H774"/>
  <c r="G774"/>
  <c r="G802" s="1"/>
  <c r="H770"/>
  <c r="G770"/>
  <c r="H769"/>
  <c r="G769"/>
  <c r="H768"/>
  <c r="G768"/>
  <c r="H767"/>
  <c r="G767"/>
  <c r="H766"/>
  <c r="G766"/>
  <c r="H765"/>
  <c r="G765"/>
  <c r="H764"/>
  <c r="G764"/>
  <c r="H760"/>
  <c r="G760"/>
  <c r="H759"/>
  <c r="G759"/>
  <c r="H758"/>
  <c r="G758"/>
  <c r="H757"/>
  <c r="G757"/>
  <c r="H756"/>
  <c r="G756"/>
  <c r="G761" s="1"/>
  <c r="H752"/>
  <c r="G752"/>
  <c r="H751"/>
  <c r="G751"/>
  <c r="H750"/>
  <c r="G750"/>
  <c r="H749"/>
  <c r="G749"/>
  <c r="H748"/>
  <c r="G748"/>
  <c r="H747"/>
  <c r="G747"/>
  <c r="H746"/>
  <c r="G746"/>
  <c r="H745"/>
  <c r="G745"/>
  <c r="H744"/>
  <c r="G744"/>
  <c r="H743"/>
  <c r="G743"/>
  <c r="H742"/>
  <c r="G742"/>
  <c r="H738"/>
  <c r="G738"/>
  <c r="H737"/>
  <c r="G737"/>
  <c r="H736"/>
  <c r="G736"/>
  <c r="H735"/>
  <c r="G735"/>
  <c r="H734"/>
  <c r="G734"/>
  <c r="H733"/>
  <c r="G733"/>
  <c r="H732"/>
  <c r="G732"/>
  <c r="H731"/>
  <c r="G731"/>
  <c r="H730"/>
  <c r="G730"/>
  <c r="H729"/>
  <c r="G729"/>
  <c r="H728"/>
  <c r="G728"/>
  <c r="H727"/>
  <c r="G727"/>
  <c r="H726"/>
  <c r="G726"/>
  <c r="G739" s="1"/>
  <c r="H722"/>
  <c r="G722"/>
  <c r="H721"/>
  <c r="G721"/>
  <c r="H720"/>
  <c r="G720"/>
  <c r="H719"/>
  <c r="G719"/>
  <c r="H718"/>
  <c r="G718"/>
  <c r="H717"/>
  <c r="G717"/>
  <c r="H716"/>
  <c r="G716"/>
  <c r="H715"/>
  <c r="G715"/>
  <c r="H714"/>
  <c r="G714"/>
  <c r="H713"/>
  <c r="G713"/>
  <c r="H712"/>
  <c r="G712"/>
  <c r="H711"/>
  <c r="G711"/>
  <c r="H710"/>
  <c r="G710"/>
  <c r="H709"/>
  <c r="G709"/>
  <c r="H708"/>
  <c r="G708"/>
  <c r="H707"/>
  <c r="G707"/>
  <c r="H706"/>
  <c r="G706"/>
  <c r="H705"/>
  <c r="G705"/>
  <c r="H704"/>
  <c r="G704"/>
  <c r="H703"/>
  <c r="G703"/>
  <c r="H702"/>
  <c r="G702"/>
  <c r="H701"/>
  <c r="G701"/>
  <c r="H700"/>
  <c r="G700"/>
  <c r="H699"/>
  <c r="G699"/>
  <c r="G723" s="1"/>
  <c r="B277"/>
  <c r="B276"/>
  <c r="B275"/>
  <c r="B274"/>
  <c r="B258"/>
  <c r="B257"/>
  <c r="B256"/>
  <c r="B255"/>
  <c r="B254"/>
  <c r="B253"/>
  <c r="B237"/>
  <c r="B236"/>
  <c r="B235"/>
  <c r="B234"/>
  <c r="B233"/>
  <c r="B232"/>
  <c r="B231"/>
  <c r="B213"/>
  <c r="B212"/>
  <c r="B211"/>
  <c r="B210"/>
  <c r="B209"/>
  <c r="B208"/>
  <c r="B207"/>
  <c r="J276"/>
  <c r="J257"/>
  <c r="J256"/>
  <c r="J255"/>
  <c r="B189"/>
  <c r="B188"/>
  <c r="B187"/>
  <c r="B186"/>
  <c r="B185"/>
  <c r="B184"/>
  <c r="J165"/>
  <c r="J161"/>
  <c r="J101"/>
  <c r="J85"/>
  <c r="B166"/>
  <c r="B165"/>
  <c r="B164"/>
  <c r="B163"/>
  <c r="B162"/>
  <c r="B161"/>
  <c r="B160"/>
  <c r="B143"/>
  <c r="B142"/>
  <c r="B141"/>
  <c r="B140"/>
  <c r="B139"/>
  <c r="B138"/>
  <c r="B137"/>
  <c r="B136"/>
  <c r="B117"/>
  <c r="B101"/>
  <c r="B85"/>
  <c r="B69"/>
  <c r="B53"/>
  <c r="B37"/>
  <c r="B21"/>
  <c r="H267"/>
  <c r="B265"/>
  <c r="H177"/>
  <c r="B175"/>
  <c r="D177" s="1"/>
  <c r="E180"/>
  <c r="B180"/>
  <c r="H179"/>
  <c r="B179"/>
  <c r="H46"/>
  <c r="B44"/>
  <c r="D46" s="1"/>
  <c r="E49"/>
  <c r="B49"/>
  <c r="H48"/>
  <c r="B48"/>
  <c r="E6587" i="9" l="1"/>
  <c r="E6588"/>
  <c r="J865" s="1"/>
  <c r="J867" s="1"/>
  <c r="J858" s="1"/>
  <c r="E192" i="10" s="1"/>
  <c r="E6584" i="9"/>
  <c r="J817"/>
  <c r="J819" s="1"/>
  <c r="J810" s="1"/>
  <c r="E180" i="10" s="1"/>
  <c r="D6591" i="9"/>
  <c r="E6591"/>
  <c r="J737" s="1"/>
  <c r="H2165" i="8"/>
  <c r="F1308"/>
  <c r="G1315"/>
  <c r="G1321"/>
  <c r="G1490"/>
  <c r="G2711"/>
  <c r="G2730"/>
  <c r="G2746"/>
  <c r="G2214"/>
  <c r="H2537"/>
  <c r="H2629"/>
  <c r="H2640"/>
  <c r="G1713"/>
  <c r="G1714" s="1"/>
  <c r="G2165"/>
  <c r="E6592" i="9"/>
  <c r="J753" s="1"/>
  <c r="H1418" i="8"/>
  <c r="H986"/>
  <c r="H1315"/>
  <c r="H1490"/>
  <c r="G1741"/>
  <c r="G1817"/>
  <c r="E5954" i="9"/>
  <c r="E5955" s="1"/>
  <c r="H761" i="8"/>
  <c r="H802"/>
  <c r="G1308"/>
  <c r="H1321"/>
  <c r="G2169"/>
  <c r="G2542"/>
  <c r="G2695"/>
  <c r="G2705"/>
  <c r="D6592" i="9"/>
  <c r="J689" s="1"/>
  <c r="E6594"/>
  <c r="J785" s="1"/>
  <c r="J787" s="1"/>
  <c r="J778" s="1"/>
  <c r="E154" i="10" s="1"/>
  <c r="E3402" i="9"/>
  <c r="E3403" s="1"/>
  <c r="J673"/>
  <c r="E3343"/>
  <c r="G868" i="8"/>
  <c r="G876"/>
  <c r="G1219"/>
  <c r="H753"/>
  <c r="H771"/>
  <c r="H861"/>
  <c r="H868"/>
  <c r="H876"/>
  <c r="G1109"/>
  <c r="G1327"/>
  <c r="H1376"/>
  <c r="H1433"/>
  <c r="H1499"/>
  <c r="H2209"/>
  <c r="H2267"/>
  <c r="H2214"/>
  <c r="G2108"/>
  <c r="H2542"/>
  <c r="G2717"/>
  <c r="G2735"/>
  <c r="G2537"/>
  <c r="F2101"/>
  <c r="H2619"/>
  <c r="H2650"/>
  <c r="H2665"/>
  <c r="H2671"/>
  <c r="H1425"/>
  <c r="D1454"/>
  <c r="G1454" s="1"/>
  <c r="G1455" s="1"/>
  <c r="G2629"/>
  <c r="G2640"/>
  <c r="E2751" s="1"/>
  <c r="G753"/>
  <c r="G861"/>
  <c r="F1327"/>
  <c r="G1376"/>
  <c r="G1433"/>
  <c r="E1462"/>
  <c r="J236" s="1"/>
  <c r="G1499"/>
  <c r="G1522"/>
  <c r="G1531"/>
  <c r="H1741"/>
  <c r="G2209"/>
  <c r="G2267"/>
  <c r="H2711"/>
  <c r="H2730"/>
  <c r="H2746"/>
  <c r="E4126" i="9"/>
  <c r="E4295"/>
  <c r="D4449" s="1"/>
  <c r="J366" s="1"/>
  <c r="E4449"/>
  <c r="J454" s="1"/>
  <c r="E4450"/>
  <c r="E4445"/>
  <c r="J605" s="1"/>
  <c r="E4398"/>
  <c r="H1522" i="8"/>
  <c r="E6224" i="9"/>
  <c r="E6225" s="1"/>
  <c r="E6278"/>
  <c r="E6279" s="1"/>
  <c r="H1029" i="8"/>
  <c r="E1036" s="1"/>
  <c r="J136" s="1"/>
  <c r="J117"/>
  <c r="E6335" i="9"/>
  <c r="E6336" s="1"/>
  <c r="E2183"/>
  <c r="J1119"/>
  <c r="E246" i="10" s="1"/>
  <c r="J1047" i="9"/>
  <c r="E214" i="10" s="1"/>
  <c r="E2798" i="8"/>
  <c r="J312"/>
  <c r="J314" s="1"/>
  <c r="J305" s="1"/>
  <c r="E92" i="1" s="1"/>
  <c r="E1871" i="9"/>
  <c r="J997"/>
  <c r="E230" i="10" s="1"/>
  <c r="J906" i="9"/>
  <c r="E203" i="10" s="1"/>
  <c r="H2437" i="8"/>
  <c r="G2437"/>
  <c r="E2442" s="1"/>
  <c r="J328"/>
  <c r="J330" s="1"/>
  <c r="J321" s="1"/>
  <c r="E94" i="1" s="1"/>
  <c r="G1029" i="8"/>
  <c r="E5826" i="9"/>
  <c r="J1014"/>
  <c r="E212" i="10" s="1"/>
  <c r="E5783" i="9"/>
  <c r="E5784" s="1"/>
  <c r="J565"/>
  <c r="J547" s="1"/>
  <c r="E122" i="10" s="1"/>
  <c r="J582" i="9"/>
  <c r="J572" s="1"/>
  <c r="E124" i="10" s="1"/>
  <c r="E1721" i="9"/>
  <c r="E1722" s="1"/>
  <c r="E1859"/>
  <c r="E1860" s="1"/>
  <c r="H1817" i="8"/>
  <c r="H1973"/>
  <c r="H1974" s="1"/>
  <c r="C2125" s="1"/>
  <c r="H2235"/>
  <c r="H2236" s="1"/>
  <c r="G2109"/>
  <c r="H1713"/>
  <c r="H1714" s="1"/>
  <c r="C1842" s="1"/>
  <c r="H2176"/>
  <c r="H2177" s="1"/>
  <c r="F2173"/>
  <c r="G1821"/>
  <c r="G1822" s="1"/>
  <c r="F2103"/>
  <c r="F1820"/>
  <c r="F1822" s="1"/>
  <c r="F2271"/>
  <c r="F2273" s="1"/>
  <c r="G2272"/>
  <c r="G2273" s="1"/>
  <c r="G2100"/>
  <c r="G2102"/>
  <c r="G2099"/>
  <c r="G2098"/>
  <c r="G2218"/>
  <c r="F2592"/>
  <c r="G2592"/>
  <c r="G2588"/>
  <c r="F2586"/>
  <c r="F2587"/>
  <c r="G2563"/>
  <c r="G2582" s="1"/>
  <c r="H2564"/>
  <c r="H2582" s="1"/>
  <c r="F2488"/>
  <c r="F2489" s="1"/>
  <c r="F2480"/>
  <c r="G2020"/>
  <c r="F2477"/>
  <c r="G2478"/>
  <c r="G2481" s="1"/>
  <c r="G2484"/>
  <c r="G2485" s="1"/>
  <c r="G2277"/>
  <c r="G2278" s="1"/>
  <c r="F2457"/>
  <c r="H2463"/>
  <c r="E2469" s="1"/>
  <c r="F2451"/>
  <c r="H1955"/>
  <c r="G2452"/>
  <c r="G2454"/>
  <c r="G2455"/>
  <c r="G2456"/>
  <c r="G1832"/>
  <c r="G2113"/>
  <c r="E2112"/>
  <c r="G2112" s="1"/>
  <c r="H2277"/>
  <c r="H2278" s="1"/>
  <c r="G2282"/>
  <c r="G2283"/>
  <c r="H2107"/>
  <c r="H2109" s="1"/>
  <c r="G2115"/>
  <c r="G2114"/>
  <c r="H1745"/>
  <c r="H1746" s="1"/>
  <c r="G1831"/>
  <c r="F1831"/>
  <c r="F1834" s="1"/>
  <c r="G1826"/>
  <c r="G1827" s="1"/>
  <c r="H1826"/>
  <c r="H1827" s="1"/>
  <c r="G2221"/>
  <c r="F2219"/>
  <c r="F2220"/>
  <c r="I2235"/>
  <c r="I2236" s="1"/>
  <c r="G2021"/>
  <c r="E1749"/>
  <c r="G1749" s="1"/>
  <c r="G1752" s="1"/>
  <c r="G2019"/>
  <c r="F2019"/>
  <c r="F2022" s="1"/>
  <c r="G2013"/>
  <c r="G2016" s="1"/>
  <c r="H2013"/>
  <c r="H2016" s="1"/>
  <c r="G1746"/>
  <c r="G2172"/>
  <c r="G1962"/>
  <c r="F1749"/>
  <c r="H1962"/>
  <c r="F1750"/>
  <c r="G2168"/>
  <c r="F1970"/>
  <c r="G1709"/>
  <c r="G1710" s="1"/>
  <c r="G2170"/>
  <c r="I2176"/>
  <c r="F1708"/>
  <c r="F1710" s="1"/>
  <c r="G1968"/>
  <c r="G1967"/>
  <c r="I1973"/>
  <c r="I1974" s="1"/>
  <c r="E2125" s="1"/>
  <c r="H1705"/>
  <c r="G1955"/>
  <c r="E2441"/>
  <c r="H739"/>
  <c r="G2135"/>
  <c r="G2094"/>
  <c r="H2094"/>
  <c r="G2138"/>
  <c r="H723"/>
  <c r="G2010"/>
  <c r="H2010"/>
  <c r="G2136"/>
  <c r="H2140"/>
  <c r="H1219"/>
  <c r="G771"/>
  <c r="G1652"/>
  <c r="G1705" s="1"/>
  <c r="E1435" i="9"/>
  <c r="E1436" s="1"/>
  <c r="E1584"/>
  <c r="E1585" s="1"/>
  <c r="E1650"/>
  <c r="E1651" s="1"/>
  <c r="E2811"/>
  <c r="E2812" s="1"/>
  <c r="E2942"/>
  <c r="E2943" s="1"/>
  <c r="E2994"/>
  <c r="E2995" s="1"/>
  <c r="E3048"/>
  <c r="E3049" s="1"/>
  <c r="E3104"/>
  <c r="E3105" s="1"/>
  <c r="E2764"/>
  <c r="E2787"/>
  <c r="E2236"/>
  <c r="E2237" s="1"/>
  <c r="E2307"/>
  <c r="E2308" s="1"/>
  <c r="E2328" s="1"/>
  <c r="J301" s="1"/>
  <c r="E2366"/>
  <c r="E2388"/>
  <c r="E2410"/>
  <c r="E2431"/>
  <c r="E2456"/>
  <c r="E2457" s="1"/>
  <c r="E2614"/>
  <c r="E2615" s="1"/>
  <c r="E2679"/>
  <c r="E2844"/>
  <c r="E2845" s="1"/>
  <c r="E2968"/>
  <c r="E2969" s="1"/>
  <c r="E3022"/>
  <c r="E3023" s="1"/>
  <c r="E3076"/>
  <c r="E3077" s="1"/>
  <c r="E3132"/>
  <c r="E3133" s="1"/>
  <c r="E3283"/>
  <c r="E3910"/>
  <c r="E3911" s="1"/>
  <c r="E3978"/>
  <c r="E3979" s="1"/>
  <c r="E4046"/>
  <c r="E4047" s="1"/>
  <c r="E4114"/>
  <c r="E4115" s="1"/>
  <c r="E4286"/>
  <c r="E4287" s="1"/>
  <c r="E4386"/>
  <c r="E1509"/>
  <c r="E1510" s="1"/>
  <c r="E1789"/>
  <c r="E1790" s="1"/>
  <c r="E2021"/>
  <c r="E2022" s="1"/>
  <c r="E2157"/>
  <c r="E2158" s="1"/>
  <c r="E2264"/>
  <c r="E2282"/>
  <c r="J502" s="1"/>
  <c r="E2489"/>
  <c r="E2647"/>
  <c r="E2648" s="1"/>
  <c r="E2877"/>
  <c r="E2878" s="1"/>
  <c r="E3160"/>
  <c r="E3161" s="1"/>
  <c r="E3216"/>
  <c r="E3217" s="1"/>
  <c r="E3289"/>
  <c r="E3367" s="1"/>
  <c r="J533" s="1"/>
  <c r="E3721"/>
  <c r="E4140" s="1"/>
  <c r="J536" s="1"/>
  <c r="E4145"/>
  <c r="J437" s="1"/>
  <c r="J439" s="1"/>
  <c r="J429" s="1"/>
  <c r="E87" i="10" s="1"/>
  <c r="F5804" i="9"/>
  <c r="I5807" s="1"/>
  <c r="I5808" s="1"/>
  <c r="E5886"/>
  <c r="E6022"/>
  <c r="E6023" s="1"/>
  <c r="E6158"/>
  <c r="E6159" s="1"/>
  <c r="E2513"/>
  <c r="J530" s="1"/>
  <c r="E1156"/>
  <c r="E1162"/>
  <c r="E1394"/>
  <c r="E1395" s="1"/>
  <c r="E1469"/>
  <c r="E1470" s="1"/>
  <c r="E1550"/>
  <c r="E1551" s="1"/>
  <c r="E1689"/>
  <c r="E1690" s="1"/>
  <c r="E1825"/>
  <c r="E1826" s="1"/>
  <c r="E2187"/>
  <c r="J133" s="1"/>
  <c r="J135" s="1"/>
  <c r="J126" s="1"/>
  <c r="E29" i="10" s="1"/>
  <c r="E2188" i="9"/>
  <c r="J149" s="1"/>
  <c r="J151" s="1"/>
  <c r="J142" s="1"/>
  <c r="E30" i="10" s="1"/>
  <c r="E1891" i="9"/>
  <c r="E1914"/>
  <c r="E1937"/>
  <c r="E1960"/>
  <c r="E2123"/>
  <c r="E2124" s="1"/>
  <c r="E2284"/>
  <c r="J596" s="1"/>
  <c r="E2316"/>
  <c r="D2336" s="1"/>
  <c r="J348" s="1"/>
  <c r="E2510"/>
  <c r="J276" s="1"/>
  <c r="E2501"/>
  <c r="E2512" s="1"/>
  <c r="J504" s="1"/>
  <c r="E2565"/>
  <c r="E2571"/>
  <c r="E2704" s="1"/>
  <c r="J531" s="1"/>
  <c r="E3244"/>
  <c r="J416" s="1"/>
  <c r="E3371"/>
  <c r="J417" s="1"/>
  <c r="E3578"/>
  <c r="J602" s="1"/>
  <c r="E3610"/>
  <c r="E3613" s="1"/>
  <c r="E3647"/>
  <c r="E4144"/>
  <c r="J419" s="1"/>
  <c r="E4183"/>
  <c r="E4186" s="1"/>
  <c r="J486"/>
  <c r="J488" s="1"/>
  <c r="J479" s="1"/>
  <c r="I6408"/>
  <c r="E1158"/>
  <c r="E1161" s="1"/>
  <c r="D2517"/>
  <c r="J326" s="1"/>
  <c r="E2567"/>
  <c r="E2570" s="1"/>
  <c r="E2708"/>
  <c r="J415" s="1"/>
  <c r="E3188"/>
  <c r="E3189" s="1"/>
  <c r="E3285"/>
  <c r="E3288" s="1"/>
  <c r="E3366" s="1"/>
  <c r="J507" s="1"/>
  <c r="E3352"/>
  <c r="D3371" s="1"/>
  <c r="J329" s="1"/>
  <c r="E3432"/>
  <c r="E3453"/>
  <c r="E3475"/>
  <c r="E3497"/>
  <c r="E3518"/>
  <c r="E3539"/>
  <c r="E3560"/>
  <c r="E3577"/>
  <c r="J534" s="1"/>
  <c r="E3608"/>
  <c r="E3614"/>
  <c r="E3660" s="1"/>
  <c r="J535" s="1"/>
  <c r="E3635"/>
  <c r="E3655" s="1"/>
  <c r="J255" s="1"/>
  <c r="E3717"/>
  <c r="E3761"/>
  <c r="E3784"/>
  <c r="E3919"/>
  <c r="D4144" s="1"/>
  <c r="J331" s="1"/>
  <c r="E3944"/>
  <c r="E3945" s="1"/>
  <c r="E4080"/>
  <c r="E4081" s="1"/>
  <c r="E4146"/>
  <c r="J453" s="1"/>
  <c r="E4181"/>
  <c r="E4187"/>
  <c r="E4253"/>
  <c r="E4254" s="1"/>
  <c r="E4395"/>
  <c r="E5349"/>
  <c r="E5350" s="1"/>
  <c r="E5424"/>
  <c r="E5425" s="1"/>
  <c r="E5492"/>
  <c r="E5493" s="1"/>
  <c r="E5574"/>
  <c r="E5575" s="1"/>
  <c r="F5636"/>
  <c r="I5639" s="1"/>
  <c r="I5640" s="1"/>
  <c r="F5671"/>
  <c r="I5674" s="1"/>
  <c r="I5675" s="1"/>
  <c r="E5751"/>
  <c r="E5752" s="1"/>
  <c r="E5895"/>
  <c r="J964" s="1"/>
  <c r="E228" i="10" s="1"/>
  <c r="E5920" i="9"/>
  <c r="E5921" s="1"/>
  <c r="E6056"/>
  <c r="E6057" s="1"/>
  <c r="E6192"/>
  <c r="E6193" s="1"/>
  <c r="J755"/>
  <c r="J746" s="1"/>
  <c r="E152" i="10" s="1"/>
  <c r="E2327" i="9"/>
  <c r="J249" s="1"/>
  <c r="E1181"/>
  <c r="E1205"/>
  <c r="E1229"/>
  <c r="E1252"/>
  <c r="E1275"/>
  <c r="E1298"/>
  <c r="E1321"/>
  <c r="E1344"/>
  <c r="E1367"/>
  <c r="E1618"/>
  <c r="E1619" s="1"/>
  <c r="E1753"/>
  <c r="E1754" s="1"/>
  <c r="J229"/>
  <c r="J231" s="1"/>
  <c r="J222" s="1"/>
  <c r="E66" i="10" s="1"/>
  <c r="E1987" i="9"/>
  <c r="E1988" s="1"/>
  <c r="E2052"/>
  <c r="E2075"/>
  <c r="E2097"/>
  <c r="E2680"/>
  <c r="E1834"/>
  <c r="D2187" s="1"/>
  <c r="J85" s="1"/>
  <c r="J87" s="1"/>
  <c r="J78" s="1"/>
  <c r="E45" i="10" s="1"/>
  <c r="E1996" i="9"/>
  <c r="D2186" s="1"/>
  <c r="J69" s="1"/>
  <c r="J71" s="1"/>
  <c r="J62" s="1"/>
  <c r="E44" i="10" s="1"/>
  <c r="E2280" i="9"/>
  <c r="J274" s="1"/>
  <c r="E2283"/>
  <c r="J528" s="1"/>
  <c r="E2329"/>
  <c r="J275" s="1"/>
  <c r="E2514"/>
  <c r="J598" s="1"/>
  <c r="D2708"/>
  <c r="J327" s="1"/>
  <c r="E2909"/>
  <c r="E2910" s="1"/>
  <c r="E3240"/>
  <c r="J532" s="1"/>
  <c r="E3310"/>
  <c r="E3311" s="1"/>
  <c r="E3576"/>
  <c r="J508" s="1"/>
  <c r="E3661"/>
  <c r="J603" s="1"/>
  <c r="E3876"/>
  <c r="E3877" s="1"/>
  <c r="E4012"/>
  <c r="E4013" s="1"/>
  <c r="D4146"/>
  <c r="J365" s="1"/>
  <c r="E4205"/>
  <c r="E4228"/>
  <c r="E4353"/>
  <c r="E4354" s="1"/>
  <c r="E5307"/>
  <c r="E5308" s="1"/>
  <c r="E5390"/>
  <c r="E5391" s="1"/>
  <c r="E5458"/>
  <c r="E5459" s="1"/>
  <c r="E5533"/>
  <c r="E5534" s="1"/>
  <c r="E5608"/>
  <c r="E5609" s="1"/>
  <c r="E5717"/>
  <c r="E5718" s="1"/>
  <c r="E5988"/>
  <c r="E5989" s="1"/>
  <c r="E6122"/>
  <c r="E6123" s="1"/>
  <c r="E6251"/>
  <c r="E6252" s="1"/>
  <c r="E6305"/>
  <c r="E6306" s="1"/>
  <c r="E6362"/>
  <c r="E6363" s="1"/>
  <c r="E6389"/>
  <c r="E3344"/>
  <c r="E4387"/>
  <c r="D2188"/>
  <c r="J101" s="1"/>
  <c r="J103" s="1"/>
  <c r="J94" s="1"/>
  <c r="E46" i="10" s="1"/>
  <c r="E2265" i="9"/>
  <c r="E3368"/>
  <c r="J601" s="1"/>
  <c r="E2517"/>
  <c r="J414" s="1"/>
  <c r="E2550"/>
  <c r="E2594"/>
  <c r="E2748"/>
  <c r="E3241" s="1"/>
  <c r="J600" s="1"/>
  <c r="E3572"/>
  <c r="J254" s="1"/>
  <c r="E3574"/>
  <c r="J280" s="1"/>
  <c r="E3665"/>
  <c r="J418" s="1"/>
  <c r="E3699"/>
  <c r="E4141" s="1"/>
  <c r="F5842"/>
  <c r="F5843" s="1"/>
  <c r="E6201"/>
  <c r="D6594" s="1"/>
  <c r="J721" s="1"/>
  <c r="J723" s="1"/>
  <c r="J714" s="1"/>
  <c r="E172" i="10" s="1"/>
  <c r="E6394" i="9"/>
  <c r="E6586" s="1"/>
  <c r="F6413"/>
  <c r="E2543"/>
  <c r="E2545"/>
  <c r="E2548" s="1"/>
  <c r="E2587"/>
  <c r="E2589"/>
  <c r="E2592" s="1"/>
  <c r="E2741"/>
  <c r="E2743"/>
  <c r="E2746" s="1"/>
  <c r="E3239" s="1"/>
  <c r="J506" s="1"/>
  <c r="E2918"/>
  <c r="D3244" s="1"/>
  <c r="J328" s="1"/>
  <c r="E3692"/>
  <c r="E3694"/>
  <c r="E3697" s="1"/>
  <c r="E4021"/>
  <c r="D4145" s="1"/>
  <c r="J349" s="1"/>
  <c r="I5842"/>
  <c r="I5843" s="1"/>
  <c r="E106" i="1"/>
  <c r="G1426" i="8"/>
  <c r="J139"/>
  <c r="E896"/>
  <c r="H1365"/>
  <c r="E1384" s="1"/>
  <c r="J141" s="1"/>
  <c r="H1427"/>
  <c r="G1422"/>
  <c r="G1439"/>
  <c r="G1546"/>
  <c r="E1551"/>
  <c r="J214" s="1"/>
  <c r="J260"/>
  <c r="J246" s="1"/>
  <c r="J279"/>
  <c r="J267" s="1"/>
  <c r="J210"/>
  <c r="G1361"/>
  <c r="G1412"/>
  <c r="G1418" s="1"/>
  <c r="G1424"/>
  <c r="G1437"/>
  <c r="F1531"/>
  <c r="H1546"/>
  <c r="E1550" s="1"/>
  <c r="J143" s="1"/>
  <c r="J193"/>
  <c r="J177" s="1"/>
  <c r="E60" i="1" s="1"/>
  <c r="J170" i="8"/>
  <c r="J153" s="1"/>
  <c r="E58" i="1" s="1"/>
  <c r="E1335" i="8"/>
  <c r="J211" s="1"/>
  <c r="H1441"/>
  <c r="G893"/>
  <c r="G896" s="1"/>
  <c r="G1032"/>
  <c r="G1064"/>
  <c r="H1065"/>
  <c r="G1066"/>
  <c r="H1067"/>
  <c r="G1068"/>
  <c r="H1069"/>
  <c r="G1112"/>
  <c r="G1113" s="1"/>
  <c r="G1145"/>
  <c r="G1163" s="1"/>
  <c r="E1231" s="1"/>
  <c r="J209" s="1"/>
  <c r="H1157"/>
  <c r="H1163" s="1"/>
  <c r="E1230" s="1"/>
  <c r="J138" s="1"/>
  <c r="G1362"/>
  <c r="E1386"/>
  <c r="G1421"/>
  <c r="G1423"/>
  <c r="G1425"/>
  <c r="G1436"/>
  <c r="G1438"/>
  <c r="G1440"/>
  <c r="H1525"/>
  <c r="H1531" s="1"/>
  <c r="E1552" s="1"/>
  <c r="J237" s="1"/>
  <c r="E270"/>
  <c r="H269"/>
  <c r="E249"/>
  <c r="H248"/>
  <c r="E227"/>
  <c r="H226"/>
  <c r="H246"/>
  <c r="B244"/>
  <c r="H224"/>
  <c r="B222"/>
  <c r="E203"/>
  <c r="H202"/>
  <c r="H200"/>
  <c r="B198"/>
  <c r="E156"/>
  <c r="H155"/>
  <c r="E132"/>
  <c r="H131"/>
  <c r="H153"/>
  <c r="B151"/>
  <c r="H129"/>
  <c r="B127"/>
  <c r="H110"/>
  <c r="B108"/>
  <c r="D110" s="1"/>
  <c r="H94"/>
  <c r="B92"/>
  <c r="D94" s="1"/>
  <c r="H78"/>
  <c r="B76"/>
  <c r="D78" s="1"/>
  <c r="E113"/>
  <c r="B113"/>
  <c r="H112"/>
  <c r="B112"/>
  <c r="E97"/>
  <c r="B97"/>
  <c r="H96"/>
  <c r="B96"/>
  <c r="E81"/>
  <c r="B81"/>
  <c r="H80"/>
  <c r="B80"/>
  <c r="B60"/>
  <c r="E2279" i="9" l="1"/>
  <c r="J300" s="1"/>
  <c r="G1834" i="8"/>
  <c r="E1334"/>
  <c r="J140" s="1"/>
  <c r="E3659" i="9"/>
  <c r="J509" s="1"/>
  <c r="E2508"/>
  <c r="J250" s="1"/>
  <c r="F5807"/>
  <c r="F5808" s="1"/>
  <c r="F5639"/>
  <c r="F5640" s="1"/>
  <c r="F5642" s="1"/>
  <c r="E5649" s="1"/>
  <c r="E5650" s="1"/>
  <c r="E3573"/>
  <c r="J306" s="1"/>
  <c r="F2463" i="8"/>
  <c r="E2468" s="1"/>
  <c r="E2858" s="1"/>
  <c r="F2481"/>
  <c r="E2552" s="1"/>
  <c r="E2750"/>
  <c r="E1037"/>
  <c r="J207" s="1"/>
  <c r="G2222"/>
  <c r="D6593" i="9"/>
  <c r="J705" s="1"/>
  <c r="J707" s="1"/>
  <c r="J698" s="1"/>
  <c r="E171" i="10" s="1"/>
  <c r="J739" i="9"/>
  <c r="J730" s="1"/>
  <c r="E2179"/>
  <c r="J37" s="1"/>
  <c r="J39" s="1"/>
  <c r="J30" s="1"/>
  <c r="E20" i="10" s="1"/>
  <c r="J675" i="9"/>
  <c r="J666" s="1"/>
  <c r="E169" i="10" s="1"/>
  <c r="E5887" i="9"/>
  <c r="E4137"/>
  <c r="J282" s="1"/>
  <c r="E4443"/>
  <c r="J511" s="1"/>
  <c r="J604"/>
  <c r="E4439"/>
  <c r="J257" s="1"/>
  <c r="E4135"/>
  <c r="E4444"/>
  <c r="E4441"/>
  <c r="J283" s="1"/>
  <c r="D4450"/>
  <c r="J398" s="1"/>
  <c r="J400" s="1"/>
  <c r="J391" s="1"/>
  <c r="E110" i="10" s="1"/>
  <c r="E3720" i="9"/>
  <c r="E4139" s="1"/>
  <c r="E2860" i="8"/>
  <c r="J472" s="1"/>
  <c r="J474" s="1"/>
  <c r="J465" s="1"/>
  <c r="E126" i="1" s="1"/>
  <c r="F5674" i="9"/>
  <c r="F5675" s="1"/>
  <c r="E3609"/>
  <c r="E3284"/>
  <c r="E3363" s="1"/>
  <c r="J305" s="1"/>
  <c r="E2278"/>
  <c r="J248" s="1"/>
  <c r="J1031"/>
  <c r="E213" i="10" s="1"/>
  <c r="E224" s="1"/>
  <c r="E3362" i="9"/>
  <c r="J253" s="1"/>
  <c r="E3636"/>
  <c r="E2490"/>
  <c r="E2509" s="1"/>
  <c r="J302" s="1"/>
  <c r="E2703"/>
  <c r="J505" s="1"/>
  <c r="J641"/>
  <c r="J643" s="1"/>
  <c r="J634" s="1"/>
  <c r="E143" i="10" s="1"/>
  <c r="E2177" i="9"/>
  <c r="J21" s="1"/>
  <c r="J23" s="1"/>
  <c r="J14" s="1"/>
  <c r="E18" i="10" s="1"/>
  <c r="E2181" i="9"/>
  <c r="J165" s="1"/>
  <c r="J167" s="1"/>
  <c r="J158" s="1"/>
  <c r="E50" i="10" s="1"/>
  <c r="E2182" i="9"/>
  <c r="J181" s="1"/>
  <c r="J183" s="1"/>
  <c r="J174" s="1"/>
  <c r="E54" i="10" s="1"/>
  <c r="E4182" i="9"/>
  <c r="E4440" s="1"/>
  <c r="J309" s="1"/>
  <c r="E229" i="10"/>
  <c r="J456" i="8"/>
  <c r="J458" s="1"/>
  <c r="J449" s="1"/>
  <c r="E118" i="1" s="1"/>
  <c r="E90" i="10"/>
  <c r="E40"/>
  <c r="G2173" i="8"/>
  <c r="C2292"/>
  <c r="E2859" s="1"/>
  <c r="E2606"/>
  <c r="E2551"/>
  <c r="J351" i="9"/>
  <c r="J341" s="1"/>
  <c r="E107" i="10" s="1"/>
  <c r="E2292" i="8"/>
  <c r="C2859" s="1"/>
  <c r="J424" s="1"/>
  <c r="I2177"/>
  <c r="E1839"/>
  <c r="F1752"/>
  <c r="E1840" s="1"/>
  <c r="G2103"/>
  <c r="G2022"/>
  <c r="F2588"/>
  <c r="E2607" s="1"/>
  <c r="F2112"/>
  <c r="F2117" s="1"/>
  <c r="G2463"/>
  <c r="E2467" s="1"/>
  <c r="F2281"/>
  <c r="F2284" s="1"/>
  <c r="G2281"/>
  <c r="G2284" s="1"/>
  <c r="G2117"/>
  <c r="F2222"/>
  <c r="E902"/>
  <c r="G1970"/>
  <c r="E2123"/>
  <c r="G2158"/>
  <c r="E901"/>
  <c r="J21" s="1"/>
  <c r="H2158"/>
  <c r="F5810" i="9"/>
  <c r="E5817" s="1"/>
  <c r="E5818" s="1"/>
  <c r="E2742"/>
  <c r="E3236" s="1"/>
  <c r="J304" s="1"/>
  <c r="E2588"/>
  <c r="E2544"/>
  <c r="E2566"/>
  <c r="J456"/>
  <c r="J446" s="1"/>
  <c r="E88" i="10" s="1"/>
  <c r="E1157" i="9"/>
  <c r="E2178" s="1"/>
  <c r="E3364"/>
  <c r="J279" s="1"/>
  <c r="E2705"/>
  <c r="J599" s="1"/>
  <c r="E3657"/>
  <c r="J281" s="1"/>
  <c r="J422"/>
  <c r="J407" s="1"/>
  <c r="E86" i="10" s="1"/>
  <c r="F5845" i="9"/>
  <c r="E5852" s="1"/>
  <c r="E5853" s="1"/>
  <c r="F5677"/>
  <c r="E5683" s="1"/>
  <c r="E5684" s="1"/>
  <c r="J368"/>
  <c r="J358" s="1"/>
  <c r="E108" i="10" s="1"/>
  <c r="E6390" i="9"/>
  <c r="E6583" s="1"/>
  <c r="E3693"/>
  <c r="E3237"/>
  <c r="J278" s="1"/>
  <c r="E2701"/>
  <c r="J277" s="1"/>
  <c r="E3235"/>
  <c r="J252" s="1"/>
  <c r="J334"/>
  <c r="J319" s="1"/>
  <c r="E106" i="10" s="1"/>
  <c r="J256" i="9"/>
  <c r="E2699"/>
  <c r="J251" s="1"/>
  <c r="G1365" i="8"/>
  <c r="E1385" s="1"/>
  <c r="J212" s="1"/>
  <c r="J235"/>
  <c r="J239" s="1"/>
  <c r="J224" s="1"/>
  <c r="H1070"/>
  <c r="E1117" s="1"/>
  <c r="J137" s="1"/>
  <c r="G1427"/>
  <c r="G1441"/>
  <c r="G1070"/>
  <c r="E1118" s="1"/>
  <c r="J208" s="1"/>
  <c r="E1460"/>
  <c r="J142" s="1"/>
  <c r="J87"/>
  <c r="J78" s="1"/>
  <c r="E6582" i="9" l="1"/>
  <c r="E151" i="10"/>
  <c r="E165" s="1"/>
  <c r="J608" i="9"/>
  <c r="J589" s="1"/>
  <c r="E130" i="10" s="1"/>
  <c r="J146" i="8"/>
  <c r="J537" i="9"/>
  <c r="J540" s="1"/>
  <c r="J521" s="1"/>
  <c r="E118" i="10" s="1"/>
  <c r="J510" i="9"/>
  <c r="J514" s="1"/>
  <c r="J495" s="1"/>
  <c r="E114" i="10" s="1"/>
  <c r="E3716" i="9"/>
  <c r="E2291" i="8"/>
  <c r="E2856" s="1"/>
  <c r="E2290"/>
  <c r="E3656" i="9"/>
  <c r="J307" s="1"/>
  <c r="J801"/>
  <c r="J803" s="1"/>
  <c r="J794" s="1"/>
  <c r="E176" i="10" s="1"/>
  <c r="J69" i="8"/>
  <c r="J608"/>
  <c r="E156" i="1" s="1"/>
  <c r="E36"/>
  <c r="E2700" i="9"/>
  <c r="J303" s="1"/>
  <c r="J935"/>
  <c r="E204" i="10" s="1"/>
  <c r="J691" i="9"/>
  <c r="J682" s="1"/>
  <c r="E170" i="10" s="1"/>
  <c r="J53" i="9"/>
  <c r="J55" s="1"/>
  <c r="J46" s="1"/>
  <c r="E19" i="10" s="1"/>
  <c r="E102"/>
  <c r="J426" i="8"/>
  <c r="J417" s="1"/>
  <c r="E114" i="1" s="1"/>
  <c r="E2122" i="8"/>
  <c r="F1755"/>
  <c r="F1756" s="1"/>
  <c r="E1841" s="1"/>
  <c r="E2857" s="1"/>
  <c r="J440" s="1"/>
  <c r="J442" s="1"/>
  <c r="J433" s="1"/>
  <c r="E122" i="1" s="1"/>
  <c r="J286" i="9"/>
  <c r="J267" s="1"/>
  <c r="E78" i="10" s="1"/>
  <c r="J260" i="9"/>
  <c r="J241" s="1"/>
  <c r="E76" i="10" s="1"/>
  <c r="E1461" i="8"/>
  <c r="J213" s="1"/>
  <c r="J217" s="1"/>
  <c r="J119"/>
  <c r="E2854" l="1"/>
  <c r="E4136" i="9"/>
  <c r="J308" s="1"/>
  <c r="J312" s="1"/>
  <c r="J293" s="1"/>
  <c r="E77" i="10" s="1"/>
  <c r="J657" i="9"/>
  <c r="J659" s="1"/>
  <c r="J650" s="1"/>
  <c r="E142" i="10" s="1"/>
  <c r="J625" i="9"/>
  <c r="J627" s="1"/>
  <c r="J618" s="1"/>
  <c r="E141" i="10" s="1"/>
  <c r="J877" i="9"/>
  <c r="E202" i="10" s="1"/>
  <c r="J103" i="8"/>
  <c r="J23" l="1"/>
  <c r="J110" l="1"/>
  <c r="J94"/>
  <c r="J71"/>
  <c r="D267"/>
  <c r="D246"/>
  <c r="D153"/>
  <c r="D129"/>
  <c r="B270"/>
  <c r="B269"/>
  <c r="B249"/>
  <c r="B248"/>
  <c r="B227"/>
  <c r="B226"/>
  <c r="D224"/>
  <c r="B203"/>
  <c r="B202"/>
  <c r="D200"/>
  <c r="B156"/>
  <c r="B155"/>
  <c r="B132"/>
  <c r="B131"/>
  <c r="C17" i="6"/>
  <c r="C12"/>
  <c r="C11"/>
  <c r="C10"/>
  <c r="E42" i="1" l="1"/>
  <c r="E38"/>
  <c r="J39" i="8"/>
  <c r="J55"/>
  <c r="J46" s="1"/>
  <c r="E26" i="1" l="1"/>
  <c r="J200" i="8"/>
  <c r="E64" i="1" s="1"/>
  <c r="E76"/>
  <c r="E17" i="8"/>
  <c r="H16"/>
  <c r="E33"/>
  <c r="H32"/>
  <c r="E65"/>
  <c r="H64"/>
  <c r="B65"/>
  <c r="B64"/>
  <c r="B33"/>
  <c r="B32"/>
  <c r="B17"/>
  <c r="B16"/>
  <c r="J129" l="1"/>
  <c r="E52" i="1" s="1"/>
  <c r="E70"/>
  <c r="E72"/>
  <c r="H62" i="8"/>
  <c r="D62"/>
  <c r="H30"/>
  <c r="B28"/>
  <c r="D30" s="1"/>
  <c r="H14"/>
  <c r="B12"/>
  <c r="D14" s="1"/>
  <c r="J14" l="1"/>
  <c r="E18" i="1" s="1"/>
  <c r="J30" i="8" l="1"/>
  <c r="J62"/>
  <c r="E24" i="1" l="1"/>
  <c r="E30"/>
  <c r="Q34" i="2"/>
  <c r="K3" i="5" l="1"/>
  <c r="B3" i="8"/>
  <c r="J4"/>
  <c r="J3"/>
  <c r="J4" i="5"/>
  <c r="B3" i="1"/>
  <c r="K5" i="6"/>
  <c r="K4"/>
  <c r="J4"/>
  <c r="J3"/>
  <c r="B3"/>
  <c r="K5" i="5"/>
  <c r="K4"/>
  <c r="J3"/>
  <c r="B3"/>
  <c r="E4" i="1"/>
  <c r="E3"/>
  <c r="K3" i="6" l="1"/>
  <c r="J344" i="8"/>
  <c r="J346" s="1"/>
  <c r="J337" s="1"/>
  <c r="E98" i="1" s="1"/>
  <c r="J296" i="8"/>
  <c r="J298" s="1"/>
  <c r="J289" s="1"/>
  <c r="E86" i="1" s="1"/>
</calcChain>
</file>

<file path=xl/sharedStrings.xml><?xml version="1.0" encoding="utf-8"?>
<sst xmlns="http://schemas.openxmlformats.org/spreadsheetml/2006/main" count="15583" uniqueCount="2392">
  <si>
    <t xml:space="preserve">Nº CODIFICAÇÃO ENGEVIX:                                                             </t>
  </si>
  <si>
    <t xml:space="preserve">Nº CODIFICAÇÃO INFRAERO:                                         </t>
  </si>
  <si>
    <t xml:space="preserve">DATA :  </t>
  </si>
  <si>
    <t>m³</t>
  </si>
  <si>
    <t>UNID.</t>
  </si>
  <si>
    <t>QUANT.</t>
  </si>
  <si>
    <t>FUNDAÇÕES E ESTRUTURAS</t>
  </si>
  <si>
    <t>ITEM</t>
  </si>
  <si>
    <t>DESCRIÇÃO</t>
  </si>
  <si>
    <t>04.00.000</t>
  </si>
  <si>
    <t>m</t>
  </si>
  <si>
    <t>Fornecimento, Dobra e Montagem de Aço CA-50</t>
  </si>
  <si>
    <t>kg</t>
  </si>
  <si>
    <t>m²</t>
  </si>
  <si>
    <t>0</t>
  </si>
  <si>
    <t>EMISSÃO INICIAL</t>
  </si>
  <si>
    <t>WV</t>
  </si>
  <si>
    <t>Rev.</t>
  </si>
  <si>
    <t>Modificação</t>
  </si>
  <si>
    <t>Data</t>
  </si>
  <si>
    <t>Projetista</t>
  </si>
  <si>
    <t>Desenhista</t>
  </si>
  <si>
    <t>Aprovo</t>
  </si>
  <si>
    <t>Gerente de Projeto:</t>
  </si>
  <si>
    <t>Autor do Projeto/ Resp. Técnico</t>
  </si>
  <si>
    <t>Co-Autor:</t>
  </si>
  <si>
    <t>Coordenador do Contrato:</t>
  </si>
  <si>
    <t>Coord. Adjunto Contrato:</t>
  </si>
  <si>
    <t>Desenhista:</t>
  </si>
  <si>
    <t>Número:</t>
  </si>
  <si>
    <t>Conferido:</t>
  </si>
  <si>
    <t>Escala:</t>
  </si>
  <si>
    <t>Data:</t>
  </si>
  <si>
    <t>Sítio:</t>
  </si>
  <si>
    <t>Área do sítio:</t>
  </si>
  <si>
    <t>Especialidade/ Subespecialidade</t>
  </si>
  <si>
    <t>Fiscal Contrato:</t>
  </si>
  <si>
    <t>Tipo/ Especificação do documento:</t>
  </si>
  <si>
    <t>Fiscal Técnico:</t>
  </si>
  <si>
    <t>Tipo de obra:</t>
  </si>
  <si>
    <t>Classe geral do projeto:</t>
  </si>
  <si>
    <t>Gestor do contrato:</t>
  </si>
  <si>
    <t>Substitui a:</t>
  </si>
  <si>
    <t>Substituída por:</t>
  </si>
  <si>
    <t>Termo de contrato Nº.:</t>
  </si>
  <si>
    <t>Codificação:</t>
  </si>
  <si>
    <t>S/E</t>
  </si>
  <si>
    <t>TC 091-ST/2009/0010</t>
  </si>
  <si>
    <t>-</t>
  </si>
  <si>
    <t>ENG. WILSON VIEIRA</t>
  </si>
  <si>
    <t>Rubrica</t>
  </si>
  <si>
    <t>CREA / UF</t>
  </si>
  <si>
    <t>PLANILHA DE SERVIÇOS DE MATERIAIS E QUANTIDADES /                                                                                                                       MEMORIAL DE QUANTIFICAÇÃO - PSQ</t>
  </si>
  <si>
    <t>ÍNDICE</t>
  </si>
  <si>
    <t>1.  OBJETIVO</t>
  </si>
  <si>
    <t>2.  DOCUMENTOS DE REFERÊNCIA</t>
  </si>
  <si>
    <t>3.  FORMA DE MEDIÇÃO E PAGAMENTO</t>
  </si>
  <si>
    <t>DESCRIÇÃO DO SERVIÇO</t>
  </si>
  <si>
    <t>Em cada um dos itens é apresentada a respectiva lista de desenhos utilizados para o levantamento do Memorial de Quantificação (MQ) e Planilha de Serviços de Materiais e Quantidades (PSQ).</t>
  </si>
  <si>
    <t>O recebimento e forma de medição para efeito de pagamento é definida de acordo com as características de cada item discriminado e da aplicação do item e/ou do(s) serviço(s) a ele vinculado(s).</t>
  </si>
  <si>
    <t>0600405580/SP</t>
  </si>
  <si>
    <t>Qtde.</t>
  </si>
  <si>
    <t>C</t>
  </si>
  <si>
    <t>Conc. (m³)</t>
  </si>
  <si>
    <t>área</t>
  </si>
  <si>
    <t>L</t>
  </si>
  <si>
    <t>H</t>
  </si>
  <si>
    <t>Quant.</t>
  </si>
  <si>
    <t>Forma (m²)</t>
  </si>
  <si>
    <t>WTRF</t>
  </si>
  <si>
    <t>DESCRIÇÃO DOS SERVIÇOS</t>
  </si>
  <si>
    <t>QTDE</t>
  </si>
  <si>
    <t>CRITÉRIOS DE MEDIÇÃO</t>
  </si>
  <si>
    <t>A quantidade foi levantada a partir do(s) desenho(s) abaixo relacionado(s).</t>
  </si>
  <si>
    <t>DOCUMENTOS DE REFERÊNCIA</t>
  </si>
  <si>
    <t>QUANTIDADE</t>
  </si>
  <si>
    <t>TOTAL</t>
  </si>
  <si>
    <t>MEMÓRIA DE CÁLCULO</t>
  </si>
  <si>
    <t>VER ANEXO A</t>
  </si>
  <si>
    <t xml:space="preserve">Foram utilizadas as premissas descritas no(s) seguinte(s)  documento(s):  </t>
  </si>
  <si>
    <t xml:space="preserve">A especificação propriamente dita, a forma de execução, se for o caso e o critério de medição são descritas no(s) seguinte(s) documento(s): </t>
  </si>
  <si>
    <t>ANEXO A</t>
  </si>
  <si>
    <t>B</t>
  </si>
  <si>
    <t>a (m)</t>
  </si>
  <si>
    <t>V1</t>
  </si>
  <si>
    <t>V2</t>
  </si>
  <si>
    <t>b (m)</t>
  </si>
  <si>
    <t>LS1</t>
  </si>
  <si>
    <t>LS2</t>
  </si>
  <si>
    <t>L1</t>
  </si>
  <si>
    <t>TERMINAL DE PASSAGEIROS</t>
  </si>
  <si>
    <t>ANEXO B</t>
  </si>
  <si>
    <t>VER ANEXO B</t>
  </si>
  <si>
    <t>LAJES</t>
  </si>
  <si>
    <t>Espes.(m)</t>
  </si>
  <si>
    <t>Conc. (m3)</t>
  </si>
  <si>
    <t>PILARES</t>
  </si>
  <si>
    <t>VIGAS</t>
  </si>
  <si>
    <t>RESUMO - SUPERESTRUTURA</t>
  </si>
  <si>
    <r>
      <t>Conc. (m</t>
    </r>
    <r>
      <rPr>
        <vertAlign val="superscript"/>
        <sz val="10"/>
        <color indexed="10"/>
        <rFont val="Arial"/>
        <family val="2"/>
      </rPr>
      <t>3</t>
    </r>
    <r>
      <rPr>
        <sz val="10"/>
        <color indexed="10"/>
        <rFont val="Arial"/>
        <family val="2"/>
      </rPr>
      <t>)</t>
    </r>
  </si>
  <si>
    <r>
      <t>m</t>
    </r>
    <r>
      <rPr>
        <vertAlign val="superscript"/>
        <sz val="10"/>
        <rFont val="Arial"/>
        <family val="2"/>
      </rPr>
      <t>3</t>
    </r>
  </si>
  <si>
    <t>Área de formas</t>
  </si>
  <si>
    <t>Aço CA-50</t>
  </si>
  <si>
    <t>comp (m)</t>
  </si>
  <si>
    <t>Concreto (m3)</t>
  </si>
  <si>
    <t>forma (m2)</t>
  </si>
  <si>
    <t>LANCES</t>
  </si>
  <si>
    <t>piso 1 a 7</t>
  </si>
  <si>
    <t>V3</t>
  </si>
  <si>
    <t>ESTRUTURAS DE CONCRETO</t>
  </si>
  <si>
    <t>04.03.300</t>
  </si>
  <si>
    <t xml:space="preserve">Diversos </t>
  </si>
  <si>
    <t>04.03.310</t>
  </si>
  <si>
    <t>04.03.310.01</t>
  </si>
  <si>
    <t>04.03.330</t>
  </si>
  <si>
    <t>04.03.330.01</t>
  </si>
  <si>
    <t>LAJE</t>
  </si>
  <si>
    <t>LC1</t>
  </si>
  <si>
    <t>VIGAS DA COBERTURA</t>
  </si>
  <si>
    <t>VC2</t>
  </si>
  <si>
    <t>VC3A</t>
  </si>
  <si>
    <t>VC4A</t>
  </si>
  <si>
    <t>VC6</t>
  </si>
  <si>
    <t>VC8</t>
  </si>
  <si>
    <t>VC9</t>
  </si>
  <si>
    <t>VC10</t>
  </si>
  <si>
    <t>VC11</t>
  </si>
  <si>
    <t>VC12</t>
  </si>
  <si>
    <t>VC13</t>
  </si>
  <si>
    <t>VC14</t>
  </si>
  <si>
    <t>VC15</t>
  </si>
  <si>
    <t>LS3</t>
  </si>
  <si>
    <t>LS4</t>
  </si>
  <si>
    <t>LS5</t>
  </si>
  <si>
    <t>LS6</t>
  </si>
  <si>
    <t>VIGAS DO SUPERIOR</t>
  </si>
  <si>
    <t>VS3</t>
  </si>
  <si>
    <t>VS4</t>
  </si>
  <si>
    <t>VS5</t>
  </si>
  <si>
    <t>VS6</t>
  </si>
  <si>
    <t>VS11</t>
  </si>
  <si>
    <t>VS12</t>
  </si>
  <si>
    <t>VS13</t>
  </si>
  <si>
    <t>VS14</t>
  </si>
  <si>
    <t>VS15</t>
  </si>
  <si>
    <t>VS16</t>
  </si>
  <si>
    <t>VS18</t>
  </si>
  <si>
    <t>VS19</t>
  </si>
  <si>
    <t>VS20</t>
  </si>
  <si>
    <t>VS21</t>
  </si>
  <si>
    <t>VP1</t>
  </si>
  <si>
    <t>VP2</t>
  </si>
  <si>
    <t>ESCADA</t>
  </si>
  <si>
    <t>VC4</t>
  </si>
  <si>
    <t>VC5</t>
  </si>
  <si>
    <t>A</t>
  </si>
  <si>
    <t>VS2</t>
  </si>
  <si>
    <t>VC1</t>
  </si>
  <si>
    <t>VC3</t>
  </si>
  <si>
    <t>VC7</t>
  </si>
  <si>
    <t>PAREDES</t>
  </si>
  <si>
    <t>PAR1</t>
  </si>
  <si>
    <t>PAR2</t>
  </si>
  <si>
    <t>PAR3</t>
  </si>
  <si>
    <t>PAR4</t>
  </si>
  <si>
    <t>PAR5</t>
  </si>
  <si>
    <t>VR1</t>
  </si>
  <si>
    <t>VR2</t>
  </si>
  <si>
    <t>VR3</t>
  </si>
  <si>
    <t>04.03.000</t>
  </si>
  <si>
    <t>04.03.110</t>
  </si>
  <si>
    <t>04.03.110.01</t>
  </si>
  <si>
    <t>04.03.120</t>
  </si>
  <si>
    <t>04.03.120.01</t>
  </si>
  <si>
    <t>04.03.130</t>
  </si>
  <si>
    <t>04.03.130.01</t>
  </si>
  <si>
    <t>Fornecimento e Aplicação de Concreto (fck=30MPa)</t>
  </si>
  <si>
    <t>Forma plana para estruturas de concreto, fornecimento e aplicação</t>
  </si>
  <si>
    <t>04.03.120.02</t>
  </si>
  <si>
    <t>Fornecimento, Dobra e Montagem de Aço CA-60</t>
  </si>
  <si>
    <t>EDIFÍCIO DE APOIO</t>
  </si>
  <si>
    <t>CENTRAL DE UTILIDADES</t>
  </si>
  <si>
    <t>04.03.310.02</t>
  </si>
  <si>
    <t>Este quantitativo se refere aos seguintes desenhos: FL.17/302.13/04695,FL.17/302.13/04696, FL.17/302.13/04697 e FL.17/302.13/04699</t>
  </si>
  <si>
    <t>VS1</t>
  </si>
  <si>
    <t>VS1 A</t>
  </si>
  <si>
    <t>VS7</t>
  </si>
  <si>
    <t>VS8</t>
  </si>
  <si>
    <t>VS9</t>
  </si>
  <si>
    <t>VS10</t>
  </si>
  <si>
    <t>VS17</t>
  </si>
  <si>
    <t>VS22</t>
  </si>
  <si>
    <t>VS23</t>
  </si>
  <si>
    <t>VIGAS DA CASA DE MAQUINAS</t>
  </si>
  <si>
    <t>VCM1</t>
  </si>
  <si>
    <t>VCM2</t>
  </si>
  <si>
    <t>VCM3</t>
  </si>
  <si>
    <t>VCM4</t>
  </si>
  <si>
    <t>VCM5</t>
  </si>
  <si>
    <t>VCM6</t>
  </si>
  <si>
    <t>VCM7</t>
  </si>
  <si>
    <t>VCM8</t>
  </si>
  <si>
    <t>VCM9</t>
  </si>
  <si>
    <t>VCM10</t>
  </si>
  <si>
    <t>VCM11</t>
  </si>
  <si>
    <t>VIGAS DA LAJE IMPER.</t>
  </si>
  <si>
    <t>VL1</t>
  </si>
  <si>
    <t>VL2</t>
  </si>
  <si>
    <t>VL3</t>
  </si>
  <si>
    <t>VL4</t>
  </si>
  <si>
    <t>VL5</t>
  </si>
  <si>
    <t>DEMAIS VIGAS</t>
  </si>
  <si>
    <t>VE1</t>
  </si>
  <si>
    <t>VE2</t>
  </si>
  <si>
    <t>VE3</t>
  </si>
  <si>
    <t>VE4</t>
  </si>
  <si>
    <t>VE5</t>
  </si>
  <si>
    <t>VR4</t>
  </si>
  <si>
    <t>VR5</t>
  </si>
  <si>
    <t>VR6</t>
  </si>
  <si>
    <t>VR7</t>
  </si>
  <si>
    <t>VR8</t>
  </si>
  <si>
    <t>V4 (INV)</t>
  </si>
  <si>
    <t>V5</t>
  </si>
  <si>
    <t>V6</t>
  </si>
  <si>
    <t>V7 (INV)</t>
  </si>
  <si>
    <t xml:space="preserve">V7 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</si>
  <si>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</si>
  <si>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</si>
  <si>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</si>
  <si>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</si>
  <si>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</si>
  <si>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</si>
  <si>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</si>
  <si>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</si>
  <si>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</si>
  <si>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</si>
  <si>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</si>
  <si>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P1 (50x30)</t>
  </si>
  <si>
    <t>P2 (25x60)</t>
  </si>
  <si>
    <t>P2 (25x25)</t>
  </si>
  <si>
    <t>P3 (25x100)</t>
  </si>
  <si>
    <t>P3 (20x35)</t>
  </si>
  <si>
    <t>P4 (25x60)</t>
  </si>
  <si>
    <t>P4 (35x25)</t>
  </si>
  <si>
    <t>P5 (50x30)</t>
  </si>
  <si>
    <t>P6 (76x30)</t>
  </si>
  <si>
    <t>P7 (30x20)</t>
  </si>
  <si>
    <t>P8 (40x20)</t>
  </si>
  <si>
    <t>P8 (20x60)</t>
  </si>
  <si>
    <t>P9 (20x60)</t>
  </si>
  <si>
    <t>P9 (20x100)</t>
  </si>
  <si>
    <t>P10 (40x20)</t>
  </si>
  <si>
    <t>P10 (20x60)</t>
  </si>
  <si>
    <t>P11 (76x30)</t>
  </si>
  <si>
    <t>P12 (76x30)</t>
  </si>
  <si>
    <t>P13 (40x30)</t>
  </si>
  <si>
    <t>P14 (40x30)</t>
  </si>
  <si>
    <t>P15 (76x30)</t>
  </si>
  <si>
    <t>P16 (76x30)</t>
  </si>
  <si>
    <t>P17 (40x30)</t>
  </si>
  <si>
    <t>P18 (40x30)</t>
  </si>
  <si>
    <t>P19 (76x30)</t>
  </si>
  <si>
    <t>P20 (50x30)</t>
  </si>
  <si>
    <t>P21 (60x30)</t>
  </si>
  <si>
    <t>P22 (50x30)</t>
  </si>
  <si>
    <t>P23 (50x30)</t>
  </si>
  <si>
    <t>P24 (60x30)</t>
  </si>
  <si>
    <t>P25 (50x30)</t>
  </si>
  <si>
    <t>P26 (50x30)</t>
  </si>
  <si>
    <t>P27 (60x30)</t>
  </si>
  <si>
    <t>P28 (50x30)</t>
  </si>
  <si>
    <t>P29 (50x30)</t>
  </si>
  <si>
    <t>P30 (60x30)</t>
  </si>
  <si>
    <t>P31 (50x30)</t>
  </si>
  <si>
    <t>P32 (50x30)</t>
  </si>
  <si>
    <t>P33 (60x30)</t>
  </si>
  <si>
    <t>P34 (50x30)</t>
  </si>
  <si>
    <t>P35 (50x30)</t>
  </si>
  <si>
    <t>P36 (60x30)</t>
  </si>
  <si>
    <t>P37 (50x30)</t>
  </si>
  <si>
    <t>P38 (50x30)</t>
  </si>
  <si>
    <t>P39 (60x30)</t>
  </si>
  <si>
    <t>P40 (50x30)</t>
  </si>
  <si>
    <t>PR1 (20x20)</t>
  </si>
  <si>
    <t>PR2 (20x20)</t>
  </si>
  <si>
    <t>PR3 (20x20)</t>
  </si>
  <si>
    <t>PR4 (20x20)</t>
  </si>
  <si>
    <t>PR5 (20x20)</t>
  </si>
  <si>
    <t>PR6 (20x20)</t>
  </si>
  <si>
    <t>PR7 (20x20)</t>
  </si>
  <si>
    <t>PR8 (20x20)</t>
  </si>
  <si>
    <t>PR9 (20x20)</t>
  </si>
  <si>
    <t>PR10 (20x20)</t>
  </si>
  <si>
    <t>area de furo (m²)</t>
  </si>
  <si>
    <t>ESCADA EIXO C3/22</t>
  </si>
  <si>
    <t>area (m²)</t>
  </si>
  <si>
    <t>comp. Fundo</t>
  </si>
  <si>
    <t>piso 14 a 25</t>
  </si>
  <si>
    <t>piso 27 a 39</t>
  </si>
  <si>
    <t>piso 28 a 36</t>
  </si>
  <si>
    <t>ESCADA EIXO C3/24</t>
  </si>
  <si>
    <t>ESCADA EIXO E5/24</t>
  </si>
  <si>
    <t>PISO / LAJE</t>
  </si>
  <si>
    <t>Área(m²)</t>
  </si>
  <si>
    <t>Conc. Magro (m³)</t>
  </si>
  <si>
    <t>Formas (m²)</t>
  </si>
  <si>
    <t>PC</t>
  </si>
  <si>
    <t>LPE.1</t>
  </si>
  <si>
    <t>LPE.2</t>
  </si>
  <si>
    <t>LS</t>
  </si>
  <si>
    <t>LC</t>
  </si>
  <si>
    <t>LCM</t>
  </si>
  <si>
    <t>LL</t>
  </si>
  <si>
    <t>LR</t>
  </si>
  <si>
    <t>Área de formas =</t>
  </si>
  <si>
    <t>Concreto Estrutural =</t>
  </si>
  <si>
    <t>Lastro de Concreto Magro =</t>
  </si>
  <si>
    <t>Junta de Encontro =</t>
  </si>
  <si>
    <t>Junta Serrada =</t>
  </si>
  <si>
    <t>RESUMO - ARMAÇÃO</t>
  </si>
  <si>
    <t>Armação - Blocos e Pilares</t>
  </si>
  <si>
    <t>Disponível no desenho FL.17/302.13/04700</t>
  </si>
  <si>
    <t>Armação do Piso</t>
  </si>
  <si>
    <t>Aço CA-60 (tela Q138)</t>
  </si>
  <si>
    <t>Disponível no desenho FL.17/302.13/04706</t>
  </si>
  <si>
    <t>Aço CA-60 (Espaçador)</t>
  </si>
  <si>
    <t>Aço CA-50 (reforço)</t>
  </si>
  <si>
    <t>Armação das lajes do Pavimento Superior Positiva</t>
  </si>
  <si>
    <t>Aço CA-60</t>
  </si>
  <si>
    <t>Disponível no desenho FL.17/302.13/04707</t>
  </si>
  <si>
    <t>Armação das lajes do Pavimento Superior Negativa</t>
  </si>
  <si>
    <t>Disponível no desenho FL.17/302.13/04708</t>
  </si>
  <si>
    <t>Armação das vigas do Pavimento Superior 1/2</t>
  </si>
  <si>
    <t>Disponível no desenho FL.17/302.13/04709</t>
  </si>
  <si>
    <t>Armação das vigas do Pavimento Superior 2/2</t>
  </si>
  <si>
    <t>Disponível no desenho FL.17/302.13/04710</t>
  </si>
  <si>
    <t>Armação - Paredes</t>
  </si>
  <si>
    <t>Disponível no desenho FL.17/302.13/04711</t>
  </si>
  <si>
    <t>Armação das lajes da Cobertura Positiva e Negativa</t>
  </si>
  <si>
    <t>Disponível no desenho FL.17/302.13/04712</t>
  </si>
  <si>
    <t>Armação das lajes da Casa de Máquinas e Laje Impermeabilizada</t>
  </si>
  <si>
    <t>Disponível no desenho FL.17/302.13/04713</t>
  </si>
  <si>
    <t>Armação - Vigas da Cobertura</t>
  </si>
  <si>
    <t>Disponível no desenho FL.17/302.13/04714</t>
  </si>
  <si>
    <t>Armação - Vigas da Casa de Máquinas</t>
  </si>
  <si>
    <t>Disponível no desenho FL.17/302.13/04715</t>
  </si>
  <si>
    <t>Armação - Escada</t>
  </si>
  <si>
    <t>Disponível no desenho FL.17/302.13/04716</t>
  </si>
  <si>
    <t>Disponível no desenho FL.17/302.13/04718</t>
  </si>
  <si>
    <t>Disponível no desenho FL.17/302.13/04719</t>
  </si>
  <si>
    <t>Armação - Total</t>
  </si>
  <si>
    <t>Aço CA-50 =</t>
  </si>
  <si>
    <t>Aço CA-60 =</t>
  </si>
  <si>
    <t>Este quantitativo se refere ao seguinte desenho: FL.26/302.13/04735</t>
  </si>
  <si>
    <t>P1 (30x60)</t>
  </si>
  <si>
    <t>P2 (30x60)</t>
  </si>
  <si>
    <t>P2 (30x20)</t>
  </si>
  <si>
    <t>P3 (30x60)</t>
  </si>
  <si>
    <t>P3 (30x20)</t>
  </si>
  <si>
    <t>P4 (30x60)</t>
  </si>
  <si>
    <t>P4 (30x20)</t>
  </si>
  <si>
    <t>P5 (30x60)</t>
  </si>
  <si>
    <t>P5 (30x20)</t>
  </si>
  <si>
    <t>P5A (30x60)</t>
  </si>
  <si>
    <t>P5A (30x20)</t>
  </si>
  <si>
    <t>P6 (30x60)</t>
  </si>
  <si>
    <t>P6 (30x20)</t>
  </si>
  <si>
    <t>P7 (30x60)</t>
  </si>
  <si>
    <t>P8 (30x60)</t>
  </si>
  <si>
    <t>P8 (30x20)</t>
  </si>
  <si>
    <t>P9 (30x60)</t>
  </si>
  <si>
    <t>P10 (60x30)</t>
  </si>
  <si>
    <t>P10 (20x30)</t>
  </si>
  <si>
    <t>P11 (60x30)</t>
  </si>
  <si>
    <t>P11 (20x30)</t>
  </si>
  <si>
    <t>P12 (30x60)</t>
  </si>
  <si>
    <t>P13 (30x60)</t>
  </si>
  <si>
    <t>P13 (30x20)</t>
  </si>
  <si>
    <t>P14 (30x60)</t>
  </si>
  <si>
    <t>P14 (30x20)</t>
  </si>
  <si>
    <t>P15 (30x60)</t>
  </si>
  <si>
    <t>P15 (30x20)</t>
  </si>
  <si>
    <t>P16 (30x60)</t>
  </si>
  <si>
    <t>P16 (30x20)</t>
  </si>
  <si>
    <t>P16A (30x60)</t>
  </si>
  <si>
    <t>P16A (30x20)</t>
  </si>
  <si>
    <t>P17 (30x60)</t>
  </si>
  <si>
    <t>P17 (30x20)</t>
  </si>
  <si>
    <t>P18 (30x60)</t>
  </si>
  <si>
    <t>P18 (30x20)</t>
  </si>
  <si>
    <t>P19 (30x60)</t>
  </si>
  <si>
    <t>P19 (30x20)</t>
  </si>
  <si>
    <t>P20 (30x60)</t>
  </si>
  <si>
    <t>PISO</t>
  </si>
  <si>
    <t>ÁREA</t>
  </si>
  <si>
    <t>ESP.</t>
  </si>
  <si>
    <t>Conc. Magro</t>
  </si>
  <si>
    <t>PC (h=8cm)</t>
  </si>
  <si>
    <t>Armação do piso</t>
  </si>
  <si>
    <t>Aço CA-60 (Tela Q138) =</t>
  </si>
  <si>
    <t>Disponível no desenho FL.26/302.13/04736</t>
  </si>
  <si>
    <t>Aço CA-60 (Espaçador) =</t>
  </si>
  <si>
    <t>Aço CA-50 (Reforço) =</t>
  </si>
  <si>
    <t>Armação - Blocos, Pilares e Vigas</t>
  </si>
  <si>
    <t>Disponível no desenho FL.26/302.13/04737</t>
  </si>
  <si>
    <t>P1 (40x25)</t>
  </si>
  <si>
    <t>P2 (25x40)</t>
  </si>
  <si>
    <t>P2 (25x20)</t>
  </si>
  <si>
    <t>P3 (40x25)</t>
  </si>
  <si>
    <t>P4 (40x25)</t>
  </si>
  <si>
    <t>P4 (20x25)</t>
  </si>
  <si>
    <t>P5 (40x25)</t>
  </si>
  <si>
    <t>P5 (20x25)</t>
  </si>
  <si>
    <t>P6 (40x25)</t>
  </si>
  <si>
    <t>P6 (20x25)</t>
  </si>
  <si>
    <t>P7 (40x25)</t>
  </si>
  <si>
    <t>P7 (20x25)</t>
  </si>
  <si>
    <t>P8 (40x25)</t>
  </si>
  <si>
    <t>P8 (20x25)</t>
  </si>
  <si>
    <t>P8A (40x25)</t>
  </si>
  <si>
    <t>P8A (20x25)</t>
  </si>
  <si>
    <t>P9 (40x25)</t>
  </si>
  <si>
    <t>P9 (20x25)</t>
  </si>
  <si>
    <t>P9A (40x25)</t>
  </si>
  <si>
    <t>P9A (20x25)</t>
  </si>
  <si>
    <t>P10 (40x25)</t>
  </si>
  <si>
    <t>P10 (20x25)</t>
  </si>
  <si>
    <t>P11 (40x25)</t>
  </si>
  <si>
    <t>P11 (20x25)</t>
  </si>
  <si>
    <t>P12 (40x25)</t>
  </si>
  <si>
    <t>P12 (20x25)</t>
  </si>
  <si>
    <t>P13 (40x25)</t>
  </si>
  <si>
    <t>P13 (20x25)</t>
  </si>
  <si>
    <t>P14 (40x25)</t>
  </si>
  <si>
    <t>P14 (20x25)</t>
  </si>
  <si>
    <t>P15 (40x25)</t>
  </si>
  <si>
    <t>P15 (20x25)</t>
  </si>
  <si>
    <t>P16 (40x25)</t>
  </si>
  <si>
    <t>P17 (25x40)</t>
  </si>
  <si>
    <t>P17 (25x20)</t>
  </si>
  <si>
    <t>Disponível no desenho FL.26/302.13/04740</t>
  </si>
  <si>
    <t>Armação - Vigas VB3 À VB6, VB10 À VB19 E VC1 VC4A</t>
  </si>
  <si>
    <t>Disponível no desenho FL.26/302.13/04742</t>
  </si>
  <si>
    <t>VC13 e VC13A</t>
  </si>
  <si>
    <t>VC16 e VC16A</t>
  </si>
  <si>
    <t>VC17 e VC17A</t>
  </si>
  <si>
    <t>P1 (60x25)</t>
  </si>
  <si>
    <t>P3 (25x60)</t>
  </si>
  <si>
    <t>P3 (25x25)</t>
  </si>
  <si>
    <t>P4 (60x25)</t>
  </si>
  <si>
    <t>P5 (60x30)</t>
  </si>
  <si>
    <t>P5 (30x30)</t>
  </si>
  <si>
    <t>P6 (60x30)</t>
  </si>
  <si>
    <t>P6 (30x30)</t>
  </si>
  <si>
    <t>P7 (60x30)</t>
  </si>
  <si>
    <t>P7 (30x30)</t>
  </si>
  <si>
    <t>P8 (60x30)</t>
  </si>
  <si>
    <t>P8 (30x30)</t>
  </si>
  <si>
    <t>P9 (60x25)</t>
  </si>
  <si>
    <t>P10 (60x25)</t>
  </si>
  <si>
    <t>P11 (25x60)</t>
  </si>
  <si>
    <t>P12 (60x25)</t>
  </si>
  <si>
    <t>P12 (25x25)</t>
  </si>
  <si>
    <t>P12A (60x25)</t>
  </si>
  <si>
    <t>P12A(25x25)</t>
  </si>
  <si>
    <t>P13 (60x25)</t>
  </si>
  <si>
    <t>P13A (60x25)</t>
  </si>
  <si>
    <t>P14 (60x25)</t>
  </si>
  <si>
    <t>P14 (25x25)</t>
  </si>
  <si>
    <t>P14A (60x25)</t>
  </si>
  <si>
    <t>P14A (25x25)</t>
  </si>
  <si>
    <t>P15 (60x25)</t>
  </si>
  <si>
    <t>P16 (60x25)</t>
  </si>
  <si>
    <t>P16 (25x25)</t>
  </si>
  <si>
    <t>P17 (60x25)</t>
  </si>
  <si>
    <t>P18 (25x60)</t>
  </si>
  <si>
    <t>P18 (25x25)</t>
  </si>
  <si>
    <t>P19 (25x60)</t>
  </si>
  <si>
    <t>P19 (25x25)</t>
  </si>
  <si>
    <t>P20 (60x25)</t>
  </si>
  <si>
    <t>P20 (25x25)</t>
  </si>
  <si>
    <t>P21 (60x25)</t>
  </si>
  <si>
    <t>P22 (60x25)</t>
  </si>
  <si>
    <t>P23 (60x25)</t>
  </si>
  <si>
    <t>P23 (25x25)</t>
  </si>
  <si>
    <t>P24 (60x25)</t>
  </si>
  <si>
    <t>P24 (25x25)</t>
  </si>
  <si>
    <t>P25 (60x25)</t>
  </si>
  <si>
    <t>P26 (60x25)</t>
  </si>
  <si>
    <t>P27 (60x25)</t>
  </si>
  <si>
    <t>P27 (25x25)</t>
  </si>
  <si>
    <t>P28 (60x25)</t>
  </si>
  <si>
    <t>P29 (25x60)</t>
  </si>
  <si>
    <t>P29 (25x25)</t>
  </si>
  <si>
    <t>P30 (25x60)</t>
  </si>
  <si>
    <t>P30 (25x25)</t>
  </si>
  <si>
    <t>P31 (60x25)</t>
  </si>
  <si>
    <t>lajes da cobertura</t>
  </si>
  <si>
    <t>Disponível no desenho FL.26/302.13/04746</t>
  </si>
  <si>
    <t>Armação - Vigas da Cobertura 1/2</t>
  </si>
  <si>
    <t>Disponível no desenho FL.26/302.13/04749</t>
  </si>
  <si>
    <t>Armação - Vigas da Cobertura 2/2</t>
  </si>
  <si>
    <t>Disponível no desenho FL.26/302.13/05418</t>
  </si>
  <si>
    <t>Armação - Lajes</t>
  </si>
  <si>
    <t>Disponível no desenho FL.26/302.13/05419</t>
  </si>
  <si>
    <t>P1 (20x20)</t>
  </si>
  <si>
    <t>P2 (20x20)</t>
  </si>
  <si>
    <t>P3 (20x20)</t>
  </si>
  <si>
    <t>P4 (20x20)</t>
  </si>
  <si>
    <t>P5 (40x50)</t>
  </si>
  <si>
    <t>P6 (40x50)</t>
  </si>
  <si>
    <t>Armação - Blocos, Pilares, Vigas e Lajes</t>
  </si>
  <si>
    <t>Disponível no desenho FL.26/302.13/04752</t>
  </si>
  <si>
    <t>V.S1</t>
  </si>
  <si>
    <t>V.S2</t>
  </si>
  <si>
    <t>Altura do lance</t>
  </si>
  <si>
    <t>piso 1 a 14</t>
  </si>
  <si>
    <t>piso 15 a 18</t>
  </si>
  <si>
    <t>piso 19 a 31</t>
  </si>
  <si>
    <t>LAJES SUPERIOR E COBERTURA</t>
  </si>
  <si>
    <t>Armação - Piso, Bloco, Pilares, Vigas, Lajes e Escadas</t>
  </si>
  <si>
    <t>Aço CA-60  (tela Q138) =</t>
  </si>
  <si>
    <t>Disponível no desenho FL.26/302.13/04754</t>
  </si>
  <si>
    <t>Aço CA-60  (Espaçador) =</t>
  </si>
  <si>
    <t>Aço CA-60  =</t>
  </si>
  <si>
    <t>Disponível no desenho FL.26/302.13/04755</t>
  </si>
  <si>
    <t>P1 (25x40)</t>
  </si>
  <si>
    <t>P3 (25x40)</t>
  </si>
  <si>
    <t>P4 (25x40)</t>
  </si>
  <si>
    <t>P5 (25x40)</t>
  </si>
  <si>
    <t>P5 (25x20)</t>
  </si>
  <si>
    <t>P6 (25x40)</t>
  </si>
  <si>
    <t>LAJE DE FUNDO</t>
  </si>
  <si>
    <t>Disponível no desenho FL.26/302.13/04757</t>
  </si>
  <si>
    <t>Aço CA-60 (Espaçadores) =</t>
  </si>
  <si>
    <t>Disponível no desenho FL.26/302.13/04758</t>
  </si>
  <si>
    <t>LAJE DO SUPERIOR</t>
  </si>
  <si>
    <t>P1 (25x25)</t>
  </si>
  <si>
    <t>H*</t>
  </si>
  <si>
    <t>Disponível no desenho FL.26/302.13/04763</t>
  </si>
  <si>
    <t>Armação - Vigas VS e Laje de Cobertura</t>
  </si>
  <si>
    <t>Disponível no desenho FL.26/302.13/04764</t>
  </si>
  <si>
    <t>quantidade</t>
  </si>
  <si>
    <t>V.1 e V.3</t>
  </si>
  <si>
    <t>V.2</t>
  </si>
  <si>
    <t>V.4 e V.5</t>
  </si>
  <si>
    <t>V.6 e V.8</t>
  </si>
  <si>
    <t>V.7</t>
  </si>
  <si>
    <t>V.9 e V.10</t>
  </si>
  <si>
    <t>VE2 e VE3</t>
  </si>
  <si>
    <t>PAR.1 e PAR.3</t>
  </si>
  <si>
    <t>PAR.2</t>
  </si>
  <si>
    <t>PAR.4 e PAR.5</t>
  </si>
  <si>
    <t>PAR.6 e PAR.8</t>
  </si>
  <si>
    <t>PAR.7</t>
  </si>
  <si>
    <t>PAR.9 e PAR.10</t>
  </si>
  <si>
    <t>piso 1 a 9</t>
  </si>
  <si>
    <t>piso 10 a 18</t>
  </si>
  <si>
    <t>piso 19 a 27</t>
  </si>
  <si>
    <t>piso 37 a 45</t>
  </si>
  <si>
    <t>piso 46 a 54</t>
  </si>
  <si>
    <t>piso 55 a 63</t>
  </si>
  <si>
    <t>piso 64 a 72</t>
  </si>
  <si>
    <t>piso 73 a 81</t>
  </si>
  <si>
    <t>piso 82 a 90</t>
  </si>
  <si>
    <t>piso 91 a 99</t>
  </si>
  <si>
    <t>piso 100 a 108</t>
  </si>
  <si>
    <t>piso 109 a 117</t>
  </si>
  <si>
    <t>piso 118 a 126</t>
  </si>
  <si>
    <t>Lajes / Piso</t>
  </si>
  <si>
    <t>LAJE PISO</t>
  </si>
  <si>
    <t>área (m²)</t>
  </si>
  <si>
    <t>P.1 - a=Perímetro</t>
  </si>
  <si>
    <t>P.2 - a=Perímetro</t>
  </si>
  <si>
    <t>P.3</t>
  </si>
  <si>
    <t>P.4</t>
  </si>
  <si>
    <t>P.5 - a=Perímetro</t>
  </si>
  <si>
    <t>P.6 - a=Perímetro</t>
  </si>
  <si>
    <t>P.7 - a=Perímetro</t>
  </si>
  <si>
    <t>P.8 - a=Perímetro</t>
  </si>
  <si>
    <t>P.9</t>
  </si>
  <si>
    <t>P.10</t>
  </si>
  <si>
    <t>P.11 - a=Perímetro</t>
  </si>
  <si>
    <t>P.12 - a=Perímetro</t>
  </si>
  <si>
    <t>Disponível no desenho FL.26/302.13/04771</t>
  </si>
  <si>
    <t>Armação - Lajes e Paredes</t>
  </si>
  <si>
    <t>Disponível no desenho FL.26/302.13/04773</t>
  </si>
  <si>
    <t>Disponível no desenho FL.26/302.13/04774</t>
  </si>
  <si>
    <t>Armação - Piso</t>
  </si>
  <si>
    <t>Aço CA-60 (Tela Q159) =</t>
  </si>
  <si>
    <t>Disponível no desenho FL.26/302.13/04775</t>
  </si>
  <si>
    <t>Aço CA-60 (Espaçador Soldado) =</t>
  </si>
  <si>
    <t>V102</t>
  </si>
  <si>
    <t>V103</t>
  </si>
  <si>
    <t>V104</t>
  </si>
  <si>
    <t>V109</t>
  </si>
  <si>
    <t>V110</t>
  </si>
  <si>
    <t>V120</t>
  </si>
  <si>
    <t>V121</t>
  </si>
  <si>
    <t>V122</t>
  </si>
  <si>
    <t>V148</t>
  </si>
  <si>
    <t>V149</t>
  </si>
  <si>
    <t>V150</t>
  </si>
  <si>
    <t>V159</t>
  </si>
  <si>
    <t>V160</t>
  </si>
  <si>
    <t>V161</t>
  </si>
  <si>
    <t>V176</t>
  </si>
  <si>
    <t>V177</t>
  </si>
  <si>
    <t>V180DET</t>
  </si>
  <si>
    <t>V185</t>
  </si>
  <si>
    <t>V186</t>
  </si>
  <si>
    <t>V189</t>
  </si>
  <si>
    <t>V191</t>
  </si>
  <si>
    <t>V194</t>
  </si>
  <si>
    <t>V195</t>
  </si>
  <si>
    <t>V197</t>
  </si>
  <si>
    <t>V204</t>
  </si>
  <si>
    <t>V179</t>
  </si>
  <si>
    <t>V182</t>
  </si>
  <si>
    <t>V188</t>
  </si>
  <si>
    <t>V190</t>
  </si>
  <si>
    <t>V193</t>
  </si>
  <si>
    <t>V196</t>
  </si>
  <si>
    <t>V198</t>
  </si>
  <si>
    <t>V201</t>
  </si>
  <si>
    <t>V129</t>
  </si>
  <si>
    <t>V166</t>
  </si>
  <si>
    <t>V167</t>
  </si>
  <si>
    <t>V168</t>
  </si>
  <si>
    <t>V128</t>
  </si>
  <si>
    <t>V134</t>
  </si>
  <si>
    <t>V142</t>
  </si>
  <si>
    <t>V181</t>
  </si>
  <si>
    <t>V183</t>
  </si>
  <si>
    <t>V184</t>
  </si>
  <si>
    <t>V143</t>
  </si>
  <si>
    <t>V135</t>
  </si>
  <si>
    <t>V187</t>
  </si>
  <si>
    <t>V139</t>
  </si>
  <si>
    <t>V192</t>
  </si>
  <si>
    <t>V157</t>
  </si>
  <si>
    <t>V202</t>
  </si>
  <si>
    <t>V156</t>
  </si>
  <si>
    <t>V136</t>
  </si>
  <si>
    <t>V200</t>
  </si>
  <si>
    <t>V203</t>
  </si>
  <si>
    <t>P1 (75x75)</t>
  </si>
  <si>
    <t>P2 (75x75)</t>
  </si>
  <si>
    <t>P3 (36,5x75)</t>
  </si>
  <si>
    <t>P3A (36,5x75)</t>
  </si>
  <si>
    <t>P4 (75x75)</t>
  </si>
  <si>
    <t>P5 (75x75)</t>
  </si>
  <si>
    <t>P6 (36,5x75)</t>
  </si>
  <si>
    <t>P6A (36,5x75)</t>
  </si>
  <si>
    <t>P7 (75x75)</t>
  </si>
  <si>
    <t>P8 (75x75)</t>
  </si>
  <si>
    <t>P9 (36,5x75)</t>
  </si>
  <si>
    <t>P22 (75x75)</t>
  </si>
  <si>
    <t>P23 (75x75)</t>
  </si>
  <si>
    <t>P24 (36,5x75)</t>
  </si>
  <si>
    <t>P24A (36,5x75)</t>
  </si>
  <si>
    <t>P25 (75x75)</t>
  </si>
  <si>
    <t>P26 (75x75)</t>
  </si>
  <si>
    <t>P27 (36,5x75)</t>
  </si>
  <si>
    <t>P27A (36,5x75)</t>
  </si>
  <si>
    <t>P28 (75x75)</t>
  </si>
  <si>
    <t>P29 (75x75)</t>
  </si>
  <si>
    <t>P30 (36,5x75)</t>
  </si>
  <si>
    <t>P30A (36,5x75)</t>
  </si>
  <si>
    <t>P43 (75x75)</t>
  </si>
  <si>
    <t>P44 (75x75)</t>
  </si>
  <si>
    <t>P45 (36,5x75)</t>
  </si>
  <si>
    <t>P45A (36,5x75)</t>
  </si>
  <si>
    <t>P46 (75x75)</t>
  </si>
  <si>
    <t>P47 (75x75)</t>
  </si>
  <si>
    <t>P48 (36,5x75)</t>
  </si>
  <si>
    <t>P48A (36,5x75)</t>
  </si>
  <si>
    <t>P49 (75x75)</t>
  </si>
  <si>
    <t>P50 (75x75)</t>
  </si>
  <si>
    <t>P51 (36,5x75)</t>
  </si>
  <si>
    <t>P51A (36,5x75)</t>
  </si>
  <si>
    <t>P64 (75x75)</t>
  </si>
  <si>
    <t>P65 (75x75)</t>
  </si>
  <si>
    <t>P66 (36,5x75)</t>
  </si>
  <si>
    <t>P66A (36,5x75)</t>
  </si>
  <si>
    <t>P67 (75x75)</t>
  </si>
  <si>
    <t>P68 (75x75)</t>
  </si>
  <si>
    <t>P69 (36,5x75)</t>
  </si>
  <si>
    <t>P69A (36,5x75)</t>
  </si>
  <si>
    <t>P70 (75x75)</t>
  </si>
  <si>
    <t>P71 (75x75)</t>
  </si>
  <si>
    <t>P72 (36,5x75)</t>
  </si>
  <si>
    <t>P72A (36,5x75)</t>
  </si>
  <si>
    <t>PE9 (30X30)</t>
  </si>
  <si>
    <t>PE10 (30X30)</t>
  </si>
  <si>
    <t>PE11 (30X30)</t>
  </si>
  <si>
    <t>PE12 (30X30)</t>
  </si>
  <si>
    <t>V303</t>
  </si>
  <si>
    <t>V304</t>
  </si>
  <si>
    <t>V305</t>
  </si>
  <si>
    <t>V317</t>
  </si>
  <si>
    <t>V318</t>
  </si>
  <si>
    <t>V319</t>
  </si>
  <si>
    <t>V314</t>
  </si>
  <si>
    <t>V328</t>
  </si>
  <si>
    <t>VFA300</t>
  </si>
  <si>
    <t>VFA301</t>
  </si>
  <si>
    <t>VFA302</t>
  </si>
  <si>
    <t>VFA303</t>
  </si>
  <si>
    <t>VFA304</t>
  </si>
  <si>
    <t>VFA305</t>
  </si>
  <si>
    <t>VFA306</t>
  </si>
  <si>
    <t>VFA307</t>
  </si>
  <si>
    <t>VFA308</t>
  </si>
  <si>
    <t>VFA309</t>
  </si>
  <si>
    <t>VFA310</t>
  </si>
  <si>
    <t>VFA311</t>
  </si>
  <si>
    <t>V417</t>
  </si>
  <si>
    <t>V418</t>
  </si>
  <si>
    <t>V415</t>
  </si>
  <si>
    <t>VFA400</t>
  </si>
  <si>
    <t>VFA401</t>
  </si>
  <si>
    <t>VFA402</t>
  </si>
  <si>
    <t>VFA403</t>
  </si>
  <si>
    <t>V500</t>
  </si>
  <si>
    <t>V501</t>
  </si>
  <si>
    <t>V400</t>
  </si>
  <si>
    <t>V400A</t>
  </si>
  <si>
    <t>V511</t>
  </si>
  <si>
    <t>V508</t>
  </si>
  <si>
    <t>V509</t>
  </si>
  <si>
    <t>V410</t>
  </si>
  <si>
    <t>V410A</t>
  </si>
  <si>
    <t>V512</t>
  </si>
  <si>
    <t>V513</t>
  </si>
  <si>
    <t>V514</t>
  </si>
  <si>
    <t>V515</t>
  </si>
  <si>
    <t>V516</t>
  </si>
  <si>
    <t>V517</t>
  </si>
  <si>
    <t>V518</t>
  </si>
  <si>
    <t>V519</t>
  </si>
  <si>
    <t>V520</t>
  </si>
  <si>
    <t>V521</t>
  </si>
  <si>
    <t>V522</t>
  </si>
  <si>
    <t>V523</t>
  </si>
  <si>
    <t>V524</t>
  </si>
  <si>
    <t>V525</t>
  </si>
  <si>
    <t>V526</t>
  </si>
  <si>
    <t>V527</t>
  </si>
  <si>
    <t>V528</t>
  </si>
  <si>
    <t>V529</t>
  </si>
  <si>
    <t>V530</t>
  </si>
  <si>
    <t>V531</t>
  </si>
  <si>
    <t>V503</t>
  </si>
  <si>
    <t>V532</t>
  </si>
  <si>
    <t>V533</t>
  </si>
  <si>
    <t>V534</t>
  </si>
  <si>
    <t>V535</t>
  </si>
  <si>
    <t>V536</t>
  </si>
  <si>
    <t>V537</t>
  </si>
  <si>
    <t>V538</t>
  </si>
  <si>
    <t>V539</t>
  </si>
  <si>
    <t>V541</t>
  </si>
  <si>
    <t>V542</t>
  </si>
  <si>
    <t>V540</t>
  </si>
  <si>
    <t>V510</t>
  </si>
  <si>
    <t>SUBTOTAL</t>
  </si>
  <si>
    <t>A (m²)</t>
  </si>
  <si>
    <t>a (m²)</t>
  </si>
  <si>
    <t>ATEX 900 (32,5)</t>
  </si>
  <si>
    <t>forma ATEX 900 (32,5) =</t>
  </si>
  <si>
    <t>Un</t>
  </si>
  <si>
    <t>V105</t>
  </si>
  <si>
    <t>V106</t>
  </si>
  <si>
    <t>V107</t>
  </si>
  <si>
    <t>V111</t>
  </si>
  <si>
    <t>V112</t>
  </si>
  <si>
    <t>V113</t>
  </si>
  <si>
    <t>V123</t>
  </si>
  <si>
    <t>V124</t>
  </si>
  <si>
    <t>V125</t>
  </si>
  <si>
    <t>V151</t>
  </si>
  <si>
    <t>V152</t>
  </si>
  <si>
    <t>V153</t>
  </si>
  <si>
    <t>V162</t>
  </si>
  <si>
    <t>V163</t>
  </si>
  <si>
    <t>V164</t>
  </si>
  <si>
    <t>V169</t>
  </si>
  <si>
    <t>V170</t>
  </si>
  <si>
    <t>V171</t>
  </si>
  <si>
    <t>V212</t>
  </si>
  <si>
    <t>V215</t>
  </si>
  <si>
    <t>V216</t>
  </si>
  <si>
    <t>V223</t>
  </si>
  <si>
    <t>V228</t>
  </si>
  <si>
    <t>V229</t>
  </si>
  <si>
    <t>V234</t>
  </si>
  <si>
    <t>V207</t>
  </si>
  <si>
    <t>V210</t>
  </si>
  <si>
    <t>V214</t>
  </si>
  <si>
    <t>V218</t>
  </si>
  <si>
    <t>V222</t>
  </si>
  <si>
    <t>V226</t>
  </si>
  <si>
    <t>V226A</t>
  </si>
  <si>
    <t>V231</t>
  </si>
  <si>
    <t>V233</t>
  </si>
  <si>
    <t>V239</t>
  </si>
  <si>
    <t>V115</t>
  </si>
  <si>
    <t>V115A</t>
  </si>
  <si>
    <t>V115B</t>
  </si>
  <si>
    <t>V118</t>
  </si>
  <si>
    <t>V117</t>
  </si>
  <si>
    <t>V119</t>
  </si>
  <si>
    <t>V130</t>
  </si>
  <si>
    <t>V213</t>
  </si>
  <si>
    <t>V137</t>
  </si>
  <si>
    <t>V144</t>
  </si>
  <si>
    <t>V145</t>
  </si>
  <si>
    <t>V217</t>
  </si>
  <si>
    <t>V219</t>
  </si>
  <si>
    <t>V220</t>
  </si>
  <si>
    <t>V132</t>
  </si>
  <si>
    <t>V140</t>
  </si>
  <si>
    <t>V225</t>
  </si>
  <si>
    <t>V227</t>
  </si>
  <si>
    <t>V131</t>
  </si>
  <si>
    <t>V230</t>
  </si>
  <si>
    <t>V138</t>
  </si>
  <si>
    <t>V146</t>
  </si>
  <si>
    <t>V235</t>
  </si>
  <si>
    <t>V237</t>
  </si>
  <si>
    <t>V238</t>
  </si>
  <si>
    <t>V240</t>
  </si>
  <si>
    <t>V147</t>
  </si>
  <si>
    <t>V155</t>
  </si>
  <si>
    <t>V155A</t>
  </si>
  <si>
    <t>V158</t>
  </si>
  <si>
    <t>V236</t>
  </si>
  <si>
    <t>V206</t>
  </si>
  <si>
    <t>V175</t>
  </si>
  <si>
    <t>V208</t>
  </si>
  <si>
    <t>V173</t>
  </si>
  <si>
    <t>V174</t>
  </si>
  <si>
    <t>V174A</t>
  </si>
  <si>
    <t>V174B</t>
  </si>
  <si>
    <t>V174C</t>
  </si>
  <si>
    <t>P10 (75x75)</t>
  </si>
  <si>
    <t>P11 (75x75)</t>
  </si>
  <si>
    <t>P12 (36,5x75)</t>
  </si>
  <si>
    <t>P12A (36,5x75)</t>
  </si>
  <si>
    <t>P13 (75x75)</t>
  </si>
  <si>
    <t>P14 (75x75)</t>
  </si>
  <si>
    <t>P15 (36,5x75)</t>
  </si>
  <si>
    <t>P15A (36,5x75)</t>
  </si>
  <si>
    <t>P16 (75x75)</t>
  </si>
  <si>
    <t>P31 (75x75)</t>
  </si>
  <si>
    <t>P32 (75x75)</t>
  </si>
  <si>
    <t>P33 (36,5x75)</t>
  </si>
  <si>
    <t>P33A (36,5x75)</t>
  </si>
  <si>
    <t>P34 (75x75)</t>
  </si>
  <si>
    <t>P35 (75x75)</t>
  </si>
  <si>
    <t>P36 (36,5x75)</t>
  </si>
  <si>
    <t>P36A (36,5x75)</t>
  </si>
  <si>
    <t>P37 (75x75)</t>
  </si>
  <si>
    <t>P52 (75x75)</t>
  </si>
  <si>
    <t>P53 (75x75)</t>
  </si>
  <si>
    <t>P54 (36,5x75)</t>
  </si>
  <si>
    <t>P54A (36,5x75)</t>
  </si>
  <si>
    <t>P55 (75x75)</t>
  </si>
  <si>
    <t>P56 (75x75)</t>
  </si>
  <si>
    <t>P57 (36,5x75)</t>
  </si>
  <si>
    <t>P57A (36,5x75)</t>
  </si>
  <si>
    <t>P58 (75x75)</t>
  </si>
  <si>
    <t>P73 (75x75)</t>
  </si>
  <si>
    <t>P74 (75x75)</t>
  </si>
  <si>
    <t>P75 (36,5x75)</t>
  </si>
  <si>
    <t>P75A (36,5x75)</t>
  </si>
  <si>
    <t>P76 (75x75)</t>
  </si>
  <si>
    <t>P77 (75x75)</t>
  </si>
  <si>
    <t>P78 (36,5x75)</t>
  </si>
  <si>
    <t>P78A (36,5x75)</t>
  </si>
  <si>
    <t>P79 (75x75)</t>
  </si>
  <si>
    <t>V306</t>
  </si>
  <si>
    <t>V307</t>
  </si>
  <si>
    <t>V308</t>
  </si>
  <si>
    <t>V320</t>
  </si>
  <si>
    <t>V321</t>
  </si>
  <si>
    <t>V321A</t>
  </si>
  <si>
    <t>V322</t>
  </si>
  <si>
    <t>VFA312</t>
  </si>
  <si>
    <t>VFA313</t>
  </si>
  <si>
    <t>VFA314</t>
  </si>
  <si>
    <t>VFA315</t>
  </si>
  <si>
    <t>VFA316</t>
  </si>
  <si>
    <t>VFA317</t>
  </si>
  <si>
    <t>VFA317A</t>
  </si>
  <si>
    <t>VFA318</t>
  </si>
  <si>
    <t>VFA319</t>
  </si>
  <si>
    <t>VFA319A</t>
  </si>
  <si>
    <t>VFA319B</t>
  </si>
  <si>
    <t>VFA320</t>
  </si>
  <si>
    <t>VFA321</t>
  </si>
  <si>
    <t>VFA322</t>
  </si>
  <si>
    <t>VFA323</t>
  </si>
  <si>
    <t>V312</t>
  </si>
  <si>
    <t>V315</t>
  </si>
  <si>
    <t>V331</t>
  </si>
  <si>
    <t>VEB16</t>
  </si>
  <si>
    <t>VEB17</t>
  </si>
  <si>
    <t>VEB18</t>
  </si>
  <si>
    <t>VEB19</t>
  </si>
  <si>
    <t>VEB1</t>
  </si>
  <si>
    <t>VEB2</t>
  </si>
  <si>
    <t>VEB5</t>
  </si>
  <si>
    <t>VEB6</t>
  </si>
  <si>
    <t>VEB7</t>
  </si>
  <si>
    <t>VEB8</t>
  </si>
  <si>
    <t>VEB9</t>
  </si>
  <si>
    <t>VEB10</t>
  </si>
  <si>
    <t>VEB11</t>
  </si>
  <si>
    <t>VEB12</t>
  </si>
  <si>
    <t>VEB13</t>
  </si>
  <si>
    <t>VEB14</t>
  </si>
  <si>
    <t>VEB3</t>
  </si>
  <si>
    <t>VEB4</t>
  </si>
  <si>
    <t>V401</t>
  </si>
  <si>
    <t>V402</t>
  </si>
  <si>
    <t>V403</t>
  </si>
  <si>
    <t>V411</t>
  </si>
  <si>
    <t>V412</t>
  </si>
  <si>
    <t>V412A</t>
  </si>
  <si>
    <t>V413</t>
  </si>
  <si>
    <t>VFA404</t>
  </si>
  <si>
    <t>VFA405</t>
  </si>
  <si>
    <t>VFA406</t>
  </si>
  <si>
    <t>VFA407</t>
  </si>
  <si>
    <t>VFA408</t>
  </si>
  <si>
    <t>VFA409</t>
  </si>
  <si>
    <t>VFA409A</t>
  </si>
  <si>
    <t>VFA411</t>
  </si>
  <si>
    <t>VFA412</t>
  </si>
  <si>
    <t>VFA413</t>
  </si>
  <si>
    <t>VFA410</t>
  </si>
  <si>
    <t>VFA410A</t>
  </si>
  <si>
    <t>V419</t>
  </si>
  <si>
    <t>V543</t>
  </si>
  <si>
    <t>V544</t>
  </si>
  <si>
    <t>V545</t>
  </si>
  <si>
    <t>V546</t>
  </si>
  <si>
    <t>V547</t>
  </si>
  <si>
    <t>V548</t>
  </si>
  <si>
    <t>V549</t>
  </si>
  <si>
    <t>V550</t>
  </si>
  <si>
    <t>V551</t>
  </si>
  <si>
    <t>V552</t>
  </si>
  <si>
    <t>V553</t>
  </si>
  <si>
    <t>V554</t>
  </si>
  <si>
    <t>V555</t>
  </si>
  <si>
    <t>V556</t>
  </si>
  <si>
    <t>V557</t>
  </si>
  <si>
    <t>V558</t>
  </si>
  <si>
    <t>V559</t>
  </si>
  <si>
    <t>V560</t>
  </si>
  <si>
    <t>V561</t>
  </si>
  <si>
    <t>V562</t>
  </si>
  <si>
    <t>V563</t>
  </si>
  <si>
    <t>V564</t>
  </si>
  <si>
    <t>V565</t>
  </si>
  <si>
    <t>V566</t>
  </si>
  <si>
    <t>V567</t>
  </si>
  <si>
    <t>V568</t>
  </si>
  <si>
    <t>V504</t>
  </si>
  <si>
    <t>V506</t>
  </si>
  <si>
    <t>V101</t>
  </si>
  <si>
    <t>V241</t>
  </si>
  <si>
    <t>V242</t>
  </si>
  <si>
    <t>V243</t>
  </si>
  <si>
    <t>V243A</t>
  </si>
  <si>
    <t>V244</t>
  </si>
  <si>
    <t>V244A</t>
  </si>
  <si>
    <t>V246</t>
  </si>
  <si>
    <t>V114</t>
  </si>
  <si>
    <t>V126</t>
  </si>
  <si>
    <t>V126A</t>
  </si>
  <si>
    <t>V154</t>
  </si>
  <si>
    <t>V154A</t>
  </si>
  <si>
    <t>V165</t>
  </si>
  <si>
    <t>V165A</t>
  </si>
  <si>
    <t>V100</t>
  </si>
  <si>
    <t>V172</t>
  </si>
  <si>
    <t>V127</t>
  </si>
  <si>
    <t>V133</t>
  </si>
  <si>
    <t>V245</t>
  </si>
  <si>
    <t>V141</t>
  </si>
  <si>
    <t>P17 (75x75)</t>
  </si>
  <si>
    <t>P18 (36,5x75)</t>
  </si>
  <si>
    <t>P18A (60x75)</t>
  </si>
  <si>
    <t>P19 (75x75)</t>
  </si>
  <si>
    <t>P20 (75x75)</t>
  </si>
  <si>
    <t>P21 (75x75)</t>
  </si>
  <si>
    <t>P38 (75x75)</t>
  </si>
  <si>
    <t>P39 (36,5x75)</t>
  </si>
  <si>
    <t>P39A (36,5x75)</t>
  </si>
  <si>
    <t>P40 (75x75)</t>
  </si>
  <si>
    <t>P41 (75x75)</t>
  </si>
  <si>
    <t>P42 (75x75)</t>
  </si>
  <si>
    <t>P59 (75x75)</t>
  </si>
  <si>
    <t>P60 (36,5x75)</t>
  </si>
  <si>
    <t>P60A (36,5x75)</t>
  </si>
  <si>
    <t>P61 (75x75)</t>
  </si>
  <si>
    <t>P62 (75x75)</t>
  </si>
  <si>
    <t>P63 (75x75)</t>
  </si>
  <si>
    <t>P80 (75x75)</t>
  </si>
  <si>
    <t>P81 (36,5x75)</t>
  </si>
  <si>
    <t>P81A (36,5x75)</t>
  </si>
  <si>
    <t>P82 (75x75)</t>
  </si>
  <si>
    <t>P83 (75x75)</t>
  </si>
  <si>
    <t>P84 (75x75)</t>
  </si>
  <si>
    <t>V326</t>
  </si>
  <si>
    <t>V333</t>
  </si>
  <si>
    <t>V323</t>
  </si>
  <si>
    <t>V309</t>
  </si>
  <si>
    <t>VFA324</t>
  </si>
  <si>
    <t>VFA325</t>
  </si>
  <si>
    <t>V302</t>
  </si>
  <si>
    <t>V301</t>
  </si>
  <si>
    <t>V300</t>
  </si>
  <si>
    <t>V310</t>
  </si>
  <si>
    <t>V310A</t>
  </si>
  <si>
    <t>V311</t>
  </si>
  <si>
    <t>V313</t>
  </si>
  <si>
    <t>V324</t>
  </si>
  <si>
    <t>V324A</t>
  </si>
  <si>
    <t>V334</t>
  </si>
  <si>
    <t>V335</t>
  </si>
  <si>
    <t>V336</t>
  </si>
  <si>
    <t>V316</t>
  </si>
  <si>
    <t>V337</t>
  </si>
  <si>
    <t>V338</t>
  </si>
  <si>
    <t>V339</t>
  </si>
  <si>
    <t>V327</t>
  </si>
  <si>
    <t>V572</t>
  </si>
  <si>
    <t>V573</t>
  </si>
  <si>
    <t>V574</t>
  </si>
  <si>
    <t>V575</t>
  </si>
  <si>
    <t>V576</t>
  </si>
  <si>
    <t>V577</t>
  </si>
  <si>
    <t>V578</t>
  </si>
  <si>
    <t>V579</t>
  </si>
  <si>
    <t>V580</t>
  </si>
  <si>
    <t>V581</t>
  </si>
  <si>
    <t>V582</t>
  </si>
  <si>
    <t>V583</t>
  </si>
  <si>
    <t>V584</t>
  </si>
  <si>
    <t>V585</t>
  </si>
  <si>
    <t>V586</t>
  </si>
  <si>
    <t>V587</t>
  </si>
  <si>
    <t>VFA414</t>
  </si>
  <si>
    <t>V505</t>
  </si>
  <si>
    <t>V502</t>
  </si>
  <si>
    <t>V507</t>
  </si>
  <si>
    <t>VFA415</t>
  </si>
  <si>
    <t>VFA416</t>
  </si>
  <si>
    <t>VFA417</t>
  </si>
  <si>
    <t>VFA418</t>
  </si>
  <si>
    <t>VFA419</t>
  </si>
  <si>
    <t>V405</t>
  </si>
  <si>
    <t>V407</t>
  </si>
  <si>
    <t>V409</t>
  </si>
  <si>
    <t>V421</t>
  </si>
  <si>
    <t>V404</t>
  </si>
  <si>
    <t>V414</t>
  </si>
  <si>
    <t>V569</t>
  </si>
  <si>
    <t>V570</t>
  </si>
  <si>
    <t>V571</t>
  </si>
  <si>
    <t>V420</t>
  </si>
  <si>
    <t>Este quantitativo se refere à toda extensão do TPS</t>
  </si>
  <si>
    <t xml:space="preserve"> TERMINAL DE PASSAGEIROS - PAREDES</t>
  </si>
  <si>
    <t>Formas (Fornecimento e Execução) - Itens 3.3, 3.8 e 3.11 da ET: FL.01/302.92/04538</t>
  </si>
  <si>
    <t>Armadura (Fornecimento e Execução) - Itens 3.2 e 3.9 da ET: FL.01/302.92/04538</t>
  </si>
  <si>
    <t>Concreto (Fornecimento e Execução) - Item 3.10 da ET: FL.01/302.92/04538</t>
  </si>
  <si>
    <t>Juntas de Dilatação (Fornecimento e Execução) - Item 3.12 da ET: FL.01/302.92/04538</t>
  </si>
  <si>
    <t>Concreto Magro (Fornecimento e Execução) - Item 3.10 da ET: FL.01/302.92/04538</t>
  </si>
  <si>
    <t>FL.01/302.76/04537 - Memorial de Cálculo e Dimensionamento - Concreto.</t>
  </si>
  <si>
    <t>FL.01/302.92/04538 - Especificação Técnica - Concreto</t>
  </si>
  <si>
    <t>TERMINAL DE PASSAGEIROS, EDIFICIO</t>
  </si>
  <si>
    <t>DE APOIO E CENTRAL DE UTILIDADES</t>
  </si>
  <si>
    <t>1210/00-IF-PQ-3001</t>
  </si>
  <si>
    <t>4.3. TERMINAL DE PASSAGEIROS</t>
  </si>
  <si>
    <t>ANEXO C</t>
  </si>
  <si>
    <t>VER ANEXO C</t>
  </si>
  <si>
    <t>TOTAL - TRECHO 1</t>
  </si>
  <si>
    <t>TOTAL - TRECHO 2</t>
  </si>
  <si>
    <t>TOTAL - TRECHO 3</t>
  </si>
  <si>
    <t>TOTAL- PAREDES</t>
  </si>
  <si>
    <t>RESUMO - TERMINAL DE PASSAGEIROS - SUPERESTRUTURA</t>
  </si>
  <si>
    <t>Junta de Dilatação =</t>
  </si>
  <si>
    <t>Junta de Retração =</t>
  </si>
  <si>
    <t>RESUMO - ARMAÇÃO - TERMINAL DE PASSAGEIROS</t>
  </si>
  <si>
    <t>Armação - Pilares</t>
  </si>
  <si>
    <t>Disponível no desenho FL.06/302.13/04633</t>
  </si>
  <si>
    <t>Armação - Vigas nível +7,90</t>
  </si>
  <si>
    <t>Disponível no desenho FL.06/302.13/04634</t>
  </si>
  <si>
    <t>Armação - Nervuras nível +7,90</t>
  </si>
  <si>
    <t/>
  </si>
  <si>
    <t>Armação - Vigas 1º Pavimento</t>
  </si>
  <si>
    <t>4.1. EDIFICAÇÕES DE APOIO</t>
  </si>
  <si>
    <t xml:space="preserve"> </t>
  </si>
  <si>
    <t>VIGAS BALDRAME - 25x265 (MUROS)</t>
  </si>
  <si>
    <t>A=</t>
  </si>
  <si>
    <t>B=</t>
  </si>
  <si>
    <t>C=</t>
  </si>
  <si>
    <t>D=</t>
  </si>
  <si>
    <t>E=</t>
  </si>
  <si>
    <t>F=</t>
  </si>
  <si>
    <t>G=</t>
  </si>
  <si>
    <t>Q=</t>
  </si>
  <si>
    <t>ud</t>
  </si>
  <si>
    <t>H=</t>
  </si>
  <si>
    <t>Acréscimo  p/ escavação:</t>
  </si>
  <si>
    <t>Acréscimo  p/ regularização:</t>
  </si>
  <si>
    <t>Escavação de Valas</t>
  </si>
  <si>
    <t>Escavação Mecanizada =</t>
  </si>
  <si>
    <r>
      <t>m</t>
    </r>
    <r>
      <rPr>
        <vertAlign val="superscript"/>
        <sz val="12"/>
        <rFont val="Arial"/>
        <family val="2"/>
      </rPr>
      <t>3</t>
    </r>
  </si>
  <si>
    <t>Reaterro Compactado=</t>
  </si>
  <si>
    <t>Regularização/Apiloa. =</t>
  </si>
  <si>
    <t>Vigas da Fundação</t>
  </si>
  <si>
    <t>Lastro =</t>
  </si>
  <si>
    <t>Formas =</t>
  </si>
  <si>
    <t>Concreto =</t>
  </si>
  <si>
    <t>Desenho Esquemático</t>
  </si>
  <si>
    <t>VIGAS BALDRAME  - 20x255 (MUROS) - trecho VB2</t>
  </si>
  <si>
    <t>VIGAS BALDRAME  - 20x263,07 - VB21</t>
  </si>
  <si>
    <t>VIGAS BALDRAME - 20x60</t>
  </si>
  <si>
    <t>VIGAS BALDRAME - 20x40</t>
  </si>
  <si>
    <t>VIGAS BALDRAME - 20x50</t>
  </si>
  <si>
    <t>VIGAS BALDRAME - 20x70</t>
  </si>
  <si>
    <t>VIGAS BALDRAME - 25x70</t>
  </si>
  <si>
    <t>VIGAS BALDRAME - 25x80</t>
  </si>
  <si>
    <t>BL.1 (PARA PILARES P1, P22, P29, P31, P32, P34 e P35)</t>
  </si>
  <si>
    <t>A1=</t>
  </si>
  <si>
    <t>Área &gt;=</t>
  </si>
  <si>
    <r>
      <t>m</t>
    </r>
    <r>
      <rPr>
        <vertAlign val="superscript"/>
        <sz val="12"/>
        <color indexed="9"/>
        <rFont val="Arial"/>
        <family val="2"/>
      </rPr>
      <t>2</t>
    </r>
  </si>
  <si>
    <t>B1=</t>
  </si>
  <si>
    <t>A2=</t>
  </si>
  <si>
    <t>B2=</t>
  </si>
  <si>
    <t>Área &lt;=</t>
  </si>
  <si>
    <t>Ângulo de escavação:</t>
  </si>
  <si>
    <t>Â=</t>
  </si>
  <si>
    <t>°</t>
  </si>
  <si>
    <t>Estacas tipo Hélice Contínua de Diâmetro 350mm</t>
  </si>
  <si>
    <t>Num. de Estac. por Bl.</t>
  </si>
  <si>
    <t>un.</t>
  </si>
  <si>
    <t>Quantidade =</t>
  </si>
  <si>
    <t>Diâmetro =</t>
  </si>
  <si>
    <t>mm</t>
  </si>
  <si>
    <t>Comp. Unitário =</t>
  </si>
  <si>
    <t>Comp. Total =</t>
  </si>
  <si>
    <t>Estacas tipo Hélice Contínua de Diâmetro 400mm</t>
  </si>
  <si>
    <t>Blocos de Fundação</t>
  </si>
  <si>
    <t>BL.1 (PARA PILARES P21, P30 e P33)</t>
  </si>
  <si>
    <t>Estacas tipo Hélice Contínua</t>
  </si>
  <si>
    <t>BL.1 (PARA PILARES P23 a P28)</t>
  </si>
  <si>
    <t>BL.2 (PARA PILARES P6, P11, P12, P15, P16 e P19)</t>
  </si>
  <si>
    <t>BL.2 (PARA PILARES P13, P14, P17 e P18)</t>
  </si>
  <si>
    <t>BL.2 (PARA PILARES P20 e P37)</t>
  </si>
  <si>
    <t>BL.2 (PARA PILAR P39)</t>
  </si>
  <si>
    <t>BL.2 ( PARA PILARES P2 e P4 )</t>
  </si>
  <si>
    <t>ÁREA=</t>
  </si>
  <si>
    <t>BL.2 ( PARA PILARES P8 e P10 )</t>
  </si>
  <si>
    <t>BL.2 ( PARA PILAR P3 )</t>
  </si>
  <si>
    <t>BL.2 ( PARA PILAR P9 )</t>
  </si>
  <si>
    <t>BL.3 ( PARA PILARES P5 e P38)</t>
  </si>
  <si>
    <t>BL.3 ( PARA PILAR P7  e  P8)</t>
  </si>
  <si>
    <t>BL.4</t>
  </si>
  <si>
    <t>RAMPAS E ESCADAS DE ACESSO</t>
  </si>
  <si>
    <t>VIGAS DE TRAVAMENTO - 20x30</t>
  </si>
  <si>
    <t>VIGAS DE TRAVAMENTO - 20x40</t>
  </si>
  <si>
    <t>VIGAS DE TRAVAMENTO - 20x50</t>
  </si>
  <si>
    <t>VIGAS DE TRAVAMENTO - 20x110</t>
  </si>
  <si>
    <t>BL.5 COM PILAR</t>
  </si>
  <si>
    <t>BL.5 SEM PILAR</t>
  </si>
  <si>
    <t>APOIO PARA ESCADA METÁLICA (PRÓXIMO AO EIXO E7)</t>
  </si>
  <si>
    <t>VB31 - 27x50</t>
  </si>
  <si>
    <t>VB31 - 27x148</t>
  </si>
  <si>
    <t>VTR1 - 20x50</t>
  </si>
  <si>
    <t xml:space="preserve">BL.2 </t>
  </si>
  <si>
    <t xml:space="preserve">BL.3 </t>
  </si>
  <si>
    <t>RESUMO - INFRAESTRUTURA</t>
  </si>
  <si>
    <t>Reaterro Compactado =</t>
  </si>
  <si>
    <t>Regularização e Apiloamento =</t>
  </si>
  <si>
    <t>Área de Formas =</t>
  </si>
  <si>
    <t>Estacas Moldadas no Local</t>
  </si>
  <si>
    <t>Comp (m)</t>
  </si>
  <si>
    <r>
      <t xml:space="preserve">Diâmetro da Estaca  </t>
    </r>
    <r>
      <rPr>
        <sz val="9"/>
        <rFont val="Symbol"/>
        <family val="1"/>
        <charset val="2"/>
      </rPr>
      <t>f25</t>
    </r>
    <r>
      <rPr>
        <sz val="9"/>
        <rFont val="Arial"/>
        <family val="2"/>
      </rPr>
      <t>cm</t>
    </r>
  </si>
  <si>
    <r>
      <t xml:space="preserve">Diâmetro da Estaca  </t>
    </r>
    <r>
      <rPr>
        <sz val="9"/>
        <rFont val="Symbol"/>
        <family val="1"/>
        <charset val="2"/>
      </rPr>
      <t>f35</t>
    </r>
    <r>
      <rPr>
        <sz val="9"/>
        <rFont val="Arial"/>
        <family val="2"/>
      </rPr>
      <t>cm</t>
    </r>
  </si>
  <si>
    <r>
      <t xml:space="preserve">Diâmetro da Estaca  </t>
    </r>
    <r>
      <rPr>
        <sz val="9"/>
        <rFont val="Symbol"/>
        <family val="1"/>
        <charset val="2"/>
      </rPr>
      <t>f40</t>
    </r>
    <r>
      <rPr>
        <sz val="9"/>
        <rFont val="Arial"/>
        <family val="2"/>
      </rPr>
      <t>cm</t>
    </r>
  </si>
  <si>
    <t>Armação - Estacas</t>
  </si>
  <si>
    <t>Disponível no desenho FL.17/304.13/04693</t>
  </si>
  <si>
    <t>Armação - Vigas Baldrames</t>
  </si>
  <si>
    <t>Disponível nos desenhos FL.17/304.13/04702</t>
  </si>
  <si>
    <t>Disponível nos desenhos FL.17/304.13/04703</t>
  </si>
  <si>
    <t>Disponível nos desenhos FL.17/304.13/04704</t>
  </si>
  <si>
    <t>Disponível nos desenhos FL.17/304.13/04705</t>
  </si>
  <si>
    <t>Disponível no desenho FL.17/304.13/04717</t>
  </si>
  <si>
    <t>BASE B1</t>
  </si>
  <si>
    <t>X=</t>
  </si>
  <si>
    <r>
      <t>m</t>
    </r>
    <r>
      <rPr>
        <vertAlign val="superscript"/>
        <sz val="12"/>
        <color indexed="10"/>
        <rFont val="Arial"/>
        <family val="2"/>
      </rPr>
      <t>2</t>
    </r>
  </si>
  <si>
    <t>base</t>
  </si>
  <si>
    <t>BASE B2</t>
  </si>
  <si>
    <t>B3</t>
  </si>
  <si>
    <t>m2</t>
  </si>
  <si>
    <r>
      <t>m</t>
    </r>
    <r>
      <rPr>
        <vertAlign val="superscript"/>
        <sz val="12"/>
        <rFont val="Arial"/>
        <family val="2"/>
      </rPr>
      <t>2</t>
    </r>
  </si>
  <si>
    <r>
      <t xml:space="preserve">Diâmetro da Estaca  </t>
    </r>
    <r>
      <rPr>
        <sz val="9"/>
        <rFont val="Symbol"/>
        <family val="1"/>
        <charset val="2"/>
      </rPr>
      <t>f30</t>
    </r>
    <r>
      <rPr>
        <sz val="9"/>
        <rFont val="Arial"/>
        <family val="2"/>
      </rPr>
      <t>cm</t>
    </r>
  </si>
  <si>
    <t>Disponível no desenho FL.27/304.13/04721</t>
  </si>
  <si>
    <t>Armação - Bases</t>
  </si>
  <si>
    <t>Disponível no desenho FL.27/304.13/04722</t>
  </si>
  <si>
    <t xml:space="preserve">CA-50 = </t>
  </si>
  <si>
    <t xml:space="preserve">VB1 - 20x70 </t>
  </si>
  <si>
    <t xml:space="preserve">VB2 - 20x70 </t>
  </si>
  <si>
    <t xml:space="preserve">VB3 - 20x70 </t>
  </si>
  <si>
    <t xml:space="preserve">VB4 - 20x70 </t>
  </si>
  <si>
    <t>BL.1</t>
  </si>
  <si>
    <t>BL.2</t>
  </si>
  <si>
    <t>Estaca Tipo Hélice Contínua ∅25cm</t>
  </si>
  <si>
    <t>Disponível no desenho FL.26/304.13/04734</t>
  </si>
  <si>
    <t>VB1 a VB9/VB20 - 20x80</t>
  </si>
  <si>
    <t>VB12 a VB17 - 20x60</t>
  </si>
  <si>
    <t>VB10/VB11/VB18/VB19 - 20x40</t>
  </si>
  <si>
    <t>BL.3</t>
  </si>
  <si>
    <t>Disponível no desenho FL.26/304.13/04738</t>
  </si>
  <si>
    <t>Armação - Blocos, Pilares e Baldrames</t>
  </si>
  <si>
    <t>Disponível no desenho FL.26/304.13/04741</t>
  </si>
  <si>
    <t>VIGA BALDRAME - 25x80</t>
  </si>
  <si>
    <t>VIGA BALDRAME - 20x45</t>
  </si>
  <si>
    <t>VIGA BALDRAME - 25x45</t>
  </si>
  <si>
    <t>BL.1 ( PARA PILARES P5 a P8)</t>
  </si>
  <si>
    <t>CX.1</t>
  </si>
  <si>
    <t>Altura média</t>
  </si>
  <si>
    <t>Desenho esquemático</t>
  </si>
  <si>
    <r>
      <t>m</t>
    </r>
    <r>
      <rPr>
        <vertAlign val="superscript"/>
        <sz val="11"/>
        <rFont val="Arial"/>
        <family val="2"/>
      </rPr>
      <t>3</t>
    </r>
  </si>
  <si>
    <t>Base elevador:</t>
  </si>
  <si>
    <t>CX.2</t>
  </si>
  <si>
    <t>CANALETAS EIXO Y</t>
  </si>
  <si>
    <t>Canaleta</t>
  </si>
  <si>
    <t>CANALETAS EIXO W</t>
  </si>
  <si>
    <t>BASE B3</t>
  </si>
  <si>
    <t>BASE B4</t>
  </si>
  <si>
    <t>BASE B5</t>
  </si>
  <si>
    <t>BASE B6</t>
  </si>
  <si>
    <t>BASE B7</t>
  </si>
  <si>
    <t>Disponível no desenho FL.26/304.13/04743</t>
  </si>
  <si>
    <t>Armação das Bases, Canaletas e Caixas</t>
  </si>
  <si>
    <t>Disponível no desenho FL.26/304.13/04750</t>
  </si>
  <si>
    <t>VIGA BALDRAME (VB1 a VB6) - 20x45</t>
  </si>
  <si>
    <t>Disponível no desenho FL.26/302.13/04751</t>
  </si>
  <si>
    <t>VB1 - 20x20</t>
  </si>
  <si>
    <t>VB2 - 25x60</t>
  </si>
  <si>
    <t>VB3 - 25x50</t>
  </si>
  <si>
    <t>VB3 - 25x108</t>
  </si>
  <si>
    <t>VB4 - 20x30</t>
  </si>
  <si>
    <t>PAR.1 = PAR.2 (TRECHO ENTERRADO)</t>
  </si>
  <si>
    <t>PAR.3 = PAR.4 (TRECHO ENTERRADO)</t>
  </si>
  <si>
    <t>Disponível no desenho FL.26/302.13/04753</t>
  </si>
  <si>
    <t>Total</t>
  </si>
  <si>
    <t>VIGA BALDRAME (VB1 a VB4) - 20x70</t>
  </si>
  <si>
    <t>Disponível no desenho FL.26/304.13/04756</t>
  </si>
  <si>
    <t>VB1 - 30x110</t>
  </si>
  <si>
    <t>PAR.1 e PAR.2 (trecho enterrado)</t>
  </si>
  <si>
    <t>PAR.3, PAR.4 e PAR.5 (trecho enterrado)</t>
  </si>
  <si>
    <t>BL.5</t>
  </si>
  <si>
    <t>BL.6</t>
  </si>
  <si>
    <t>BL.7</t>
  </si>
  <si>
    <t>BL.8</t>
  </si>
  <si>
    <t>Disponível no desenho FL.26/304.13/04759</t>
  </si>
  <si>
    <t>Armação - Blocos</t>
  </si>
  <si>
    <t>Disponível no desenho FL.26/304.13/04761</t>
  </si>
  <si>
    <t>Disponível no desenho FL.26/304.13/04762</t>
  </si>
  <si>
    <t>VB 40x50</t>
  </si>
  <si>
    <t>VE1 - 20x50</t>
  </si>
  <si>
    <t>VE1 - 20x108</t>
  </si>
  <si>
    <t>BL.1 ( PARA PILARES P1, P2, P5 e P6 )</t>
  </si>
  <si>
    <t>BL.2 ( PARA PILARES P7, P8, P11 e P12 )</t>
  </si>
  <si>
    <t>Disponível no desenho FL.26/304.13/04765</t>
  </si>
  <si>
    <t>Armação dos Blocos, Pilares e Vigas</t>
  </si>
  <si>
    <t>Disponível no desenho FL.26/304.13/04769</t>
  </si>
  <si>
    <t>VIGAS BALDRAME - 20x30</t>
  </si>
  <si>
    <t>VIGAS BALDRAME - 20x80</t>
  </si>
  <si>
    <t>VIGAS BALDRAME - 20x90</t>
  </si>
  <si>
    <t>VIGAS BALDRAME - 20x100</t>
  </si>
  <si>
    <t>VIGAS BALDRAME - 20x108</t>
  </si>
  <si>
    <t>VIGAS BALDRAME - 20x110</t>
  </si>
  <si>
    <t>VIGAS BALDRAME - 20x115</t>
  </si>
  <si>
    <t>VIGAS BALDRAME - 20x120</t>
  </si>
  <si>
    <t>VIGAS BALDRAME - 20x140</t>
  </si>
  <si>
    <t>VIGAS BALDRAME - 20x148</t>
  </si>
  <si>
    <t>VIGAS BALDRAME - 20x180</t>
  </si>
  <si>
    <t>VIGAS BALDRAME - 20x200</t>
  </si>
  <si>
    <t>VIGAS BALDRAME - 20x210</t>
  </si>
  <si>
    <t>VIGAS BALDRAME - 25x30</t>
  </si>
  <si>
    <t>VIGAS BALDRAME - 25x40</t>
  </si>
  <si>
    <t>VIGAS BALDRAME - 25x50</t>
  </si>
  <si>
    <t>VIGAS BALDRAME - 25x100</t>
  </si>
  <si>
    <t>VIGAS BALDRAME - 25x180</t>
  </si>
  <si>
    <t>VIGAS BALDRAME - 30x60</t>
  </si>
  <si>
    <t>VIGAS BALDRAME - 30x80</t>
  </si>
  <si>
    <t>VIGAS BALDRAME - 30x100</t>
  </si>
  <si>
    <t>VIGAS BALDRAME - 30x180</t>
  </si>
  <si>
    <t>VIGAS BALDRAME - 47,5x60</t>
  </si>
  <si>
    <t>BL.1 - TB = +4,40</t>
  </si>
  <si>
    <t>BL.1 - TB = +4,40 (PARA PILARES 30x30)</t>
  </si>
  <si>
    <t>BL.1 - TB = +4,40 (PARA PILARES 25x20)</t>
  </si>
  <si>
    <t>BL.1 - TB = +3,65</t>
  </si>
  <si>
    <t>BL.1 - TB = +3,55</t>
  </si>
  <si>
    <t>tg60º =</t>
  </si>
  <si>
    <t>Htotal=</t>
  </si>
  <si>
    <t>Acréscimo Topo =</t>
  </si>
  <si>
    <t>Largura Base // A=</t>
  </si>
  <si>
    <t>L. Base // B=</t>
  </si>
  <si>
    <t>Largura Topo // A=</t>
  </si>
  <si>
    <t>L. Topo // B=</t>
  </si>
  <si>
    <t>Largura Média // A =</t>
  </si>
  <si>
    <t>L. Média // B =</t>
  </si>
  <si>
    <t>Volume escavação =</t>
  </si>
  <si>
    <r>
      <t>m</t>
    </r>
    <r>
      <rPr>
        <vertAlign val="superscript"/>
        <sz val="11"/>
        <color indexed="9"/>
        <rFont val="Arial"/>
        <family val="2"/>
      </rPr>
      <t>2</t>
    </r>
  </si>
  <si>
    <t xml:space="preserve">              Desenho Esquemático</t>
  </si>
  <si>
    <t>Armadura =</t>
  </si>
  <si>
    <t>BL.4 (PARA PILAR P85)</t>
  </si>
  <si>
    <t>BL.6 - TB = +4,40</t>
  </si>
  <si>
    <t>BL.6 - TB = +3,65</t>
  </si>
  <si>
    <t>BL.8 - TB = +4,40</t>
  </si>
  <si>
    <t>BL.8 - TB = +3,65</t>
  </si>
  <si>
    <t>BL.9</t>
  </si>
  <si>
    <t>BL.10</t>
  </si>
  <si>
    <t>BL.11</t>
  </si>
  <si>
    <t>BL.12</t>
  </si>
  <si>
    <t>BL.13</t>
  </si>
  <si>
    <t>BL.14</t>
  </si>
  <si>
    <t>BL.14 (PARA PILAR P18 / P18A)</t>
  </si>
  <si>
    <t>CAIXA DA ESCADA ROLANTE ER.01/ER.02</t>
  </si>
  <si>
    <t>CAIXA DA ESCADA ROLANTE ER.03</t>
  </si>
  <si>
    <t>CAIXA DA ESCADA ROLANTE ER.04/ER.05</t>
  </si>
  <si>
    <t>CAIXA DA ESCADA ROLANTE ER.06</t>
  </si>
  <si>
    <t>CAIXA DA ESCADA ROLANTE ER.07 e ER.08</t>
  </si>
  <si>
    <t>CAIXA DO ELEVADOR  E.03</t>
  </si>
  <si>
    <t>CAIXA DO ELEVADOR  04/05/06</t>
  </si>
  <si>
    <t>LAJES / ABAS</t>
  </si>
  <si>
    <t>LAJE / ABA</t>
  </si>
  <si>
    <t>Formas(m²)</t>
  </si>
  <si>
    <t>L10</t>
  </si>
  <si>
    <t>LB1 e LB2</t>
  </si>
  <si>
    <t>LB3</t>
  </si>
  <si>
    <t>LB4</t>
  </si>
  <si>
    <t>LB5</t>
  </si>
  <si>
    <t>LB6</t>
  </si>
  <si>
    <t>Reaterro(m³)</t>
  </si>
  <si>
    <t>Escav. Mec.(m3)</t>
  </si>
  <si>
    <t>PC=+4,95</t>
  </si>
  <si>
    <t>PC=+4,70</t>
  </si>
  <si>
    <t>PC=+4,77</t>
  </si>
  <si>
    <t>PC=+5,58</t>
  </si>
  <si>
    <t>PC=+5,90</t>
  </si>
  <si>
    <t>Disponível no desenho FL.06/304.13/05375</t>
  </si>
  <si>
    <t>Disponível no desenho FL.06/304.13/04621</t>
  </si>
  <si>
    <t>Disponível no desenho FL.06/304.13/04622</t>
  </si>
  <si>
    <t>Disponível no desenho FL.06/304.13/04623</t>
  </si>
  <si>
    <t>Disponível no desenho FL.06/304.13/04624</t>
  </si>
  <si>
    <t>Armação - LE.1 À LE.6, LEL.1 À LEL.3, V.EL.01 E V.EL.02</t>
  </si>
  <si>
    <t>Disponível no desenho FL.06/304.13/04625</t>
  </si>
  <si>
    <t>Disponível no desenho FL.06/304.13/05372</t>
  </si>
  <si>
    <t>Disponível no desenho FL.06/304.13/05373</t>
  </si>
  <si>
    <t>Disponível no desenho FL.06/304.13/05374</t>
  </si>
  <si>
    <t>04.02.240.01</t>
  </si>
  <si>
    <t>04.02.240</t>
  </si>
  <si>
    <t>04.02.230.02</t>
  </si>
  <si>
    <t>04.02.230.01</t>
  </si>
  <si>
    <t>04.02.230</t>
  </si>
  <si>
    <t>Forma plana comum p/ fundações</t>
  </si>
  <si>
    <t>04.02.220.01</t>
  </si>
  <si>
    <t>04.02.220</t>
  </si>
  <si>
    <t>Fornecimento, transporte, lançamento, adensamento, acabamento e cura - Lastro de Concreto  (fck=10MPa)</t>
  </si>
  <si>
    <t>04.02.210.01</t>
  </si>
  <si>
    <t>04.02.210</t>
  </si>
  <si>
    <t>04.02.170.02</t>
  </si>
  <si>
    <t>04.02.170.01</t>
  </si>
  <si>
    <t>04.02.170</t>
  </si>
  <si>
    <t>un</t>
  </si>
  <si>
    <t>Teste de Integridade para Estaca Hélice Contínua (PIT)</t>
  </si>
  <si>
    <t>04.02.150.04</t>
  </si>
  <si>
    <t>04.02.150</t>
  </si>
  <si>
    <t>04.02.130.06</t>
  </si>
  <si>
    <t>04.02.130.05</t>
  </si>
  <si>
    <t>04.02.130</t>
  </si>
  <si>
    <t>04.02.120.06</t>
  </si>
  <si>
    <t>Preparo de Cabeças de Estacas com diâmetro de 600 mm</t>
  </si>
  <si>
    <t>04.02.120.05</t>
  </si>
  <si>
    <t>04.02.120</t>
  </si>
  <si>
    <t>04.02.100</t>
  </si>
  <si>
    <t>FUNDAÇÕES PROFUNDAS</t>
  </si>
  <si>
    <t>04.02.000</t>
  </si>
  <si>
    <t>Reaterro Compactado</t>
  </si>
  <si>
    <t>04.01.100.04</t>
  </si>
  <si>
    <t>Regularização e Apiloamento de fundo de vala</t>
  </si>
  <si>
    <t>04.01.100.03</t>
  </si>
  <si>
    <t>Escavação Mecanizada</t>
  </si>
  <si>
    <t>04.01.100.02</t>
  </si>
  <si>
    <t>04.01.100</t>
  </si>
  <si>
    <t>FUNDAÇÕES</t>
  </si>
  <si>
    <t>04.01.000</t>
  </si>
  <si>
    <t>04.02.170.04</t>
  </si>
  <si>
    <t>Prova de Carga Estática p/ Estaca Hélice Contínua c/ diâmetro de 400 mm</t>
  </si>
  <si>
    <t>Prova de Carga Estática p/ Estaca Hélice Contínua c/ diâmetro de 350 mm</t>
  </si>
  <si>
    <t>Prova de Carga Estática p/ Estaca Hélice Contínua c/ diâmetro de 300 mm</t>
  </si>
  <si>
    <t>Prova de Carga Estática p/ Estaca Hélice Contínua c/ diâmetro de 250 mm</t>
  </si>
  <si>
    <t>Preparo de Cabeças de Estacas com diâmetro de 400 mm</t>
  </si>
  <si>
    <t>Preparo de Cabeças de Estacas com diâmetro de 350 mm</t>
  </si>
  <si>
    <t>Preparo de Cabeças de Estacas com diâmetro de 300 mm</t>
  </si>
  <si>
    <t>Preparo de Cabeças de Estacas com diâmetro de 250 mm</t>
  </si>
  <si>
    <t>EDIFICAÇÕES DE APOIO</t>
  </si>
  <si>
    <t>4. MEMORIAL DE QUANTIFICAÇÃO - INFRAESTRUTURA</t>
  </si>
  <si>
    <t>5. MEMORIAL DE QUANTIFICAÇÃO - SUPERESTRUTURA</t>
  </si>
  <si>
    <t>6.  PLANILHA DE SERVIÇOS DE MATERIAIS E QUANTIDADES - INFRAESTRUTURA</t>
  </si>
  <si>
    <t>7.  PLANILHA DE SERVIÇOS DE MATERIAIS E QUANTIDADES - SUPERESTRUTURA</t>
  </si>
  <si>
    <t>ESTRUTURA DE CONCRETO</t>
  </si>
  <si>
    <t>Esc. Mec.(m3)</t>
  </si>
  <si>
    <t>O presente documento tem por objetivo apresentar à INFRAERO - Empresa Brasileira de Infra-Estrutura Aeroportuária, a Planilha de Serviços de Materiais e Quantidades - PSQ e Memorial de Quantificação, escopo da contratação dos Serviços Técnicos Profissionais Especializados para a Elaboração dos Projetos do Aeroporto Internacional de Florianópolis</t>
  </si>
  <si>
    <t>PROJETO EXECUTIVO</t>
  </si>
  <si>
    <t xml:space="preserve">CONSTRUÇÃO </t>
  </si>
  <si>
    <t>ENG. ALEXANDRE JABLONSKI PHILIPPI</t>
  </si>
  <si>
    <t>V108 (DET.)</t>
  </si>
  <si>
    <t>V108 75X200</t>
  </si>
  <si>
    <t>V108 100X200</t>
  </si>
  <si>
    <t>V177 (trecho balanço)</t>
  </si>
  <si>
    <t>V180 (trecho mais grosso)</t>
  </si>
  <si>
    <t>V180 (trecho mais fino)</t>
  </si>
  <si>
    <t>V180 (trecho VAR.)</t>
  </si>
  <si>
    <t>V185 (techo VAR.)</t>
  </si>
  <si>
    <t>V186 (techo VAR.)</t>
  </si>
  <si>
    <t>V189 (trecho VAR.)</t>
  </si>
  <si>
    <t>V191 (trecho VAR.)</t>
  </si>
  <si>
    <t>V194 (techo VAR.)</t>
  </si>
  <si>
    <t>V195 (techo VAR.)</t>
  </si>
  <si>
    <t>V197 (trecho VAR.)</t>
  </si>
  <si>
    <t>V199 (trecho 120x85)</t>
  </si>
  <si>
    <t>V199 (trecho 75x85)</t>
  </si>
  <si>
    <t>V199 (trecho VAR.)</t>
  </si>
  <si>
    <t>V204 (trecho VAR.)</t>
  </si>
  <si>
    <t>V116</t>
  </si>
  <si>
    <t>V178</t>
  </si>
  <si>
    <t>V209(DET.)</t>
  </si>
  <si>
    <t>V209 (trecho mais grosso)</t>
  </si>
  <si>
    <t>V209(trecho mais grosso VAR.)</t>
  </si>
  <si>
    <t>V209 (trecho mais fino)</t>
  </si>
  <si>
    <t>V212 (trecho VAR.)</t>
  </si>
  <si>
    <t>V215 (trecho VAR.)</t>
  </si>
  <si>
    <t>V216 (trecho VAR.)</t>
  </si>
  <si>
    <t>V221 (trecho mais fino)</t>
  </si>
  <si>
    <t>V221(DET.)</t>
  </si>
  <si>
    <t>V221 (trecho mais grosso)</t>
  </si>
  <si>
    <t>V224(DET.)</t>
  </si>
  <si>
    <t>V224 (trecho 45x85)</t>
  </si>
  <si>
    <t>V224(trecho 75x85)</t>
  </si>
  <si>
    <t>V224(trecho 100x85)</t>
  </si>
  <si>
    <t>V228 (trecho VAR.)</t>
  </si>
  <si>
    <t>V229 (trecho VAR.)</t>
  </si>
  <si>
    <t>V224(trecho VAR.)</t>
  </si>
  <si>
    <t>V232 (trecho mais fino)</t>
  </si>
  <si>
    <t>V232(DET.)</t>
  </si>
  <si>
    <t>V232 (trecho mais grosso)</t>
  </si>
  <si>
    <t>V232 (trecho VAR.)</t>
  </si>
  <si>
    <t>V221 (trecho VAR.)</t>
  </si>
  <si>
    <t>V234 (trecho VAR.)</t>
  </si>
  <si>
    <t>V241 (trecho VAR.)</t>
  </si>
  <si>
    <t>V211</t>
  </si>
  <si>
    <t>V174D</t>
  </si>
  <si>
    <t>V174E</t>
  </si>
  <si>
    <t>V174F</t>
  </si>
  <si>
    <t>V172A</t>
  </si>
  <si>
    <t>V243B</t>
  </si>
  <si>
    <t>V244B</t>
  </si>
  <si>
    <t>V247</t>
  </si>
  <si>
    <t>V248</t>
  </si>
  <si>
    <t>*P56 (B = Área, H = Perímetro)</t>
  </si>
  <si>
    <t>*P43 (B = Área, H = Perímetro)</t>
  </si>
  <si>
    <t>V332</t>
  </si>
  <si>
    <t>V416</t>
  </si>
  <si>
    <t>V406</t>
  </si>
  <si>
    <t>V408</t>
  </si>
  <si>
    <t xml:space="preserve"> TERMINAL DE PASSAGEIROS - PILARES</t>
  </si>
  <si>
    <t>Este quantitativo se refere a todo o TPS</t>
  </si>
  <si>
    <t>PE1 (25X20)</t>
  </si>
  <si>
    <t>PE2 (25X20)</t>
  </si>
  <si>
    <t>PE3 (25X20)</t>
  </si>
  <si>
    <t>PE4 (20X20)</t>
  </si>
  <si>
    <t>PE5 (30X20)</t>
  </si>
  <si>
    <t>PE6 (30X20)</t>
  </si>
  <si>
    <t>PE7 (30X20)</t>
  </si>
  <si>
    <t>PE8 (30X20)</t>
  </si>
  <si>
    <t>PE13 (30X30)</t>
  </si>
  <si>
    <t>PE14 (30X30)</t>
  </si>
  <si>
    <t>PE15 (30X30)</t>
  </si>
  <si>
    <t>PE16 (30X30)</t>
  </si>
  <si>
    <t>*P85 (B=Área, H=Circunferencia)</t>
  </si>
  <si>
    <t>P89 (75x52,5)</t>
  </si>
  <si>
    <t>*P86 (B=Área lado, h=Expessura)</t>
  </si>
  <si>
    <t>*P87 (B=Área lado, h=Expessura)</t>
  </si>
  <si>
    <t>*P88 (B=Área lado, h=Expessura)</t>
  </si>
  <si>
    <t>P9A (36,5x75)</t>
  </si>
  <si>
    <t>TOTAL - PILARES</t>
  </si>
  <si>
    <t>h=12</t>
  </si>
  <si>
    <t>Volume p/ m²</t>
  </si>
  <si>
    <t>FORMAS  ATEX</t>
  </si>
  <si>
    <t>Atex 900 (un)</t>
  </si>
  <si>
    <t>h=42,5</t>
  </si>
  <si>
    <t>h=15</t>
  </si>
  <si>
    <t>h=52,5</t>
  </si>
  <si>
    <t>h=VAR(75 à 42,5)</t>
  </si>
  <si>
    <t>LAJES MACIÇAS</t>
  </si>
  <si>
    <t>h=10</t>
  </si>
  <si>
    <t>NERVURAS 12,5x42,5</t>
  </si>
  <si>
    <t>NERVURAS 16,5x42,5</t>
  </si>
  <si>
    <t>NERVURAS 16x42,5</t>
  </si>
  <si>
    <t>NERVURAS 182,5x42,5</t>
  </si>
  <si>
    <t>NERVURAS - LAJES L258 e L259</t>
  </si>
  <si>
    <t>h=10 (LAJES L258 e L259)</t>
  </si>
  <si>
    <t xml:space="preserve">NERVURAS - L231, L255 e L161 </t>
  </si>
  <si>
    <t>NERVURAS 20x52,5</t>
  </si>
  <si>
    <t>NERVURAS 12,5x52,5</t>
  </si>
  <si>
    <t>NERVURAS 11,25x52,5</t>
  </si>
  <si>
    <t>NERVURAS 13,75x52,5</t>
  </si>
  <si>
    <t>h=10 (L231, L255 e L161)</t>
  </si>
  <si>
    <t>h=20</t>
  </si>
  <si>
    <t>h=18</t>
  </si>
  <si>
    <t>NERVURAS 25x45</t>
  </si>
  <si>
    <t>NERVURAS 40x45</t>
  </si>
  <si>
    <t xml:space="preserve">NERVURAS </t>
  </si>
  <si>
    <t>NERVURAS 30x45</t>
  </si>
  <si>
    <t>h=45</t>
  </si>
  <si>
    <t>h=10 (LAJE L308)</t>
  </si>
  <si>
    <t>NERVURAS - L308</t>
  </si>
  <si>
    <t>NERVURAS 16,25x52,5</t>
  </si>
  <si>
    <t>PAR1a</t>
  </si>
  <si>
    <t>Comp. (m)</t>
  </si>
  <si>
    <t>A (m)</t>
  </si>
  <si>
    <t>Area (m²)</t>
  </si>
  <si>
    <t>PAR1b</t>
  </si>
  <si>
    <t>PAR1c</t>
  </si>
  <si>
    <t>PAR2a</t>
  </si>
  <si>
    <t>PAR2b</t>
  </si>
  <si>
    <t>PAR2c</t>
  </si>
  <si>
    <t>PAR2d</t>
  </si>
  <si>
    <t>(Buracos das paredes já incluidos neste quantitativo)</t>
  </si>
  <si>
    <t>PAR3a</t>
  </si>
  <si>
    <t>*PAR4a (A=Perímetro)</t>
  </si>
  <si>
    <t>*PAR4b (A=Perímetro)</t>
  </si>
  <si>
    <t>*PAR5a (A=Perímetro)</t>
  </si>
  <si>
    <t>*PAR5b (A=Perímetro)</t>
  </si>
  <si>
    <t>Concreto Magro =</t>
  </si>
  <si>
    <t>*PAR6 e V172 (A= Perímetro)</t>
  </si>
  <si>
    <t>C. Magro (m³)</t>
  </si>
  <si>
    <t xml:space="preserve"> TERMINAL DE PASSAGEIROS - ESTRUTURA EIXO F</t>
  </si>
  <si>
    <t>Este quantitativo se refere às estruturas localizadas no eixo F do TPS</t>
  </si>
  <si>
    <t>TOTAL - ESTRUTURAS EIXO F</t>
  </si>
  <si>
    <t>NERVURAS (30x40)</t>
  </si>
  <si>
    <t>NERVURAS (30x60)</t>
  </si>
  <si>
    <t>h (m)</t>
  </si>
  <si>
    <t>NERVURAS N51 à N60</t>
  </si>
  <si>
    <t>NERVURAS</t>
  </si>
  <si>
    <t>Lados e Fundo (m)</t>
  </si>
  <si>
    <t>NERVURAS (15x62)</t>
  </si>
  <si>
    <t>h(m)</t>
  </si>
  <si>
    <t>NERVURAS e VIGAS</t>
  </si>
  <si>
    <t>VF.1 à VF.16 (16x)</t>
  </si>
  <si>
    <t>A(m)</t>
  </si>
  <si>
    <t>Quantidade</t>
  </si>
  <si>
    <t>PF1 à PF16</t>
  </si>
  <si>
    <t>B(m)</t>
  </si>
  <si>
    <t>Altura(m) ou Área (m²)</t>
  </si>
  <si>
    <t>*PF17 (B=Comprimento lados)</t>
  </si>
  <si>
    <t>*PF18 (B=Comprimento lados)</t>
  </si>
  <si>
    <t>*PF19 (B=Comprimento lados)</t>
  </si>
  <si>
    <t>*PF20 (B=Comprimento lados)</t>
  </si>
  <si>
    <t>*PF21 (B=Comprimento lados)</t>
  </si>
  <si>
    <t>*PF22 (B=Comprimento lados)</t>
  </si>
  <si>
    <t>*PF23 (B=Comprimento lados)</t>
  </si>
  <si>
    <t>*PF24 (B=Comprimento lados)</t>
  </si>
  <si>
    <t>*PF25 (B=Comprimento lados)</t>
  </si>
  <si>
    <t>*PF26 (B=Comprimento lados)</t>
  </si>
  <si>
    <t>*PF27 (B=Comprimento lados)</t>
  </si>
  <si>
    <t>*PF28 (B=Comprimento lados)</t>
  </si>
  <si>
    <t>*PF29 (B=Comprimento lados)</t>
  </si>
  <si>
    <t>*PF30 (B=Comprimento lados)</t>
  </si>
  <si>
    <t>*PF31 (B=Comprimento lados)</t>
  </si>
  <si>
    <t>*PF32 (B=Comprimento lados)</t>
  </si>
  <si>
    <t>*PF101 (B=Comprimento lados)</t>
  </si>
  <si>
    <t>*PF102 (B=Comprimento lados)</t>
  </si>
  <si>
    <t>*PF102A (B=Comprimento lados)</t>
  </si>
  <si>
    <t>*PF103 (B=Comprimento lados)</t>
  </si>
  <si>
    <t>*PF104 (B=Comprimento lados)</t>
  </si>
  <si>
    <t>*PF104A (B=Comprimento lados)</t>
  </si>
  <si>
    <t>*PF105 (B=Comprimento lados)</t>
  </si>
  <si>
    <t>*PF106 (B=Comprimento lados)</t>
  </si>
  <si>
    <t>*PF106A (B=Comprimento lados)</t>
  </si>
  <si>
    <t>*PF107 (B=Comprimento lados)</t>
  </si>
  <si>
    <t>*PF108 (B=Comprimento lados)</t>
  </si>
  <si>
    <t>*PF108A (B=Comprimento lados)</t>
  </si>
  <si>
    <t>*PF109 (B=Comprimento lados)</t>
  </si>
  <si>
    <t>*PF110 (B=Comprimento lados)</t>
  </si>
  <si>
    <t>*PF110A (B=Comprimento lados)</t>
  </si>
  <si>
    <t>*PF111 (B=Comprimento lados)</t>
  </si>
  <si>
    <t>*PF112 (B=Comprimento lados)</t>
  </si>
  <si>
    <t>*PF112A (B=Comprimento lados)</t>
  </si>
  <si>
    <t>*PF113 (B=Comprimento lados)</t>
  </si>
  <si>
    <t>*PF114 (B=Comprimento lados)</t>
  </si>
  <si>
    <t>*PF114A (B=Comprimento lados)</t>
  </si>
  <si>
    <t>*PF115 (B=Comprimento lados)</t>
  </si>
  <si>
    <t>*PF116 (B=Comprimento lados)</t>
  </si>
  <si>
    <t>*PF116A (B=Comprimento lados)</t>
  </si>
  <si>
    <t>*PF117 (B=Comprimento lados)</t>
  </si>
  <si>
    <t>*PF118 (B=Comprimento lados)</t>
  </si>
  <si>
    <t>*PF118A (B=Comprimento lados)</t>
  </si>
  <si>
    <t>*PF119 (B=Comprimento lados)</t>
  </si>
  <si>
    <t>APOIOS PARA COB. METÁLICA</t>
  </si>
  <si>
    <t>Área corte (m²)</t>
  </si>
  <si>
    <t>Área (m²)</t>
  </si>
  <si>
    <t>APOIO A</t>
  </si>
  <si>
    <t>Perímetro(m)</t>
  </si>
  <si>
    <t>Quantidade (un)</t>
  </si>
  <si>
    <t>APOIO B</t>
  </si>
  <si>
    <t>Junta de Dilatação=</t>
  </si>
  <si>
    <t xml:space="preserve">Este quantitativo se refere às estruturas do COE </t>
  </si>
  <si>
    <t xml:space="preserve"> TERMINAL DE PASSAGEIROS - ESTRUTURAS COE (CENTRO DE OPERAÇÕES DE EMERGÊNCIA)</t>
  </si>
  <si>
    <t xml:space="preserve">h (m) </t>
  </si>
  <si>
    <t>A (m) / lados (m)</t>
  </si>
  <si>
    <t>Área Corte (m²)</t>
  </si>
  <si>
    <t>VEB15</t>
  </si>
  <si>
    <t>VEB20</t>
  </si>
  <si>
    <t>VEB21</t>
  </si>
  <si>
    <t>Laje h=15</t>
  </si>
  <si>
    <t>h=VAR(20-40)</t>
  </si>
  <si>
    <t>PB1 à PB49</t>
  </si>
  <si>
    <t>LAJE COBERTURA</t>
  </si>
  <si>
    <t>Comp. Fundo (m)</t>
  </si>
  <si>
    <t>TOTAL - ESTRUTURAS COE</t>
  </si>
  <si>
    <r>
      <t>Conc. Magro (m</t>
    </r>
    <r>
      <rPr>
        <vertAlign val="superscript"/>
        <sz val="10"/>
        <color indexed="10"/>
        <rFont val="Arial"/>
        <family val="2"/>
      </rPr>
      <t>3</t>
    </r>
    <r>
      <rPr>
        <sz val="10"/>
        <color indexed="10"/>
        <rFont val="Arial"/>
        <family val="2"/>
      </rPr>
      <t>)</t>
    </r>
  </si>
  <si>
    <t>Argila Expandida</t>
  </si>
  <si>
    <t>FUROS VIGAS</t>
  </si>
  <si>
    <t>V9 (semi-invert.)</t>
  </si>
  <si>
    <t>TERMINAL DE PASSAGEIROS- TRECHO 3</t>
  </si>
  <si>
    <t>TERMINAL DE PASSAGEIROS- TRECHO 2</t>
  </si>
  <si>
    <t>TERMINAL DE PASSAGEIROS - TRECHO 1</t>
  </si>
  <si>
    <t>ENG. LUIZ ROBERTO PEREIRA</t>
  </si>
  <si>
    <t>0600460193/SP</t>
  </si>
  <si>
    <t>ARQ.ª PAULA SCHIAVINI</t>
  </si>
  <si>
    <t>5060435179/SP</t>
  </si>
  <si>
    <t xml:space="preserve">ENG. RICARDO MELLO </t>
  </si>
  <si>
    <t>0601856341/SP</t>
  </si>
  <si>
    <t>ENG. GUILHERME SOLDATELLI</t>
  </si>
  <si>
    <t>146149/RS</t>
  </si>
  <si>
    <t>407136/SC</t>
  </si>
  <si>
    <t xml:space="preserve">AEROPORTO INTERNACIONAL  DE FLORIANÓPOLIS HERCÍLIO LUZ                                              </t>
  </si>
  <si>
    <t>04.03.320</t>
  </si>
  <si>
    <t>Juntas (Fornecimento e Execução) - Item 3.12 da ET: FL.01/302.92/04538</t>
  </si>
  <si>
    <t>04.03.310.03</t>
  </si>
  <si>
    <t>04.03.310.04</t>
  </si>
  <si>
    <t>Formas ATEX 900 (32,5) - Item 3.14 da ET: FL.01/302.92/04538</t>
  </si>
  <si>
    <t>Argila Expandida - Item 3.13 da ET: FL.01/302.92/04538</t>
  </si>
  <si>
    <t>Fornecimento e Aplicação de Junta de Dilatação</t>
  </si>
  <si>
    <t>Fornecimento e Aplicação de Junta de Encontro</t>
  </si>
  <si>
    <t>Fornecimento e Aplicação de Junta de Retração</t>
  </si>
  <si>
    <t>Fornecimento e Aplicação de Junta Serrada</t>
  </si>
  <si>
    <t>Fornecimento e Aplicação de Formas ATEX 900 (32,5)</t>
  </si>
  <si>
    <t>Fornecimento e Aplicação de Argila Expandida</t>
  </si>
  <si>
    <t>Atex 900 (m²)</t>
  </si>
  <si>
    <t>Argila expandida =</t>
  </si>
  <si>
    <t>Argila Expandida =</t>
  </si>
  <si>
    <t>Este quantitativo se refere aos seguintes desenhos: FL.26/302.13/04744 e FL.26/302.13/04745</t>
  </si>
  <si>
    <t>Este quantitativo se refere ao seguinte desenho: FL.26/302.13/04757</t>
  </si>
  <si>
    <t>Este quantitativo se refere ao seguinte desenho: FL.26/302.13/04760</t>
  </si>
  <si>
    <t>Este quantitativo se refere ao seguinte desenho: FL.26/302.13/04766 à FL.26/302.13/04768</t>
  </si>
  <si>
    <t>Armação - Vigas 2º Pavimento</t>
  </si>
  <si>
    <t>Armação - Vigas Galeria Técnica</t>
  </si>
  <si>
    <t>Armação - Vigas Cobertura</t>
  </si>
  <si>
    <t>Armação - Lajes nível +7,90</t>
  </si>
  <si>
    <t>Armação - Lajes Cobertura</t>
  </si>
  <si>
    <t>Armação - PAR1 e PAR2</t>
  </si>
  <si>
    <t>Disponível no desenho FL.06/302.13/04788</t>
  </si>
  <si>
    <t>Armação - Lajes 2º Pavimento</t>
  </si>
  <si>
    <t>Armação - Vigas Nível +14,80</t>
  </si>
  <si>
    <t>Armação - Lajes Níveis +14,80 e +17,95</t>
  </si>
  <si>
    <t>Lastro (Fornecimento e Execução) - Item 3.10 da ET: FL.01/302.92/04619</t>
  </si>
  <si>
    <t>Lastro (Fornecimento e Execução) - Item 3.10 da ET: FL.01/302.92/04538</t>
  </si>
  <si>
    <t>Formas (Fornecimento e Execução) - Itens 3.3, 3.8 e 3.11 da ET: FL.01/302.92/04619</t>
  </si>
  <si>
    <t>Armadura (Fornecimento e Execução) - Itens 3.2 e 3.9 da ET: FL.01/302.92/04619</t>
  </si>
  <si>
    <t>Concreto (Fornecimento e Execução) - Item 3.10 da ET: FL.01/302.92/04619</t>
  </si>
  <si>
    <t>04.02.170.03</t>
  </si>
  <si>
    <t>04.02.120.01</t>
  </si>
  <si>
    <t>04.02.120.02</t>
  </si>
  <si>
    <t>04.02.120.03</t>
  </si>
  <si>
    <t>04.02.130.01</t>
  </si>
  <si>
    <t>04.02.130.02</t>
  </si>
  <si>
    <t>04.02.130.03</t>
  </si>
  <si>
    <t>04.02.120.04</t>
  </si>
  <si>
    <t>04.02.130.04</t>
  </si>
  <si>
    <t>Estaca Hélice Contínua com diâmetro de 250 mm</t>
  </si>
  <si>
    <t>Estaca Hélice Contínua com diâmetro de 300 mm</t>
  </si>
  <si>
    <t>Estaca Hélice Contínua com diâmetro de 350 mm</t>
  </si>
  <si>
    <t>Estaca Hélice Contínua com diâmetro de 400 mm</t>
  </si>
  <si>
    <t xml:space="preserve">Estaca Hélice Contínua com diâmetro de 250 mm </t>
  </si>
  <si>
    <t>Armação - Lajes Galeria Técnica</t>
  </si>
  <si>
    <t>Disponível no desenho FL.06/302.13/05377</t>
  </si>
  <si>
    <t>Armação - Pilares Eixo F</t>
  </si>
  <si>
    <t>Armação - PAR.3 à PAR.6</t>
  </si>
  <si>
    <t xml:space="preserve"> TERMINAL DE PASSAGEIROS - ESCADAS</t>
  </si>
  <si>
    <t>ESCADA E1</t>
  </si>
  <si>
    <t>piso 1 a 17</t>
  </si>
  <si>
    <t>piso 18 a 33</t>
  </si>
  <si>
    <t>VIGAS ESCADA E1</t>
  </si>
  <si>
    <t>VE8</t>
  </si>
  <si>
    <t>ESCADA E2</t>
  </si>
  <si>
    <t>VIGAS ESCADA E2</t>
  </si>
  <si>
    <t>piso 15 a 33</t>
  </si>
  <si>
    <t>VE9</t>
  </si>
  <si>
    <t>ESCADA E3</t>
  </si>
  <si>
    <t>VE11</t>
  </si>
  <si>
    <t>ESCADA E4</t>
  </si>
  <si>
    <t>VE10</t>
  </si>
  <si>
    <t>ESCADA E5</t>
  </si>
  <si>
    <t>piso 18 a 34</t>
  </si>
  <si>
    <t>piso 35 a 47</t>
  </si>
  <si>
    <t>piso 48 a 60</t>
  </si>
  <si>
    <t>piso 61 a 71</t>
  </si>
  <si>
    <t>piso 72 a 82</t>
  </si>
  <si>
    <t>VIGAS ESCADA E5</t>
  </si>
  <si>
    <t>BL.5 (PARA PILARES P86, P 87 e P88)</t>
  </si>
  <si>
    <t>BL.5 (PARA PILAR E6)</t>
  </si>
  <si>
    <t>*PILAR E6 (B=Área. H=Perímetro)</t>
  </si>
  <si>
    <t>piso 1 a 6</t>
  </si>
  <si>
    <t>piso 7 a 10</t>
  </si>
  <si>
    <t>piso 11 a 15</t>
  </si>
  <si>
    <t>piso 16 a 19</t>
  </si>
  <si>
    <t>piso 20 a 24</t>
  </si>
  <si>
    <t>piso 25 a 28</t>
  </si>
  <si>
    <t>piso 29 a 33</t>
  </si>
  <si>
    <t>piso 34 a 38</t>
  </si>
  <si>
    <t>piso 39 a 42</t>
  </si>
  <si>
    <t>piso 43 a 47</t>
  </si>
  <si>
    <t>piso 48 a 51</t>
  </si>
  <si>
    <t>piso 52 a 56</t>
  </si>
  <si>
    <t>piso 57 a 58</t>
  </si>
  <si>
    <t>piso 59 a 63</t>
  </si>
  <si>
    <t>piso 64 a 67</t>
  </si>
  <si>
    <t>piso 68 a 72</t>
  </si>
  <si>
    <t>piso 73 a 76</t>
  </si>
  <si>
    <t>piso 77 a 80</t>
  </si>
  <si>
    <t>ESCADA E6</t>
  </si>
  <si>
    <t>ESCADA E7</t>
  </si>
  <si>
    <t>piso 1 a 8</t>
  </si>
  <si>
    <t>piso 9 a 17</t>
  </si>
  <si>
    <t>piso 18 a 24</t>
  </si>
  <si>
    <t>piso 26 a 36</t>
  </si>
  <si>
    <t>VE6</t>
  </si>
  <si>
    <t>VIGAS ESCADA E7</t>
  </si>
  <si>
    <t>ESCADA E8</t>
  </si>
  <si>
    <t>VIGAS ESCADA E8</t>
  </si>
  <si>
    <t>piso 1 a 12</t>
  </si>
  <si>
    <t>piso 13 a 24</t>
  </si>
  <si>
    <t>piso 1 a 5</t>
  </si>
  <si>
    <t>piso 6 a 19</t>
  </si>
  <si>
    <t>ESCADAS E9, E10, e E12 (3X)</t>
  </si>
  <si>
    <t>30X60</t>
  </si>
  <si>
    <t>30XVAR(60X15)</t>
  </si>
  <si>
    <t>ESCADA E11</t>
  </si>
  <si>
    <t>piso 1 a 33</t>
  </si>
  <si>
    <t>VE23</t>
  </si>
  <si>
    <t>VE24</t>
  </si>
  <si>
    <t>TOTAL - ESCADAS</t>
  </si>
  <si>
    <t>Disponível no desenho FL.06/302.13/04723</t>
  </si>
  <si>
    <t>Disponível no desenho FL.06/302.13/04724</t>
  </si>
  <si>
    <t>Disponível no desenho FL.06/302.13/04725</t>
  </si>
  <si>
    <t>Disponível no desenho FL.06/302.13/04732</t>
  </si>
  <si>
    <t>Disponível no desenho FL.06/302.13/04733</t>
  </si>
  <si>
    <t>Disponível no desenho FL.06/302.13/04778</t>
  </si>
  <si>
    <t>Disponível no desenho FL.06/302.13/05462</t>
  </si>
  <si>
    <t>Disponível no desenho FL.06/302.13/04684</t>
  </si>
  <si>
    <t>ESTE  QUANTITATIVO TAMBÉM CONTEMPLA OS SEGUINTES DOCUMENTOS:    FL.17/304.13/04694 E FL.17/302.13/04699</t>
  </si>
  <si>
    <t>OS DESENHOS REFERENTES AOS QUANTITATIVOS DE AÇO ESTÃO INDICADOS NO QUADRO "RESUMO-ARMAÇÃO".</t>
  </si>
  <si>
    <t>OS DESENHOS REFERENTES AOS QUANTITATIVOS DE AÇO ESTÃO INDICADOS NO QUADRO "RESUMO-ARMAÇÃO" DO TQ. DE TERMOACUMULAÇÃO</t>
  </si>
  <si>
    <t xml:space="preserve">ESTE  QUANTITATIVO TAMBÉM CONTEMPLA O SEGUINTE DOCUMENTO:    FL.26/304.13/04744 </t>
  </si>
  <si>
    <t>ESTE  QUANTITATIVO TAMBÉM CONTEMPLA OS SEGUINTES DOCUMENTOS:    FL.06/304.13/04544, FL.06/304.13/04545, FL.06/304.13/04546, FL.06/304.13/04547, FL.06/304.13/04548, FL.06/304.13/04549 E FL.06/304.13/04550</t>
  </si>
  <si>
    <t>Armação Blocos, Pilares VB1 À VB10</t>
  </si>
  <si>
    <t>Disponível no desenho FL.26/304.13/04747</t>
  </si>
  <si>
    <t>Armação  VB11 À VB20</t>
  </si>
  <si>
    <t>Disponível no desenho FL.26/304.13/04748</t>
  </si>
  <si>
    <t>Premissas adotadas para a quantificação:</t>
  </si>
  <si>
    <t>1. Para o cálculo do volume de escavação foi considerado um acréscimo de 0,6m na dimensão da base. Além disto considerou-se um ângulo de abertura de 60º em relação a horizontal.</t>
  </si>
  <si>
    <t>2. Ensaio de integridade PIT:  100% do número total de estaca.</t>
  </si>
  <si>
    <t>5.1. EDIFÍCIO DE APOIO</t>
  </si>
  <si>
    <t>5.2. CENTRAL DE UTILIDADES</t>
  </si>
  <si>
    <t>5.3. TERMINAL DE PASSAGEIROS</t>
  </si>
  <si>
    <t>Disponível no desenho FL.17/302.13/04701</t>
  </si>
  <si>
    <t>Armação - Rampas e Escada de Acesso 1/3</t>
  </si>
  <si>
    <t>O peso das armaduras estão disponíveis nos desenhos de armação e as quantidades levantadas foram atribuidas ao(s) seguinte(s) desenho(s):</t>
  </si>
  <si>
    <t xml:space="preserve">FL.01/302.76/04537 - Memorial de Cálculo e Dimensionamento </t>
  </si>
  <si>
    <t>FL.01/302.92/04538 - Especificação Técnica</t>
  </si>
  <si>
    <t>Armação - LF1/LF2, LC1/LC2 e PAR.1 À PAR.5</t>
  </si>
  <si>
    <t>Disponível no desenho FL.26/302.13/04770</t>
  </si>
  <si>
    <t>Armação - BL2, P7 à P12 e VB5 à VB8, V6 à V10</t>
  </si>
  <si>
    <t>Regularização e Apiloamento de Fundo de Vala</t>
  </si>
  <si>
    <t>Un.</t>
  </si>
  <si>
    <t>Disponível no desenho FL.06/302.13/04591</t>
  </si>
  <si>
    <t>Disponível no desenho FL.06/302.13/04592</t>
  </si>
  <si>
    <t>Disponível no desenho FL.06/302.13/04593</t>
  </si>
  <si>
    <t>Disponível no desenho FL.06/302.13/04594</t>
  </si>
  <si>
    <t>Disponível no desenho FL.06/302.13/04595</t>
  </si>
  <si>
    <t>Disponível no desenho FL.06/302.13/04596</t>
  </si>
  <si>
    <t>Disponível no desenho FL.06/304.13/04597</t>
  </si>
  <si>
    <t>Disponível no desenho FL.06/304.13/04598</t>
  </si>
  <si>
    <t>Disponível no desenho FL.06/304.13/04599</t>
  </si>
  <si>
    <t>Disponível no desenho FL.06/304.13/04600</t>
  </si>
  <si>
    <t>Disponível no desenho FL.06/304.13/04601</t>
  </si>
  <si>
    <t>Disponível no desenho FL.06/304.13/04602</t>
  </si>
  <si>
    <t>Disponível no desenho FL.06/304.13/04603</t>
  </si>
  <si>
    <t>Disponível no desenho FL.06/304.13/04604</t>
  </si>
  <si>
    <t>Disponível no desenho FL.06/304.13/04605</t>
  </si>
  <si>
    <t>Disponível no desenho FL.06/304.13/04606</t>
  </si>
  <si>
    <t>Disponível no desenho FL.06/304.13/04607</t>
  </si>
  <si>
    <t>Disponível no desenho FL.06/304.13/04608</t>
  </si>
  <si>
    <t>Disponível no desenho FL.06/304.13/04609</t>
  </si>
  <si>
    <t>Disponível no desenho FL.06/304.13/04610</t>
  </si>
  <si>
    <t>Disponível no desenho FL.06/304.13/04611</t>
  </si>
  <si>
    <t>Disponível no desenho FL.06/304.13/04612</t>
  </si>
  <si>
    <t>Disponível no desenho FL.06/304.13/04613</t>
  </si>
  <si>
    <t>Disponível no desenho FL.06/304.13/04614</t>
  </si>
  <si>
    <t>Disponível no desenho FL.06/304.13/04615</t>
  </si>
  <si>
    <t>Disponível no desenho FL.06/304.13/04616</t>
  </si>
  <si>
    <t>Disponível no desenho FL.06/304.13/04617</t>
  </si>
  <si>
    <t>Disponível no desenho FL.06/304.13/04618</t>
  </si>
  <si>
    <t>Disponível no desenho FL.06/304.13/04619</t>
  </si>
  <si>
    <t>Disponível no desenho FL.06/304.13/04620</t>
  </si>
  <si>
    <t>Armação - Escada E7 e E8</t>
  </si>
  <si>
    <t>Armação - Escadas E9, E10, E11 e E12</t>
  </si>
  <si>
    <t>Armação - Escadas E1, E2, E3 e E4</t>
  </si>
  <si>
    <t>Armação - Lajes 1º Pavimento - Eixos 1 ao 18</t>
  </si>
  <si>
    <t>Armação - Lajes 1º Pavimento - Eixos 18 a 21</t>
  </si>
  <si>
    <t>Armação - Escada E5</t>
  </si>
  <si>
    <t>Armação - Escada E6</t>
  </si>
  <si>
    <t>Disponível no desenho FL.06/302.13/04635</t>
  </si>
  <si>
    <t>Disponível no desenho FL.06/302.13/04636</t>
  </si>
  <si>
    <t>Disponível no desenho FL.06/302.13/04637</t>
  </si>
  <si>
    <t>Disponível no desenho FL.06/302.13/04638</t>
  </si>
  <si>
    <t>Disponível no desenho FL.06/302.13/04639</t>
  </si>
  <si>
    <t>Disponível no desenho FL.06/302.13/04640</t>
  </si>
  <si>
    <t>Disponível no desenho FL.06/302.13/04641</t>
  </si>
  <si>
    <t>Disponível no desenho FL.06/302.13/04642</t>
  </si>
  <si>
    <t>Disponível no desenho FL.06/302.13/04643</t>
  </si>
  <si>
    <t>Disponível no desenho FL.06/302.13/04644</t>
  </si>
  <si>
    <t>Disponível no desenho FL.06/302.13/04645</t>
  </si>
  <si>
    <t>Disponível no desenho FL.06/302.13/04646</t>
  </si>
  <si>
    <t>Disponível no desenho FL.06/302.13/04647</t>
  </si>
  <si>
    <t>Disponível no desenho FL.06/302.13/04648</t>
  </si>
  <si>
    <t>Disponível no desenho FL.06/302.13/04649</t>
  </si>
  <si>
    <t>Disponível no desenho FL.06/302.13/04650</t>
  </si>
  <si>
    <t>Disponível no desenho FL.06/302.13/04651</t>
  </si>
  <si>
    <t>Disponível no desenho FL.06/302.13/04652</t>
  </si>
  <si>
    <t>Disponível no desenho FL.06/302.13/04653</t>
  </si>
  <si>
    <t>Disponível no desenho FL.06/302.13/04654</t>
  </si>
  <si>
    <t>Disponível no desenho FL.06/302.13/04655</t>
  </si>
  <si>
    <t>Disponível no desenho FL.06/302.13/04656</t>
  </si>
  <si>
    <t>Disponível no desenho FL.06/302.13/04657</t>
  </si>
  <si>
    <t>Disponível no desenho FL.06/302.13/04658</t>
  </si>
  <si>
    <t>Disponível no desenho FL.06/302.13/04659</t>
  </si>
  <si>
    <t>Disponível no desenho FL.06/302.13/04660</t>
  </si>
  <si>
    <t>Disponível no desenho FL.06/302.13/04661</t>
  </si>
  <si>
    <t>Disponível no desenho FL.06/302.13/04662</t>
  </si>
  <si>
    <t>Disponível no desenho FL.06/302.13/04663</t>
  </si>
  <si>
    <t>Disponível no desenho FL.06/302.13/04664</t>
  </si>
  <si>
    <t>Disponível no desenho FL.06/302.13/04665</t>
  </si>
  <si>
    <t>Disponível no desenho FL.06/302.13/04666</t>
  </si>
  <si>
    <t>Disponível no desenho FL.06/302.13/04667</t>
  </si>
  <si>
    <t>Disponível no desenho FL.06/302.13/04668</t>
  </si>
  <si>
    <t>Disponível no desenho FL.06/302.13/04669</t>
  </si>
  <si>
    <t>Disponível no desenho FL.06/302.13/04670</t>
  </si>
  <si>
    <t>Disponível no desenho FL.06/302.13/04671</t>
  </si>
  <si>
    <t>Disponível no desenho FL.06/302.13/04672</t>
  </si>
  <si>
    <t>Disponível no desenho FL.06/302.13/04673</t>
  </si>
  <si>
    <t>Disponível no desenho FL.06/302.13/04674</t>
  </si>
  <si>
    <t>Disponível no desenho FL.06/302.13/04675</t>
  </si>
  <si>
    <t>Disponível no desenho FL.06/302.13/04676</t>
  </si>
  <si>
    <t>Disponível no desenho FL.06/302.13/04677</t>
  </si>
  <si>
    <t>Disponível no desenho FL.06/302.13/04678</t>
  </si>
  <si>
    <t>Disponível no desenho FL.06/302.13/04679</t>
  </si>
  <si>
    <t>Disponível no desenho FL.06/302.13/04680</t>
  </si>
  <si>
    <t>Disponível no desenho FL.06/302.13/04681</t>
  </si>
  <si>
    <t>Disponível no desenho FL.06/302.13/04682</t>
  </si>
  <si>
    <t>Disponível no desenho FL.06/302.13/04683</t>
  </si>
  <si>
    <t>Disponível no desenho FL.06/302.13/04685</t>
  </si>
  <si>
    <t>Disponível no desenho FL.06/302.13/04686</t>
  </si>
  <si>
    <t>Disponível no desenho FL.06/302.13/04687</t>
  </si>
  <si>
    <t>Disponível no desenho FL.06/302.13/04688</t>
  </si>
  <si>
    <t>Disponível no desenho FL.06/302.13/04689</t>
  </si>
  <si>
    <t>Disponível no desenho FL.06/302.13/04690</t>
  </si>
  <si>
    <t>Disponível no desenho FL.06/302.13/04691</t>
  </si>
  <si>
    <t>Disponível no desenho FL.06/302.13/04692</t>
  </si>
  <si>
    <t>Disponível no desenho FL.06/302.13/04731</t>
  </si>
  <si>
    <t>Disponível no desenho FL.06/302.13/04726</t>
  </si>
  <si>
    <t>Disponível no desenho FL.06/302.13/04727</t>
  </si>
  <si>
    <t>Disponível no desenho FL.06/302.13/04728</t>
  </si>
  <si>
    <t>Disponível no desenho FL.06/302.13/04729</t>
  </si>
  <si>
    <t>Disponível no desenho FL.06/302.13/04730</t>
  </si>
  <si>
    <t>Disponível no desenho FL.06/302.13/04776</t>
  </si>
  <si>
    <t>Disponível no desenho FL.06/302.13/04777</t>
  </si>
  <si>
    <t>Disponível no desenho FL.06/302.13/04779</t>
  </si>
  <si>
    <t>Disponível no desenho FL.06/302.13/04780</t>
  </si>
  <si>
    <t>Disponível no desenho FL.06/302.13/04781</t>
  </si>
  <si>
    <t>Disponível no desenho FL.06/302.13/04782</t>
  </si>
  <si>
    <t>Disponível no desenho FL.06/302.13/04783</t>
  </si>
  <si>
    <t>Disponível no desenho FL.06/302.13/04784</t>
  </si>
  <si>
    <t>Disponível no desenho FL.06/302.13/04785</t>
  </si>
  <si>
    <t>Disponível no desenho FL.06/302.13/04786</t>
  </si>
  <si>
    <t>Disponível no desenho FL.06/302.13/04787</t>
  </si>
  <si>
    <t>Disponível no desenho FL.06/302.13/04789</t>
  </si>
  <si>
    <t>Disponível no desenho FL.06/302.13/04790</t>
  </si>
  <si>
    <t>Disponível no desenho FL.06/302.13/04791</t>
  </si>
  <si>
    <t>Disponível no desenho FL.06/302.13/04792</t>
  </si>
  <si>
    <t>Disponível no desenho FL.06/302.13/04793</t>
  </si>
  <si>
    <t>Disponível no desenho FL.06/302.13/04794</t>
  </si>
  <si>
    <t>Disponível no desenho FL.06/302.13/04795</t>
  </si>
  <si>
    <t>Disponível no desenho FL.06/302.13/04796</t>
  </si>
  <si>
    <t>Disponível no desenho FL.06/302.13/04797</t>
  </si>
  <si>
    <t>Disponível no desenho FL.06/302.13/04798</t>
  </si>
  <si>
    <t>Disponível no desenho FL.06/302.13/04799</t>
  </si>
  <si>
    <t>Disponível no desenho FL.06/302.13/04800</t>
  </si>
  <si>
    <t>Disponível no desenho FL.06/302.13/04801</t>
  </si>
  <si>
    <t>Disponível no desenho FL.06/302.13/05332</t>
  </si>
  <si>
    <t>Disponível no desenho FL.06/302.13/05333</t>
  </si>
  <si>
    <t>Disponível no desenho FL.06/302.13/05334</t>
  </si>
  <si>
    <t>Disponível no desenho FL.06/302.13/05336</t>
  </si>
  <si>
    <t>Disponível no desenho FL.06/302.13/05338</t>
  </si>
  <si>
    <t>Disponível no desenho FL.06/302.13/05341</t>
  </si>
  <si>
    <t>Disponível no desenho FL.06/302.13/05335</t>
  </si>
  <si>
    <t>Disponível no desenho FL.06/302.13/05337</t>
  </si>
  <si>
    <t>Disponível no desenho FL.06/302.13/05339</t>
  </si>
  <si>
    <t>Disponível no desenho FL.06/302.13/05340</t>
  </si>
  <si>
    <t>Disponível no desenho FL.06/302.13/05342</t>
  </si>
  <si>
    <t>Disponível no desenho FL.06/302.13/05343</t>
  </si>
  <si>
    <t>Disponível no desenho FL.06/302.13/05344</t>
  </si>
  <si>
    <t>Disponível no desenho FL.06/302.13/05345</t>
  </si>
  <si>
    <t>Disponível no desenho FL.06/302.13/05346</t>
  </si>
  <si>
    <t>Disponível no desenho FL.06/302.13/05347</t>
  </si>
  <si>
    <t>Disponível no desenho FL.06/302.13/05348</t>
  </si>
  <si>
    <t>Disponível no desenho FL.06/302.13/05349</t>
  </si>
  <si>
    <t>Armação - Passarelas, COA e Pontes de Embarque</t>
  </si>
  <si>
    <t>Disponível no desenho FL.01/302.13/05352</t>
  </si>
  <si>
    <t>Armação - Paredes das Lojas</t>
  </si>
  <si>
    <t>Disponível no desenho FL.06/302.13/05370</t>
  </si>
  <si>
    <t>Disponível no desenho FL.06/302.13/05382</t>
  </si>
  <si>
    <t>Disponível no desenho FL.06/302.13/05383</t>
  </si>
  <si>
    <t>04.03.340</t>
  </si>
  <si>
    <t>04.03.340.01</t>
  </si>
  <si>
    <t>Graute (Fornecimento e Execução) - Item 3.15 da ET: FL.01/302.92/04538</t>
  </si>
  <si>
    <t>04.03.350</t>
  </si>
  <si>
    <t>04.03.350.01</t>
  </si>
  <si>
    <t>BLP.1</t>
  </si>
  <si>
    <t>BLC.1</t>
  </si>
  <si>
    <t>VTC1</t>
  </si>
  <si>
    <t>RESUMO - INFRAESTRUTURA TPS</t>
  </si>
  <si>
    <t>Área lado (m²)</t>
  </si>
  <si>
    <t>Expessura (m)</t>
  </si>
  <si>
    <t>VPE1 à VPE5</t>
  </si>
  <si>
    <r>
      <t>Graute (m</t>
    </r>
    <r>
      <rPr>
        <vertAlign val="superscript"/>
        <sz val="10"/>
        <color indexed="10"/>
        <rFont val="Arial"/>
        <family val="2"/>
      </rPr>
      <t>3</t>
    </r>
    <r>
      <rPr>
        <sz val="10"/>
        <color indexed="10"/>
        <rFont val="Arial"/>
        <family val="2"/>
      </rPr>
      <t>)</t>
    </r>
  </si>
  <si>
    <t>PAREDE 1</t>
  </si>
  <si>
    <t>PAREDE 2</t>
  </si>
  <si>
    <t>PAREDE 3</t>
  </si>
  <si>
    <t>Expessura(m)</t>
  </si>
  <si>
    <t>Graute =</t>
  </si>
  <si>
    <t>*PPE1 (B=Área, H=Circunferencia)</t>
  </si>
  <si>
    <t>*PPE2 (B=Área, H=Circunferencia)</t>
  </si>
  <si>
    <t>*PPE3 (B=Área, H=Circunferencia)</t>
  </si>
  <si>
    <t>*PPE4 (B=Área, H=Circunferencia)</t>
  </si>
  <si>
    <t>*PPE5 (B=Área, H=Circunferencia)</t>
  </si>
  <si>
    <t>PP1 à PP4 (90X90)</t>
  </si>
  <si>
    <t>Fornecimento, transporte, lançamento, adensamento, acabamento e cura - Graute</t>
  </si>
  <si>
    <t>Graute  (enchimento)</t>
  </si>
  <si>
    <t>Bloco estrutural =</t>
  </si>
  <si>
    <t>PONTES DE EMBARQUE</t>
  </si>
  <si>
    <t>O QUANTITATIVO  A SEGUIR SE REFERE AOS SEGUINTES DESENHOS - FL.01/302.13/05350 e FL.01/302.13/05351</t>
  </si>
  <si>
    <t>PILARETE (DET.2)</t>
  </si>
  <si>
    <t>Disponível no desenho FL.01/302.13/05350</t>
  </si>
  <si>
    <t>Disponível no desenho FL.01/302.13/05351</t>
  </si>
  <si>
    <t>Armação - Estacas - Pontes de Embarque</t>
  </si>
  <si>
    <t>Armação - Estacas - Passarelas e COA</t>
  </si>
  <si>
    <r>
      <rPr>
        <b/>
        <sz val="10"/>
        <rFont val="Arial"/>
        <family val="2"/>
      </rPr>
      <t xml:space="preserve">OBRA/SERVIÇO: </t>
    </r>
    <r>
      <rPr>
        <sz val="10"/>
        <rFont val="Arial"/>
        <family val="2"/>
      </rPr>
      <t xml:space="preserve"> CONTRATAÇÃO DOS SERVIÇOS TÉCNICOS ESPECIALIZADOS DE ELABORAÇÃO DOS PROJETOS DE ENGENHARIA  PARA O AEROPORTO INTERNACIONAL DE FLORIANÓPOLIS</t>
    </r>
  </si>
  <si>
    <t>RLM</t>
  </si>
  <si>
    <t>04.03.320.01</t>
  </si>
  <si>
    <t>04.03.360</t>
  </si>
  <si>
    <t>04.03.360.01</t>
  </si>
  <si>
    <t>VIGAS BALDRAME  - 20x215 (MURO) - VB24/VB26/VB29</t>
  </si>
  <si>
    <t>PLACAS</t>
  </si>
  <si>
    <t>PL1</t>
  </si>
  <si>
    <t>PL2</t>
  </si>
  <si>
    <t>TOTAL - PONTES DE EMBARQUE</t>
  </si>
  <si>
    <t>TOTAL - COBERTURA DAS LOJAS</t>
  </si>
  <si>
    <t>RESUMO - COA</t>
  </si>
  <si>
    <t>PTC1(40X40)</t>
  </si>
  <si>
    <t>PL3</t>
  </si>
  <si>
    <t>PL4</t>
  </si>
  <si>
    <t>FL.01/301.01/04840/01- PASSARELA EIXOS 24 A 25</t>
  </si>
  <si>
    <t>PL5</t>
  </si>
  <si>
    <t>PL6</t>
  </si>
  <si>
    <t>VER ANEXO D</t>
  </si>
  <si>
    <t>VIGA BALDRAME (VB1 a VB8) - 20x45</t>
  </si>
  <si>
    <t>ANEXO D</t>
  </si>
  <si>
    <t>4.4. EPAR</t>
  </si>
  <si>
    <t>L2</t>
  </si>
  <si>
    <t>VC1 (20x90)</t>
  </si>
  <si>
    <t>VC2 (20x70)</t>
  </si>
  <si>
    <t>VC2 (20x20)</t>
  </si>
  <si>
    <t>VC3 (20x45)</t>
  </si>
  <si>
    <t>VC3 (20x20)</t>
  </si>
  <si>
    <t>VC4 (20x45)</t>
  </si>
  <si>
    <t>VC4 (20x20)</t>
  </si>
  <si>
    <t>VC5 (20x70)</t>
  </si>
  <si>
    <t>VC5 (20X20)</t>
  </si>
  <si>
    <t>VC6 (20X90)</t>
  </si>
  <si>
    <t>VC7 (20x90)</t>
  </si>
  <si>
    <t>VC8 (20x70)</t>
  </si>
  <si>
    <t>VC9 (20x70)</t>
  </si>
  <si>
    <t>VC10 (20x90)</t>
  </si>
  <si>
    <t>P1 (20x30)</t>
  </si>
  <si>
    <t>P2 (20x30)</t>
  </si>
  <si>
    <t>P3 (20x30)</t>
  </si>
  <si>
    <t>P4 (20x30)</t>
  </si>
  <si>
    <t>P5 (20x30)</t>
  </si>
  <si>
    <t>P6 (20x30)</t>
  </si>
  <si>
    <t>P7 (20x30)</t>
  </si>
  <si>
    <t>P8 (20x30)</t>
  </si>
  <si>
    <t>C.Magro (m³)</t>
  </si>
  <si>
    <t xml:space="preserve">Junta de Encontro = </t>
  </si>
  <si>
    <t>Armação - Lajes da cobertura e do piso</t>
  </si>
  <si>
    <t>Armação - Blocos, pilares e vigas baldrames</t>
  </si>
  <si>
    <t>Armação - Vigas da cobertura</t>
  </si>
  <si>
    <t>Lajes</t>
  </si>
  <si>
    <t>A1 (m)</t>
  </si>
  <si>
    <t xml:space="preserve">A2 (m) </t>
  </si>
  <si>
    <t>Lastro (m³)</t>
  </si>
  <si>
    <t>LF1</t>
  </si>
  <si>
    <t>Lastro=</t>
  </si>
  <si>
    <t xml:space="preserve">LT1 </t>
  </si>
  <si>
    <t>Armação - Paredes e lajes</t>
  </si>
  <si>
    <t>Base</t>
  </si>
  <si>
    <t>Base 1</t>
  </si>
  <si>
    <t>Armação - Base 1</t>
  </si>
  <si>
    <t>Laje nível +4,45</t>
  </si>
  <si>
    <t>Placas PL1</t>
  </si>
  <si>
    <t>Base B1</t>
  </si>
  <si>
    <t>Base B2</t>
  </si>
  <si>
    <t>Armação - Lajes, paredes, bases e placas</t>
  </si>
  <si>
    <t>Aço CA-25 =</t>
  </si>
  <si>
    <t>Laje nível -1,00</t>
  </si>
  <si>
    <t>enchimento Laje nível -1,00</t>
  </si>
  <si>
    <t>FURO</t>
  </si>
  <si>
    <t>ÁREA (m²)</t>
  </si>
  <si>
    <t>PAR.1</t>
  </si>
  <si>
    <t>PAR.4</t>
  </si>
  <si>
    <t>Vigas Baldrames 30x50</t>
  </si>
  <si>
    <t>BL.1 ( PARA PILARES 30x30 )</t>
  </si>
  <si>
    <t>BL.2 ( PARA PILARES 30x30 )</t>
  </si>
  <si>
    <t>P1</t>
  </si>
  <si>
    <t>P2</t>
  </si>
  <si>
    <t>P3</t>
  </si>
  <si>
    <t>P4</t>
  </si>
  <si>
    <t>P5</t>
  </si>
  <si>
    <t>P6</t>
  </si>
  <si>
    <t>A1 (m²)</t>
  </si>
  <si>
    <t>A2 (m²)</t>
  </si>
  <si>
    <t>Lajes LF3 A LF6</t>
  </si>
  <si>
    <t>LF1,LF2; LF7 A LF9</t>
  </si>
  <si>
    <t>L2, L4, L5,L7</t>
  </si>
  <si>
    <t>L3,L6</t>
  </si>
  <si>
    <t>L101</t>
  </si>
  <si>
    <t>L102</t>
  </si>
  <si>
    <t>L103</t>
  </si>
  <si>
    <t>L104</t>
  </si>
  <si>
    <t>L201</t>
  </si>
  <si>
    <t>L202</t>
  </si>
  <si>
    <t>L203</t>
  </si>
  <si>
    <t>L204</t>
  </si>
  <si>
    <t>L205</t>
  </si>
  <si>
    <t>L206</t>
  </si>
  <si>
    <t>LE101</t>
  </si>
  <si>
    <t>ESCADA ENCHIMENTO</t>
  </si>
  <si>
    <t>PAR6</t>
  </si>
  <si>
    <t>PAR7</t>
  </si>
  <si>
    <t>PAR8</t>
  </si>
  <si>
    <t>PAR9</t>
  </si>
  <si>
    <t>PAR10</t>
  </si>
  <si>
    <t>PAR11</t>
  </si>
  <si>
    <t>PAR12</t>
  </si>
  <si>
    <t>PAR13,14,19,20,22,23,28,29</t>
  </si>
  <si>
    <t>PAR15,21,24,30</t>
  </si>
  <si>
    <t>PAR16,17,25,26</t>
  </si>
  <si>
    <t>PAR18,,27</t>
  </si>
  <si>
    <t>PAR30,31</t>
  </si>
  <si>
    <t>PAR32</t>
  </si>
  <si>
    <t>Armação - Vigas e lajes nível +9,85</t>
  </si>
  <si>
    <t>Armação - Blocos, pilares, vigas e laje da fundação</t>
  </si>
  <si>
    <t>ESTACAS</t>
  </si>
  <si>
    <t>Comp. Unitário (m)</t>
  </si>
  <si>
    <t>Comp. Total (m)</t>
  </si>
  <si>
    <r>
      <t xml:space="preserve">Estaca tipo Hélice Contínua </t>
    </r>
    <r>
      <rPr>
        <sz val="9"/>
        <rFont val="Symbol"/>
        <family val="1"/>
        <charset val="2"/>
      </rPr>
      <t>f30</t>
    </r>
    <r>
      <rPr>
        <sz val="9"/>
        <rFont val="Arial"/>
        <family val="2"/>
      </rPr>
      <t>cm</t>
    </r>
  </si>
  <si>
    <r>
      <t xml:space="preserve">Estaca tipo Hélice Contínua </t>
    </r>
    <r>
      <rPr>
        <sz val="9"/>
        <rFont val="Symbol"/>
        <family val="1"/>
        <charset val="2"/>
      </rPr>
      <t>f25</t>
    </r>
    <r>
      <rPr>
        <sz val="9"/>
        <rFont val="Arial"/>
        <family val="2"/>
      </rPr>
      <t>cm</t>
    </r>
  </si>
  <si>
    <r>
      <t xml:space="preserve">Estaca tipo Hélice Contínua </t>
    </r>
    <r>
      <rPr>
        <sz val="9"/>
        <rFont val="Symbol"/>
        <family val="1"/>
        <charset val="2"/>
      </rPr>
      <t>f35</t>
    </r>
    <r>
      <rPr>
        <sz val="9"/>
        <rFont val="Arial"/>
        <family val="2"/>
      </rPr>
      <t>cm</t>
    </r>
  </si>
  <si>
    <t>LF2</t>
  </si>
  <si>
    <t>enchimento LF2</t>
  </si>
  <si>
    <t>LS7</t>
  </si>
  <si>
    <t>LS8</t>
  </si>
  <si>
    <t>Armação - Lajes e paredes</t>
  </si>
  <si>
    <t>Laje NÍVEL +4,80</t>
  </si>
  <si>
    <t>Vigas Baldrames 20x50</t>
  </si>
  <si>
    <t>BL.1 ( PARA PILARES 20x20 )</t>
  </si>
  <si>
    <t xml:space="preserve">Área </t>
  </si>
  <si>
    <t>Lajes da Cobertura</t>
  </si>
  <si>
    <t>Lajes nivel +5,15</t>
  </si>
  <si>
    <t>base h=15</t>
  </si>
  <si>
    <t>VC.1</t>
  </si>
  <si>
    <t>VC.2</t>
  </si>
  <si>
    <t>VC.3</t>
  </si>
  <si>
    <t>VC.4</t>
  </si>
  <si>
    <t>VC.5</t>
  </si>
  <si>
    <t>Armação - Blocos, pilares e vigas da fundação</t>
  </si>
  <si>
    <t>Armação - Vigas nível +8,65 e lajes nível +5,15, +5,30, e +8,65</t>
  </si>
  <si>
    <t>D</t>
  </si>
  <si>
    <t>PISO 1 a 25</t>
  </si>
  <si>
    <t>PAR4 (25x175)</t>
  </si>
  <si>
    <t>PAR5 (25x175)</t>
  </si>
  <si>
    <t>Enchimento LF1</t>
  </si>
  <si>
    <t>5.4. EPAR</t>
  </si>
  <si>
    <t>EPAR</t>
  </si>
  <si>
    <t>Fornecimento, Dobra e Montagem de Aço CA-25</t>
  </si>
  <si>
    <t>04.03.120.03</t>
  </si>
  <si>
    <r>
      <t xml:space="preserve">Hélice contínua </t>
    </r>
    <r>
      <rPr>
        <sz val="10"/>
        <color theme="1"/>
        <rFont val="Calibri"/>
        <family val="2"/>
      </rPr>
      <t>Ø</t>
    </r>
    <r>
      <rPr>
        <sz val="8.1999999999999993"/>
        <color theme="1"/>
        <rFont val="Arial"/>
        <family val="2"/>
      </rPr>
      <t>350</t>
    </r>
  </si>
  <si>
    <t>h=35</t>
  </si>
  <si>
    <t>Disponível no desenho FL.11/302.13/05782</t>
  </si>
  <si>
    <t>Disponível no desenho FL.11/302.13/05780</t>
  </si>
  <si>
    <t>Disponível no desenho FL.11/302.13/05781</t>
  </si>
  <si>
    <t>Disponível no desenho FL.11/302.13/05784</t>
  </si>
  <si>
    <t>Disponível no desenho FL.11/302.13/05785</t>
  </si>
  <si>
    <t>Disponível no desenho FL.11/302.13/05786</t>
  </si>
  <si>
    <t>Disponível no desenho FL.11/302.13/05787</t>
  </si>
  <si>
    <t>Disponível no desenho FL.11/302.13/05789</t>
  </si>
  <si>
    <t>Disponível no desenho FL.11/302.13/05791</t>
  </si>
  <si>
    <t>Disponível no desenho FL.11/302.13/05793</t>
  </si>
  <si>
    <t>Disponível no desenho FL.11/302.13/05795</t>
  </si>
  <si>
    <t>Disponível no desenho FL.11/302.13/05800</t>
  </si>
  <si>
    <t>Disponível no desenho FL.11/302.13/05805</t>
  </si>
  <si>
    <t>Disponível no desenho FL.11/302.13/05810</t>
  </si>
  <si>
    <t>Disponível no desenho FL.11/302.13/05811</t>
  </si>
  <si>
    <t>Disponível no desenho FL.11/302.13/05812</t>
  </si>
  <si>
    <t>Armação - Paredes e Lajes</t>
  </si>
  <si>
    <t>Disponível no desenho FL.11/302.13/05816</t>
  </si>
  <si>
    <t>Disponível no desenho FL.11/302.13/05817</t>
  </si>
  <si>
    <t>VIGAS BALDRAME - 30x50</t>
  </si>
  <si>
    <t>L305</t>
  </si>
  <si>
    <t>L306</t>
  </si>
  <si>
    <t>L326</t>
  </si>
  <si>
    <t>L327</t>
  </si>
  <si>
    <t>L330</t>
  </si>
  <si>
    <t>L333</t>
  </si>
  <si>
    <t>FUROS</t>
  </si>
  <si>
    <t>BASE 1 - 800x300x50</t>
  </si>
  <si>
    <t>BASE 1 - 640x280x40</t>
  </si>
  <si>
    <t>TANQUES</t>
  </si>
  <si>
    <t>BASE 1 - 160x220x40 + BASE 2 - 220x220x60</t>
  </si>
  <si>
    <t>TANQUE DE AERAÇÃO - CAIXA SEPERADORA DE ESCUMA</t>
  </si>
  <si>
    <t>A3=</t>
  </si>
  <si>
    <t>F1=</t>
  </si>
  <si>
    <t>A.BASE=</t>
  </si>
  <si>
    <t>L.A.BASE=</t>
  </si>
  <si>
    <t>L.B.BASE=</t>
  </si>
  <si>
    <t>L.A.TOPO=</t>
  </si>
  <si>
    <t>L.B.TOPO=</t>
  </si>
  <si>
    <t>A.TOPO=</t>
  </si>
  <si>
    <t>TAN.ANG.</t>
  </si>
  <si>
    <t>VOL.ESC =</t>
  </si>
  <si>
    <t>ESCAVAÇÃO/REATERRO</t>
  </si>
  <si>
    <t>VOL.CAIXA.ENT. =</t>
  </si>
  <si>
    <t>A.REG. =</t>
  </si>
  <si>
    <t>TANQUE</t>
  </si>
  <si>
    <t>Prova de Carga Estática p/ Estaca tipo Hélice Contínua c/ diâmetro de 600 mm</t>
  </si>
  <si>
    <t>Estaca tipo Hélice Contínua c/ diâmetro de 600 mm</t>
  </si>
  <si>
    <t xml:space="preserve">       Desenho Esquemático</t>
  </si>
  <si>
    <t>GRAUTE</t>
  </si>
  <si>
    <r>
      <t>graute (m</t>
    </r>
    <r>
      <rPr>
        <vertAlign val="superscript"/>
        <sz val="10"/>
        <color indexed="10"/>
        <rFont val="Arial"/>
        <family val="2"/>
      </rPr>
      <t>3</t>
    </r>
    <r>
      <rPr>
        <sz val="10"/>
        <color indexed="10"/>
        <rFont val="Arial"/>
        <family val="2"/>
      </rPr>
      <t>)</t>
    </r>
  </si>
  <si>
    <t>Enchimento</t>
  </si>
  <si>
    <r>
      <t xml:space="preserve">Estaca tipo Hélice Contínua  </t>
    </r>
    <r>
      <rPr>
        <sz val="9"/>
        <rFont val="Symbol"/>
        <family val="1"/>
        <charset val="2"/>
      </rPr>
      <t>f60</t>
    </r>
    <r>
      <rPr>
        <sz val="9"/>
        <rFont val="Arial"/>
        <family val="2"/>
      </rPr>
      <t>cm</t>
    </r>
  </si>
  <si>
    <t>VPO.1, VPO.4 E VPO.5</t>
  </si>
  <si>
    <t>VPO.3 E VPO.6 (25x60)</t>
  </si>
  <si>
    <t>VPO.2, VPO.3 E VPO.6 (25x70)</t>
  </si>
  <si>
    <t>LF1 a LF11</t>
  </si>
  <si>
    <t>ENCHIMENTO</t>
  </si>
  <si>
    <t>Conc. Magro (m3)</t>
  </si>
  <si>
    <t>ESCADA (DEGRAUS)</t>
  </si>
  <si>
    <t>LAJE DA COBERTURA</t>
  </si>
  <si>
    <t xml:space="preserve">VIGAS TAMPÕES </t>
  </si>
  <si>
    <t>Armação - Laje Fundo, Baldrames, Vigas do Poço e Pilares</t>
  </si>
  <si>
    <t>piso 127 a 130</t>
  </si>
  <si>
    <t>piso 132 a 140</t>
  </si>
  <si>
    <t>piso 141 a 149</t>
  </si>
  <si>
    <t>piso 150 a 158</t>
  </si>
  <si>
    <t>piso 159 a 167</t>
  </si>
  <si>
    <t>piso 168 a 176</t>
  </si>
  <si>
    <t>nível +9,55</t>
  </si>
  <si>
    <t>nível +13,20</t>
  </si>
  <si>
    <t>nível +28,65</t>
  </si>
  <si>
    <t>nível +32,20</t>
  </si>
  <si>
    <t>LAJES DA COBERTURA</t>
  </si>
  <si>
    <t>VIGAS DAS ABERTURAS</t>
  </si>
  <si>
    <t>VB2, VB3 e VB5 - 25x60</t>
  </si>
  <si>
    <t>VB4 - 25x70</t>
  </si>
  <si>
    <t>BL.1 ( PARA PILAR P3)</t>
  </si>
  <si>
    <t>BL.1 ( PARA PILAR P4)</t>
  </si>
  <si>
    <t>BL.2 ( PARA PILAR P9)</t>
  </si>
  <si>
    <t>BL.2 ( PARA PILAR P10)</t>
  </si>
  <si>
    <t>Armação - Piso e Bases</t>
  </si>
  <si>
    <t>Aço CA-50 (Bases) =</t>
  </si>
  <si>
    <t>* Foi considerado um trecho de 1,18m de parede na infraestrutura.</t>
  </si>
  <si>
    <t>* Foi considerado um trecho de 1,10m de parede na infraestrutura.</t>
  </si>
  <si>
    <t>VIGAS BALDRAME - 20x122,6</t>
  </si>
  <si>
    <t>VIGAS BALDRAME - 20x250</t>
  </si>
  <si>
    <t>VIGAS BALDRAME - 25x210</t>
  </si>
  <si>
    <t>V156(semi-invertida)</t>
  </si>
  <si>
    <t>VFA329/VFA330</t>
  </si>
  <si>
    <t>FL .06/302.13/04580 FORMAS - ESCADAS E1 e E2 - PLANTAS E CORTES</t>
  </si>
  <si>
    <t>FL .06/302.13/04581 FORMAS - ESCADAS E3 e E4 - PLANTAS E CORTES</t>
  </si>
  <si>
    <t>FL .06/302.13/04583 FORMAS - ESCADA E5 - PLANTAS E CORTES</t>
  </si>
  <si>
    <t>FL .06/302.13/05461 FORMAS - ESCADA E6 - PLANTAS E CORTES</t>
  </si>
  <si>
    <t>FL .06/302.13/04582 FORMAS - ESCADAS E7 e E8 - PLANTAS E CORTES</t>
  </si>
  <si>
    <t>FL .06/302.13/04578 FORMAS - ESCADAS E9, E10 e E12 - PLANTAS E CORTES</t>
  </si>
  <si>
    <t>FL .06/302.13/04579 FORMAS - ESCADA E11 - PLANTAS E CORTES</t>
  </si>
  <si>
    <t>FL.01/302.13/05367, FL.01/302.13/05368 e FL.01/302.13/05370-COBERTURA DAS LOJAS</t>
  </si>
  <si>
    <t>FL.01/302.13/05350 e FL.01/302.13/05351-PONTES DE EMBARQUE</t>
  </si>
  <si>
    <t xml:space="preserve">FL.01/301.01/04842 - TERMINAL DE PASSAGEIROS - COA </t>
  </si>
  <si>
    <t xml:space="preserve">FL.01/301.01/04836- PASSARELA EIXOS 21 A 22 </t>
  </si>
  <si>
    <t>L1 (h=12)</t>
  </si>
  <si>
    <t>L2 (h=12)</t>
  </si>
  <si>
    <t>L3 (h=12)</t>
  </si>
  <si>
    <t>L4 (h=12)</t>
  </si>
  <si>
    <t>L5 (h=12)</t>
  </si>
  <si>
    <t>L6 (h=12)</t>
  </si>
  <si>
    <t>L7 (h=12)</t>
  </si>
  <si>
    <t>1</t>
  </si>
  <si>
    <t>ATENDENDO RAT.11-EG/0467/11</t>
  </si>
  <si>
    <t>BL.15 - TB = +4,40 (PARA PILARES 20x40)</t>
  </si>
  <si>
    <t>BL.15 - TB = +4,40 (PARA PILARES 20xVAR 75 a 32,4)</t>
  </si>
  <si>
    <r>
      <t xml:space="preserve">Estaca tipo Hélice Contínua  </t>
    </r>
    <r>
      <rPr>
        <sz val="9"/>
        <rFont val="Symbol"/>
        <family val="1"/>
        <charset val="2"/>
      </rPr>
      <t>f35</t>
    </r>
    <r>
      <rPr>
        <sz val="9"/>
        <rFont val="Arial"/>
        <family val="2"/>
      </rPr>
      <t>cm</t>
    </r>
  </si>
  <si>
    <r>
      <t xml:space="preserve">Estaca tipo Hélice Contínua  </t>
    </r>
    <r>
      <rPr>
        <sz val="9"/>
        <rFont val="Symbol"/>
        <family val="1"/>
        <charset val="2"/>
      </rPr>
      <t>f40</t>
    </r>
    <r>
      <rPr>
        <sz val="9"/>
        <rFont val="Arial"/>
        <family val="2"/>
      </rPr>
      <t>cm</t>
    </r>
  </si>
  <si>
    <r>
      <t xml:space="preserve">Estaca tipo Hélice Contínua  </t>
    </r>
    <r>
      <rPr>
        <sz val="9"/>
        <rFont val="Symbol"/>
        <family val="1"/>
        <charset val="2"/>
      </rPr>
      <t>f70</t>
    </r>
    <r>
      <rPr>
        <sz val="9"/>
        <rFont val="Arial"/>
        <family val="2"/>
      </rPr>
      <t>cm</t>
    </r>
  </si>
  <si>
    <t>Estaca tipo Hélice Contínua c/ diâmetro de 350 mm</t>
  </si>
  <si>
    <t>Estaca tipo Hélice Contínua c/ diâmetro de 400 mm</t>
  </si>
  <si>
    <t>Estaca tipo Hélice Contínua c/ diâmetro de 700 mm</t>
  </si>
  <si>
    <t>Preparo de Cabeças de Estacas com diâmetro de 700 mm</t>
  </si>
  <si>
    <t>04.02.170.05</t>
  </si>
  <si>
    <t>04.02.170.06</t>
  </si>
  <si>
    <t>Prova de Carga Estática p/ Estaca tipo Hélice Contínua  c/ diâmetro de 400 mm</t>
  </si>
  <si>
    <t>Prova de Carga Estática p/ Estaca tipo Hélice Contínua  c/ diâmetro de 700 mm</t>
  </si>
  <si>
    <t>Este quantitativo se refere ao trecho 2 (eixo 9 ao 18) folha FL.26/304.13/04561, FL.26/304.13/04562 e FL.26/304.13/04563 - 1º PAVIMENTO</t>
  </si>
  <si>
    <t>V334A</t>
  </si>
  <si>
    <t>V335A</t>
  </si>
  <si>
    <t xml:space="preserve">FL.17/304.13/04693 - EDIFICAÇÕES DE APOIO </t>
  </si>
  <si>
    <t>FL.27/304.13/04720 - CAG- CENTRAL DE ÁGUA GELADA - TORRES DE RESFRIAMENTO</t>
  </si>
  <si>
    <t>FL.27/304.13/04721 - CAG- CENTRAL DE ÁGUA GELADA - TQ DE TERMO ACUMULAÇÃO</t>
  </si>
  <si>
    <t xml:space="preserve">FL.26/304.13/04734 - CENTRAL DE UTILIDADES - MANUTENÇÃO </t>
  </si>
  <si>
    <t>FL.26/304.13/04738- CENTRAL DE UTILIDADES - REFEITÓRIO</t>
  </si>
  <si>
    <t>FL.26/304.13/04743- CENTRAL DE UTILIDADES - CAG/SUBESTAÇÃO</t>
  </si>
  <si>
    <t>FL.26/302.13/04751 - CENTRAL DE UTILIDADES - GUARITA</t>
  </si>
  <si>
    <t>FL.26/302.13/04753 - CENTRAL DE UTILIDADES - ACESSO PASSARELA TÉCNICA</t>
  </si>
  <si>
    <t>FL.26/304.13/04756 - CENTRAL DE UTILIDADES - OFICINA DE MANUTENÇÃO</t>
  </si>
  <si>
    <t>FL.26/304.13/04759- RESERVATÓRIO APOIADO DE ÁGUA POTÁVEL</t>
  </si>
  <si>
    <t>FL.26/304.13/04765 - RESERVATÓRIO DE ÁGUA - NORMAL E REUSO</t>
  </si>
  <si>
    <t>FL.06/304.13/04543 - TPS - PLANTA DE FUNDAÇÃO</t>
  </si>
  <si>
    <t>FL.11/302.13/05806 - EPAR - TRATAMENTO PRELIMINAR E TANQUES DE AERAÇÃO</t>
  </si>
  <si>
    <t>FL.11/304.16/05796 - EPAR - RESERVATÓRIOS DE ÁGUA DE REUSO E ÁGUAS PLUVIAIS</t>
  </si>
  <si>
    <t>FL.11/302.13/05786 - EPAR - ESTAÇÃO DE TRATAMENTO DE ÁGUA - BASE</t>
  </si>
  <si>
    <t>FL.11/302.13/05787 - EPAR - DESIDRATAÇÃO DE LODO-CENTRÍFUGAS - BASE</t>
  </si>
  <si>
    <t>FL.11/302.13/05788 - EPAR - SISTEMAS DE PRODUTOS QUÍMICOS - TANQUES</t>
  </si>
  <si>
    <t>FL.11/302.13/05790 - EPAR - CXA. SEPARADORA DE ESCUMA E TANQUE DE REC. DE LODO</t>
  </si>
  <si>
    <t>FL.11/302.13/05792 - EPAR - TANQUE DE EQUALIZAÇÃO DE LODO</t>
  </si>
  <si>
    <t>FL.11/302.13/05794 - EPAR - ESTAÇÃO ELEVATÓRIA DE ÁGUAS PLUVIAIS</t>
  </si>
  <si>
    <t>FL.11/302.13/05803 - EPAR - ESTAÇÃO ELEVATÓRIA DE ESGOTO BRUTO</t>
  </si>
  <si>
    <t>FL.11/302.13/05783 - EPAR - ABRIGO DOS SOPRADORES</t>
  </si>
  <si>
    <t>Disponível no desenho FL.11/302.13/05778</t>
  </si>
  <si>
    <t>Disponível no desenho FL.11/304.13/05796</t>
  </si>
  <si>
    <t>Disponível no desenho FL.11/304.13/05783</t>
  </si>
  <si>
    <t>FL.26/304.13/04738 - CENTRAL DE UTILIDADES - REFEITÓRIO</t>
  </si>
  <si>
    <t>FL.26/304.13/04743 - CENTRAL DE UTILIDADES - SUBESTAÇÃO</t>
  </si>
  <si>
    <t>FL.26/302.13/04753 - CUT - ACESSO PASSARELA TÉCNICA</t>
  </si>
  <si>
    <t xml:space="preserve">FL.26/304.13/04759 - RESERVATÓRIO APOIADO DE ÁGUA POTÁVEL </t>
  </si>
  <si>
    <t>FL.26/304.16/04543 - TERMINAL DE PASSAGEIROS</t>
  </si>
  <si>
    <t xml:space="preserve">FL.11/304.13/05778 - EDIFÍCIO DE OPERAÇÕES </t>
  </si>
  <si>
    <t>FL.11/302.13/05792 - TANQUE DE EQUALIZAÇÃO DE LODO</t>
  </si>
  <si>
    <t>FL.11/302.13/05786 - ESTAÇÃO DE TRATAMENTO DE ÁGUA - BASE</t>
  </si>
  <si>
    <t>FL.11/302.13/05790 - CAIXA SEPARADORA DE ESCUMA E TANQUE DE RECEBIMENTO DE LODO</t>
  </si>
  <si>
    <t>FL.11/302.13/05794 - ESTAÇÃO ELEVATÓRIA DE ÁGUAS PLUVIAIS</t>
  </si>
  <si>
    <t>FL.11/304.13/05806 - TRATAMENTO PRELIMINAR E TANQUES DE AERAÇÃO</t>
  </si>
  <si>
    <t>FL.11/304.13/05796 - RESERVATÓRIOS DE ÁGUA  DE REUSO E ÁGUAS PLUVIAIS</t>
  </si>
  <si>
    <t>FL.11/302.13/05788 - SISTEMA DE PRODUTOS QUÍMICOS - TANQUES</t>
  </si>
  <si>
    <t>FL.11/302.13/05787 - DESIDRATAÇÃO DE LODO - CENTRÍFUGAS</t>
  </si>
  <si>
    <t>FL.11/302.13/05783 - ABRIGO DOS SOPRADORES</t>
  </si>
  <si>
    <t xml:space="preserve">FL.17/304.13/04693- EDIFICAÇÕES DE APOIO </t>
  </si>
  <si>
    <t>Este quantitativo se refere ao trecho 1(eixo 1 ao 9) folha FL.26/304.13/04560, FL.26/304.13/04561 - 1º PAVIMENTO</t>
  </si>
  <si>
    <t>Este quantitativo se refere ao trecho 1(eixo 1 ao 9) folha FL.26/302.13/04568, FL.26/302.13/04569 2º pavimento</t>
  </si>
  <si>
    <t>Este quantitativo se refere ao trecho 1(eixo 1 ao 9) folha FL.26/302.13/04573, FL.26/302.13/04572 Galeria técnica e Cobertura</t>
  </si>
  <si>
    <t>Este quantitativo se refere ao trecho 2 (eixo 9 ao 18) folha FL.26/302.13/04569, FL.26/302.13/04570  e FL.26/302.13/04571 - 2º pavimento</t>
  </si>
  <si>
    <t>Este quantitativo se refere ao trecho 2 (eixo 9 ao 18) folha FL.26/302.13/04573,  FL.26/302.13/04574 e FL.26/302.13/04575 - Galeria técnica.</t>
  </si>
  <si>
    <t>Este quantitativo se refere ao trecho 3 (eixo 18 ao 21) folha FL.26/304.13/04563 - 1º Pavimento</t>
  </si>
  <si>
    <t>Este quantitativo se refere ao trecho 3 (eixo 18 ao 21) folha FL.26/302.13/04571 2º pavimento</t>
  </si>
  <si>
    <t>Este quantitativo se refere ao trecho 3 (eixo 18 ao 21) folha FL.26/302.13/04575 Galeria técnica.</t>
  </si>
  <si>
    <t>2</t>
  </si>
  <si>
    <t>Este quantitativo se refere ao seguinte desenho: FL.26/302.13/04739</t>
  </si>
  <si>
    <t>Prova de Carga Estática p/ Estaca Hélice Contínua c/ diâmetro de 600 mm</t>
  </si>
  <si>
    <t>Estaca Hélice Contínua com diâmetro de 600 mm</t>
  </si>
  <si>
    <t>FL.17/302.13/05743 - CENTRAL DE UTILIDADES - GUARITA - ESTACIONAMENTO</t>
  </si>
  <si>
    <t>FL.11/304.13/05778 - EPAR - EDIFÍCIO DE OPERAÇÕES</t>
  </si>
  <si>
    <t>Disponível no desenho FL.17/302.13/05744</t>
  </si>
  <si>
    <t>4.2. CENTRAL DE UTILIDADES</t>
  </si>
  <si>
    <t>Alvenaria com Blocos Estruturais (Fornecimento e Execução) - Item 3.16 da ET: FL.01/302.92/04538</t>
  </si>
  <si>
    <t>Alvenaria com Bloco Estrutural, Fornecimento, transporte e execução</t>
  </si>
  <si>
    <t>Alvenaria Blocos Estruturais (m2)</t>
  </si>
  <si>
    <t>Alvenaria Blocos Estruturais =</t>
  </si>
  <si>
    <t>PAR4 (25x547)</t>
  </si>
  <si>
    <t>PAR5 (25x547)</t>
  </si>
  <si>
    <t>LT1</t>
  </si>
  <si>
    <t>LT2</t>
  </si>
  <si>
    <t>FL.11/302.13/05803 - EPAR - ESTAÇÃO ELEVATÓRIA DE RETORNO</t>
  </si>
  <si>
    <t>FL.11/302.13/05803 - EPAR - MEDIDOR DE VAZÃO</t>
  </si>
  <si>
    <t>FL.11/302.13/05803 - EPAR - CAIXA DE DESCARGA</t>
  </si>
  <si>
    <t>FL.11/302.13/05803 - EPAR - ESTAÇÃO ELEVATÓRIA DE ESGOTO BRUTO, ESTAÇÃO ELEVATÓRIA DE RETORNO, MEDIDOR DE VAZÃO E CX DE DESCARGA</t>
  </si>
  <si>
    <t>PAR1 (20x275)</t>
  </si>
  <si>
    <t>PAR1 (20x287)</t>
  </si>
  <si>
    <t>PAR3 (20x287)</t>
  </si>
  <si>
    <t xml:space="preserve">PAR4 </t>
  </si>
  <si>
    <t>PAR3 (20x275)</t>
  </si>
  <si>
    <t>Enchimento LT</t>
  </si>
  <si>
    <t>Disponível no desenho FL.11/302.13/05804</t>
  </si>
  <si>
    <t>PAR.6</t>
  </si>
  <si>
    <t>Bloco de ancoragem</t>
  </si>
  <si>
    <t>ENCHIMENTO CONCRETO MAGRO</t>
  </si>
  <si>
    <t>ENCHIMENTO ARGILA EXPANDIDA</t>
  </si>
  <si>
    <t>3. Prova de carga estática: 1% do total das estacas em cada área com mínimo de 1 unidade. Para o caso específico do TPS, considerou-se o mínimo de 8 unidades.</t>
  </si>
  <si>
    <t>VIGAS DA RAMPa DE ACESSO</t>
  </si>
  <si>
    <t>Armação - RaMPas e Escada de Acesso 2/3</t>
  </si>
  <si>
    <t>Armação - RaMPas e Escada de Acesso 3/3</t>
  </si>
  <si>
    <r>
      <rPr>
        <sz val="9"/>
        <rFont val="Symbol"/>
        <family val="1"/>
        <charset val="2"/>
      </rPr>
      <t xml:space="preserve"> f</t>
    </r>
    <r>
      <rPr>
        <sz val="9"/>
        <rFont val="Arial"/>
        <family val="2"/>
      </rPr>
      <t>25cm</t>
    </r>
  </si>
  <si>
    <r>
      <rPr>
        <sz val="9"/>
        <rFont val="Symbol"/>
        <family val="1"/>
        <charset val="2"/>
      </rPr>
      <t xml:space="preserve"> f</t>
    </r>
    <r>
      <rPr>
        <sz val="9"/>
        <rFont val="Arial"/>
        <family val="2"/>
      </rPr>
      <t>40cm</t>
    </r>
  </si>
  <si>
    <r>
      <rPr>
        <sz val="9"/>
        <rFont val="Symbol"/>
        <family val="1"/>
        <charset val="2"/>
      </rPr>
      <t>f</t>
    </r>
    <r>
      <rPr>
        <sz val="9"/>
        <rFont val="Arial"/>
        <family val="2"/>
      </rPr>
      <t>25</t>
    </r>
  </si>
  <si>
    <r>
      <rPr>
        <sz val="9"/>
        <rFont val="Symbol"/>
        <family val="1"/>
        <charset val="2"/>
      </rPr>
      <t>f</t>
    </r>
    <r>
      <rPr>
        <sz val="9"/>
        <rFont val="Arial"/>
        <family val="2"/>
      </rPr>
      <t>35</t>
    </r>
  </si>
  <si>
    <r>
      <t xml:space="preserve">Diâmetro da Estaca  </t>
    </r>
    <r>
      <rPr>
        <sz val="9"/>
        <rFont val="Symbol"/>
        <family val="1"/>
        <charset val="2"/>
      </rPr>
      <t>f60</t>
    </r>
    <r>
      <rPr>
        <sz val="9"/>
        <rFont val="Arial"/>
        <family val="2"/>
      </rPr>
      <t>cm</t>
    </r>
  </si>
  <si>
    <r>
      <t xml:space="preserve">Aço CA-50          </t>
    </r>
    <r>
      <rPr>
        <sz val="9"/>
        <rFont val="Symbol"/>
        <family val="1"/>
        <charset val="2"/>
      </rPr>
      <t xml:space="preserve"> f</t>
    </r>
    <r>
      <rPr>
        <sz val="9"/>
        <rFont val="Arial"/>
        <family val="2"/>
      </rPr>
      <t>35cm</t>
    </r>
  </si>
  <si>
    <r>
      <rPr>
        <sz val="9"/>
        <rFont val="Symbol"/>
        <family val="1"/>
        <charset val="2"/>
      </rPr>
      <t xml:space="preserve">                         f</t>
    </r>
    <r>
      <rPr>
        <sz val="9"/>
        <rFont val="Arial"/>
        <family val="2"/>
      </rPr>
      <t>40cm</t>
    </r>
  </si>
  <si>
    <r>
      <rPr>
        <sz val="9"/>
        <rFont val="Symbol"/>
        <family val="1"/>
        <charset val="2"/>
      </rPr>
      <t xml:space="preserve">                         f</t>
    </r>
    <r>
      <rPr>
        <sz val="9"/>
        <rFont val="Arial"/>
        <family val="2"/>
      </rPr>
      <t>60cm</t>
    </r>
  </si>
  <si>
    <r>
      <t xml:space="preserve">                                    </t>
    </r>
    <r>
      <rPr>
        <sz val="9"/>
        <rFont val="Symbol"/>
        <family val="1"/>
        <charset val="2"/>
      </rPr>
      <t xml:space="preserve"> f</t>
    </r>
    <r>
      <rPr>
        <sz val="9"/>
        <rFont val="Arial"/>
        <family val="2"/>
      </rPr>
      <t>70cm</t>
    </r>
  </si>
  <si>
    <t xml:space="preserve">Escoramento das formas = </t>
  </si>
  <si>
    <t>Escoramento das formas</t>
  </si>
  <si>
    <t>04.03.110.02</t>
  </si>
  <si>
    <t>Escoramento das formas =</t>
  </si>
  <si>
    <t>Estacas Moldadas no Local - Item 4.1 da ET: FL.01/302.92/04538</t>
  </si>
  <si>
    <t>Teste de Integridade da estaca (PIT) - Item 4.3 da ET: FL.01/302.92/04538</t>
  </si>
  <si>
    <t>Prova de carga estática - Item 4.2 da ET: FL.01/302.92/04538</t>
  </si>
  <si>
    <t>Estaca Tipo "Hélice Contínua", inclui mobilização de mão de obra e equipamentos, perfuração, fornecimento e aplicação de materiais (concreto e aço) - Item 4.1 da ET: FL.01/302.92/04538</t>
  </si>
  <si>
    <t>DFG</t>
  </si>
  <si>
    <t>ATENDENDO RAT.11-EG/0567/11</t>
  </si>
  <si>
    <r>
      <t xml:space="preserve">Aço CA-50                          </t>
    </r>
    <r>
      <rPr>
        <sz val="9"/>
        <rFont val="Symbol"/>
        <family val="1"/>
        <charset val="2"/>
      </rPr>
      <t>f</t>
    </r>
    <r>
      <rPr>
        <sz val="9"/>
        <rFont val="Arial"/>
        <family val="2"/>
      </rPr>
      <t>30</t>
    </r>
  </si>
  <si>
    <t>Fornecimento, transporte, lançamento, adensamento, acabamento e cura - lastro de concreto  Fck = 10 MPa</t>
  </si>
  <si>
    <t>Fornecimento, transporte, lançamento, adensamento, acabamento e cura - lastro de concreto  Fck &gt;= 10 MPa</t>
  </si>
  <si>
    <t>Escavação de blocos e baldrames - Anexo A  da ET: FL.01/302.92/04538</t>
  </si>
  <si>
    <t>Preparo de cabeças de estaca, inclusive arrasamento - Itens 4.1.4 da ET: FL.01/302.92/04538</t>
  </si>
  <si>
    <t>Área pedestal =</t>
  </si>
  <si>
    <t>Armação - Estacas - Postes de Iluminação</t>
  </si>
  <si>
    <t>Armação - Postes de Iluminação</t>
  </si>
  <si>
    <t>Disponível no desenho FL.01/304.13/06246</t>
  </si>
  <si>
    <t>O QUANTITATIVO  A SEGUIR SE REFERE AOS SEGUINTE DESENHO - FL.01/304.13/06246</t>
  </si>
  <si>
    <t>FL.01/304.13/06246 - BASES POSTES DE ILUMINAÇÃO</t>
  </si>
  <si>
    <t>04.02.230.03</t>
  </si>
  <si>
    <t>Fornecimento, Dobra e Montagem de Aço CA-50 (para estacas hélice contínua)</t>
  </si>
  <si>
    <t>Prova de Carga Estática p/ Estaca tipo Hélice Contínua  c/ diâmetro de 350 mm</t>
  </si>
  <si>
    <t>Disponível no desenho FL.11/304.16/05806</t>
  </si>
  <si>
    <t>FL.01/302.88/04539/02</t>
  </si>
  <si>
    <r>
      <t xml:space="preserve">Aço CA-50                   </t>
    </r>
    <r>
      <rPr>
        <sz val="9"/>
        <rFont val="Symbol"/>
        <family val="1"/>
        <charset val="2"/>
      </rPr>
      <t>f</t>
    </r>
    <r>
      <rPr>
        <sz val="9"/>
        <rFont val="Arial"/>
        <family val="2"/>
      </rPr>
      <t>35cm</t>
    </r>
  </si>
  <si>
    <t>Disponível no desenho FL.17/302.13/05743</t>
  </si>
  <si>
    <t>***</t>
  </si>
</sst>
</file>

<file path=xl/styles.xml><?xml version="1.0" encoding="utf-8"?>
<styleSheet xmlns="http://schemas.openxmlformats.org/spreadsheetml/2006/main">
  <numFmts count="9">
    <numFmt numFmtId="164" formatCode="_(* #,##0.00_);_(* \(#,##0.00\);_(* &quot;-&quot;??_);_(@_)"/>
    <numFmt numFmtId="165" formatCode="_([$€]* #,##0.00_);_([$€]* \(#,##0.00\);_([$€]* &quot;-&quot;??_);_(@_)"/>
    <numFmt numFmtId="166" formatCode="0.0"/>
    <numFmt numFmtId="167" formatCode="#,##0.0"/>
    <numFmt numFmtId="168" formatCode="dd/mm/yy;@"/>
    <numFmt numFmtId="169" formatCode="[$-F400]h:mm:ss\ AM/PM"/>
    <numFmt numFmtId="170" formatCode="0.0000"/>
    <numFmt numFmtId="171" formatCode="0.000"/>
    <numFmt numFmtId="172" formatCode="_(* #,##0_);_(* \(#,##0\);_(* &quot;-&quot;??_);_(@_)"/>
  </numFmts>
  <fonts count="78">
    <font>
      <sz val="10"/>
      <name val="Arial"/>
    </font>
    <font>
      <sz val="10"/>
      <name val="Arial"/>
      <family val="2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22"/>
      <name val="Arial"/>
      <family val="2"/>
    </font>
    <font>
      <sz val="11"/>
      <color indexed="22"/>
      <name val="Arial"/>
      <family val="2"/>
    </font>
    <font>
      <sz val="8"/>
      <color indexed="22"/>
      <name val="Arial"/>
      <family val="2"/>
    </font>
    <font>
      <b/>
      <sz val="10"/>
      <color indexed="22"/>
      <name val="Arial"/>
      <family val="2"/>
    </font>
    <font>
      <b/>
      <sz val="8"/>
      <color indexed="2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7"/>
      <name val="Arial"/>
      <family val="2"/>
    </font>
    <font>
      <sz val="6"/>
      <name val="Arial"/>
      <family val="2"/>
    </font>
    <font>
      <sz val="5"/>
      <name val="Arial"/>
      <family val="2"/>
    </font>
    <font>
      <b/>
      <sz val="2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18"/>
      <color indexed="22"/>
      <name val="Arial"/>
      <family val="2"/>
    </font>
    <font>
      <sz val="18"/>
      <color indexed="8"/>
      <name val="Arial"/>
      <family val="2"/>
    </font>
    <font>
      <sz val="7"/>
      <color rgb="FFFF0000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sz val="10"/>
      <color indexed="62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i/>
      <sz val="10"/>
      <name val="Arial"/>
      <family val="2"/>
    </font>
    <font>
      <u/>
      <sz val="18"/>
      <color indexed="8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b/>
      <sz val="10"/>
      <color indexed="62"/>
      <name val="Arial"/>
      <family val="2"/>
    </font>
    <font>
      <b/>
      <sz val="15"/>
      <name val="Arial"/>
      <family val="2"/>
    </font>
    <font>
      <sz val="10"/>
      <color indexed="10"/>
      <name val="Arial"/>
      <family val="2"/>
    </font>
    <font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vertAlign val="superscript"/>
      <sz val="12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vertAlign val="superscript"/>
      <sz val="12"/>
      <color indexed="9"/>
      <name val="Arial"/>
      <family val="2"/>
    </font>
    <font>
      <sz val="9"/>
      <name val="Symbol"/>
      <family val="1"/>
      <charset val="2"/>
    </font>
    <font>
      <sz val="12"/>
      <color rgb="FFFF0000"/>
      <name val="Arial"/>
      <family val="2"/>
    </font>
    <font>
      <vertAlign val="superscript"/>
      <sz val="12"/>
      <color indexed="10"/>
      <name val="Arial"/>
      <family val="2"/>
    </font>
    <font>
      <b/>
      <u/>
      <sz val="11"/>
      <name val="Arial"/>
      <family val="2"/>
    </font>
    <font>
      <vertAlign val="superscript"/>
      <sz val="11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sz val="12"/>
      <color theme="0"/>
      <name val="Times New Roman"/>
      <family val="1"/>
    </font>
    <font>
      <vertAlign val="superscript"/>
      <sz val="11"/>
      <color indexed="9"/>
      <name val="Arial"/>
      <family val="2"/>
    </font>
    <font>
      <sz val="18"/>
      <color theme="0"/>
      <name val="Arial"/>
      <family val="2"/>
    </font>
    <font>
      <sz val="12"/>
      <color rgb="FFFF0000"/>
      <name val="Times New Roman"/>
      <family val="1"/>
    </font>
    <font>
      <b/>
      <sz val="10"/>
      <color theme="0" tint="-4.9989318521683403E-2"/>
      <name val="Arial"/>
      <family val="2"/>
    </font>
    <font>
      <sz val="10"/>
      <name val="Calibri"/>
      <family val="2"/>
    </font>
    <font>
      <sz val="10"/>
      <color rgb="FF003399"/>
      <name val="Arial"/>
      <family val="2"/>
    </font>
    <font>
      <sz val="10"/>
      <color theme="1"/>
      <name val="Calibri"/>
      <family val="2"/>
    </font>
    <font>
      <sz val="8.1999999999999993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1" fillId="0" borderId="31"/>
    <xf numFmtId="0" fontId="11" fillId="0" borderId="0"/>
    <xf numFmtId="0" fontId="11" fillId="0" borderId="0"/>
    <xf numFmtId="164" fontId="6" fillId="0" borderId="0"/>
    <xf numFmtId="0" fontId="4" fillId="3" borderId="31" applyNumberFormat="0" applyFont="0" applyBorder="0" applyAlignment="0" applyProtection="0">
      <alignment horizontal="center"/>
    </xf>
    <xf numFmtId="0" fontId="2" fillId="0" borderId="44" applyNumberFormat="0" applyFont="0" applyBorder="0" applyAlignment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1355">
    <xf numFmtId="0" fontId="0" fillId="0" borderId="0" xfId="0"/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justify"/>
    </xf>
    <xf numFmtId="0" fontId="6" fillId="0" borderId="0" xfId="0" applyFont="1" applyFill="1" applyBorder="1" applyAlignment="1">
      <alignment horizontal="center"/>
    </xf>
    <xf numFmtId="4" fontId="6" fillId="0" borderId="0" xfId="0" applyNumberFormat="1" applyFont="1" applyFill="1" applyBorder="1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10" fillId="0" borderId="0" xfId="0" applyFont="1" applyFill="1"/>
    <xf numFmtId="0" fontId="6" fillId="0" borderId="0" xfId="0" applyFont="1" applyFill="1" applyBorder="1" applyAlignment="1">
      <alignment wrapText="1"/>
    </xf>
    <xf numFmtId="164" fontId="13" fillId="0" borderId="0" xfId="0" applyNumberFormat="1" applyFont="1" applyBorder="1" applyAlignment="1">
      <alignment vertical="top"/>
    </xf>
    <xf numFmtId="0" fontId="14" fillId="0" borderId="0" xfId="0" applyFont="1" applyFill="1" applyBorder="1" applyAlignment="1">
      <alignment wrapText="1"/>
    </xf>
    <xf numFmtId="0" fontId="12" fillId="0" borderId="0" xfId="0" applyFont="1" applyFill="1" applyAlignment="1">
      <alignment vertical="center"/>
    </xf>
    <xf numFmtId="0" fontId="14" fillId="0" borderId="0" xfId="0" applyFont="1" applyFill="1" applyBorder="1"/>
    <xf numFmtId="0" fontId="16" fillId="0" borderId="0" xfId="0" applyFont="1" applyFill="1" applyBorder="1"/>
    <xf numFmtId="0" fontId="15" fillId="0" borderId="0" xfId="0" applyFont="1" applyFill="1" applyBorder="1"/>
    <xf numFmtId="0" fontId="10" fillId="0" borderId="1" xfId="0" applyFont="1" applyFill="1" applyBorder="1" applyAlignment="1">
      <alignment horizontal="justify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 wrapText="1"/>
    </xf>
    <xf numFmtId="0" fontId="4" fillId="0" borderId="1" xfId="0" applyNumberFormat="1" applyFont="1" applyFill="1" applyBorder="1" applyAlignment="1">
      <alignment horizontal="justify" vertical="top" wrapText="1"/>
    </xf>
    <xf numFmtId="49" fontId="10" fillId="2" borderId="1" xfId="0" applyNumberFormat="1" applyFont="1" applyFill="1" applyBorder="1" applyAlignment="1">
      <alignment horizontal="center" vertical="top" wrapText="1"/>
    </xf>
    <xf numFmtId="0" fontId="0" fillId="0" borderId="2" xfId="0" applyBorder="1"/>
    <xf numFmtId="0" fontId="0" fillId="0" borderId="3" xfId="0" applyBorder="1"/>
    <xf numFmtId="0" fontId="10" fillId="0" borderId="4" xfId="0" applyFont="1" applyBorder="1"/>
    <xf numFmtId="49" fontId="10" fillId="0" borderId="5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49" fontId="6" fillId="0" borderId="7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0" fillId="0" borderId="10" xfId="0" applyBorder="1"/>
    <xf numFmtId="0" fontId="0" fillId="0" borderId="11" xfId="0" applyBorder="1"/>
    <xf numFmtId="49" fontId="6" fillId="0" borderId="3" xfId="0" applyNumberFormat="1" applyFont="1" applyBorder="1" applyAlignment="1">
      <alignment horizontal="left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9" xfId="0" applyBorder="1"/>
    <xf numFmtId="0" fontId="22" fillId="0" borderId="0" xfId="0" applyFont="1" applyBorder="1" applyAlignment="1">
      <alignment horizontal="left" vertical="center"/>
    </xf>
    <xf numFmtId="0" fontId="0" fillId="0" borderId="15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6" fillId="0" borderId="3" xfId="0" applyFont="1" applyBorder="1" applyAlignment="1">
      <alignment horizontal="left" vertical="center"/>
    </xf>
    <xf numFmtId="0" fontId="22" fillId="0" borderId="3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22" xfId="0" applyFont="1" applyBorder="1" applyAlignment="1">
      <alignment vertical="center"/>
    </xf>
    <xf numFmtId="0" fontId="0" fillId="0" borderId="23" xfId="0" applyBorder="1"/>
    <xf numFmtId="0" fontId="21" fillId="0" borderId="0" xfId="0" applyFont="1" applyFill="1" applyBorder="1" applyAlignment="1">
      <alignment horizontal="left" vertical="center"/>
    </xf>
    <xf numFmtId="0" fontId="0" fillId="0" borderId="9" xfId="0" applyFill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8" xfId="0" applyFill="1" applyBorder="1"/>
    <xf numFmtId="0" fontId="0" fillId="0" borderId="22" xfId="0" applyBorder="1"/>
    <xf numFmtId="0" fontId="19" fillId="0" borderId="0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27" xfId="0" applyBorder="1" applyAlignment="1"/>
    <xf numFmtId="0" fontId="0" fillId="0" borderId="8" xfId="0" applyBorder="1" applyAlignment="1"/>
    <xf numFmtId="0" fontId="0" fillId="0" borderId="28" xfId="0" applyBorder="1" applyAlignment="1"/>
    <xf numFmtId="0" fontId="8" fillId="0" borderId="0" xfId="0" applyFont="1" applyAlignment="1">
      <alignment horizontal="left"/>
    </xf>
    <xf numFmtId="0" fontId="10" fillId="0" borderId="9" xfId="0" applyFont="1" applyBorder="1"/>
    <xf numFmtId="0" fontId="10" fillId="0" borderId="0" xfId="0" applyFont="1" applyBorder="1"/>
    <xf numFmtId="0" fontId="6" fillId="0" borderId="0" xfId="0" applyFont="1"/>
    <xf numFmtId="49" fontId="6" fillId="0" borderId="3" xfId="0" applyNumberFormat="1" applyFont="1" applyFill="1" applyBorder="1" applyAlignment="1">
      <alignment horizontal="left" vertical="center"/>
    </xf>
    <xf numFmtId="49" fontId="20" fillId="0" borderId="29" xfId="0" applyNumberFormat="1" applyFont="1" applyBorder="1" applyAlignment="1">
      <alignment horizontal="left" vertical="center"/>
    </xf>
    <xf numFmtId="49" fontId="20" fillId="0" borderId="30" xfId="0" applyNumberFormat="1" applyFont="1" applyBorder="1" applyAlignment="1">
      <alignment horizontal="left" vertical="center"/>
    </xf>
    <xf numFmtId="14" fontId="20" fillId="0" borderId="29" xfId="0" applyNumberFormat="1" applyFont="1" applyBorder="1" applyAlignment="1">
      <alignment horizontal="left" vertical="center"/>
    </xf>
    <xf numFmtId="49" fontId="20" fillId="0" borderId="2" xfId="0" applyNumberFormat="1" applyFont="1" applyBorder="1" applyAlignment="1">
      <alignment horizontal="left" vertical="center"/>
    </xf>
    <xf numFmtId="0" fontId="20" fillId="0" borderId="30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Border="1"/>
    <xf numFmtId="0" fontId="6" fillId="0" borderId="2" xfId="0" applyFont="1" applyBorder="1"/>
    <xf numFmtId="0" fontId="6" fillId="0" borderId="3" xfId="0" applyFont="1" applyBorder="1"/>
    <xf numFmtId="0" fontId="30" fillId="0" borderId="8" xfId="0" applyFont="1" applyBorder="1" applyAlignment="1">
      <alignment vertical="center"/>
    </xf>
    <xf numFmtId="0" fontId="6" fillId="0" borderId="3" xfId="0" applyFont="1" applyBorder="1" applyAlignment="1">
      <alignment horizontal="right" vertical="center" indent="1"/>
    </xf>
    <xf numFmtId="0" fontId="6" fillId="0" borderId="12" xfId="0" applyFont="1" applyBorder="1" applyAlignment="1">
      <alignment horizontal="right" vertical="center" indent="1"/>
    </xf>
    <xf numFmtId="0" fontId="7" fillId="0" borderId="0" xfId="2" applyFont="1" applyFill="1" applyBorder="1" applyAlignment="1">
      <alignment horizontal="left"/>
    </xf>
    <xf numFmtId="0" fontId="6" fillId="0" borderId="0" xfId="2" applyFont="1" applyFill="1" applyBorder="1" applyAlignment="1">
      <alignment horizontal="center"/>
    </xf>
    <xf numFmtId="4" fontId="6" fillId="0" borderId="0" xfId="2" applyNumberFormat="1" applyFont="1" applyFill="1" applyBorder="1"/>
    <xf numFmtId="0" fontId="12" fillId="0" borderId="0" xfId="2" applyFont="1" applyBorder="1"/>
    <xf numFmtId="0" fontId="10" fillId="0" borderId="0" xfId="2"/>
    <xf numFmtId="0" fontId="6" fillId="0" borderId="0" xfId="2" applyFont="1" applyFill="1" applyBorder="1" applyAlignment="1">
      <alignment wrapText="1"/>
    </xf>
    <xf numFmtId="0" fontId="14" fillId="0" borderId="0" xfId="2" applyFont="1" applyFill="1" applyBorder="1" applyAlignment="1">
      <alignment wrapText="1"/>
    </xf>
    <xf numFmtId="4" fontId="12" fillId="0" borderId="0" xfId="2" applyNumberFormat="1" applyFont="1" applyBorder="1" applyAlignment="1">
      <alignment vertical="top"/>
    </xf>
    <xf numFmtId="4" fontId="12" fillId="0" borderId="0" xfId="6" applyNumberFormat="1" applyFont="1" applyFill="1" applyBorder="1" applyAlignment="1">
      <alignment horizontal="right" vertical="top" wrapText="1"/>
    </xf>
    <xf numFmtId="0" fontId="10" fillId="0" borderId="0" xfId="2" applyFont="1" applyFill="1"/>
    <xf numFmtId="0" fontId="18" fillId="0" borderId="0" xfId="2" applyFont="1" applyFill="1" applyBorder="1" applyAlignment="1">
      <alignment vertical="center" wrapText="1"/>
    </xf>
    <xf numFmtId="0" fontId="25" fillId="0" borderId="0" xfId="2" applyFont="1" applyFill="1" applyBorder="1" applyAlignment="1">
      <alignment vertical="center"/>
    </xf>
    <xf numFmtId="0" fontId="24" fillId="0" borderId="0" xfId="2" applyFont="1" applyFill="1" applyBorder="1" applyAlignment="1">
      <alignment horizontal="left"/>
    </xf>
    <xf numFmtId="0" fontId="25" fillId="0" borderId="0" xfId="2" applyFont="1" applyFill="1" applyBorder="1" applyAlignment="1">
      <alignment horizontal="center"/>
    </xf>
    <xf numFmtId="0" fontId="24" fillId="0" borderId="0" xfId="2" applyFont="1" applyFill="1" applyBorder="1" applyAlignment="1">
      <alignment horizontal="left" vertical="center"/>
    </xf>
    <xf numFmtId="4" fontId="12" fillId="0" borderId="0" xfId="6" applyNumberFormat="1" applyFont="1" applyFill="1" applyBorder="1" applyAlignment="1">
      <alignment horizontal="right" vertical="center" wrapText="1"/>
    </xf>
    <xf numFmtId="0" fontId="10" fillId="0" borderId="0" xfId="2" applyFont="1" applyFill="1" applyAlignment="1">
      <alignment vertical="center"/>
    </xf>
    <xf numFmtId="4" fontId="4" fillId="0" borderId="0" xfId="2" applyNumberFormat="1" applyFont="1" applyFill="1" applyBorder="1" applyAlignment="1">
      <alignment vertical="center"/>
    </xf>
    <xf numFmtId="4" fontId="6" fillId="0" borderId="0" xfId="2" applyNumberFormat="1" applyFont="1" applyFill="1" applyBorder="1" applyAlignment="1">
      <alignment vertical="center"/>
    </xf>
    <xf numFmtId="0" fontId="29" fillId="0" borderId="0" xfId="2" applyFont="1" applyFill="1" applyBorder="1" applyAlignment="1">
      <alignment horizontal="left"/>
    </xf>
    <xf numFmtId="0" fontId="26" fillId="0" borderId="0" xfId="2" applyFont="1" applyFill="1"/>
    <xf numFmtId="0" fontId="29" fillId="0" borderId="0" xfId="2" applyFont="1" applyFill="1" applyBorder="1" applyAlignment="1">
      <alignment horizontal="left" vertical="center"/>
    </xf>
    <xf numFmtId="0" fontId="26" fillId="0" borderId="0" xfId="2" applyFont="1" applyFill="1" applyBorder="1" applyAlignment="1">
      <alignment vertical="center" wrapText="1"/>
    </xf>
    <xf numFmtId="0" fontId="27" fillId="0" borderId="0" xfId="2" applyFont="1" applyFill="1" applyBorder="1" applyAlignment="1">
      <alignment vertical="center" wrapText="1"/>
    </xf>
    <xf numFmtId="0" fontId="27" fillId="0" borderId="0" xfId="2" applyFont="1" applyFill="1" applyBorder="1" applyAlignment="1">
      <alignment wrapText="1"/>
    </xf>
    <xf numFmtId="4" fontId="28" fillId="0" borderId="0" xfId="6" applyNumberFormat="1" applyFont="1" applyFill="1" applyBorder="1" applyAlignment="1">
      <alignment horizontal="right" vertical="top" wrapText="1"/>
    </xf>
    <xf numFmtId="0" fontId="26" fillId="0" borderId="0" xfId="2" applyFont="1" applyFill="1" applyBorder="1" applyAlignment="1">
      <alignment vertical="center"/>
    </xf>
    <xf numFmtId="0" fontId="26" fillId="0" borderId="0" xfId="2" applyFont="1" applyFill="1" applyBorder="1" applyAlignment="1">
      <alignment horizontal="center"/>
    </xf>
    <xf numFmtId="4" fontId="26" fillId="0" borderId="0" xfId="2" applyNumberFormat="1" applyFont="1" applyFill="1" applyBorder="1"/>
    <xf numFmtId="0" fontId="27" fillId="0" borderId="0" xfId="2" applyFont="1" applyFill="1" applyBorder="1" applyAlignment="1">
      <alignment horizontal="left" vertical="center" indent="3"/>
    </xf>
    <xf numFmtId="0" fontId="26" fillId="0" borderId="0" xfId="2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left" vertical="center" indent="7"/>
    </xf>
    <xf numFmtId="0" fontId="26" fillId="0" borderId="0" xfId="2" applyFont="1" applyFill="1" applyBorder="1" applyAlignment="1">
      <alignment horizontal="left" vertical="center" wrapText="1"/>
    </xf>
    <xf numFmtId="0" fontId="11" fillId="0" borderId="0" xfId="8" applyBorder="1"/>
    <xf numFmtId="0" fontId="31" fillId="0" borderId="0" xfId="9" applyFont="1" applyBorder="1"/>
    <xf numFmtId="0" fontId="11" fillId="0" borderId="10" xfId="8" applyBorder="1"/>
    <xf numFmtId="0" fontId="11" fillId="0" borderId="31" xfId="8"/>
    <xf numFmtId="0" fontId="11" fillId="0" borderId="9" xfId="8" applyBorder="1"/>
    <xf numFmtId="0" fontId="31" fillId="0" borderId="0" xfId="9" applyFont="1"/>
    <xf numFmtId="0" fontId="29" fillId="0" borderId="0" xfId="2" quotePrefix="1" applyFont="1" applyFill="1" applyBorder="1" applyAlignment="1">
      <alignment horizontal="left" vertical="center"/>
    </xf>
    <xf numFmtId="0" fontId="27" fillId="0" borderId="0" xfId="2" applyFont="1" applyFill="1" applyBorder="1" applyAlignment="1">
      <alignment vertical="center"/>
    </xf>
    <xf numFmtId="0" fontId="10" fillId="0" borderId="0" xfId="0" quotePrefix="1" applyFont="1" applyFill="1" applyBorder="1" applyAlignment="1">
      <alignment horizontal="justify" vertical="center" wrapText="1"/>
    </xf>
    <xf numFmtId="49" fontId="17" fillId="0" borderId="34" xfId="0" applyNumberFormat="1" applyFont="1" applyFill="1" applyBorder="1" applyAlignment="1">
      <alignment horizontal="center" vertical="center" wrapText="1"/>
    </xf>
    <xf numFmtId="0" fontId="10" fillId="0" borderId="0" xfId="2" applyFont="1" applyFill="1" applyBorder="1"/>
    <xf numFmtId="0" fontId="10" fillId="0" borderId="0" xfId="2" applyBorder="1"/>
    <xf numFmtId="0" fontId="2" fillId="0" borderId="36" xfId="0" applyFont="1" applyFill="1" applyBorder="1" applyAlignment="1">
      <alignment horizontal="center" vertical="center"/>
    </xf>
    <xf numFmtId="49" fontId="17" fillId="0" borderId="37" xfId="0" applyNumberFormat="1" applyFont="1" applyFill="1" applyBorder="1" applyAlignment="1">
      <alignment horizontal="center" vertical="center" wrapText="1"/>
    </xf>
    <xf numFmtId="39" fontId="3" fillId="0" borderId="37" xfId="5" applyNumberFormat="1" applyFont="1" applyFill="1" applyBorder="1" applyAlignment="1">
      <alignment horizontal="center" vertical="center" wrapText="1"/>
    </xf>
    <xf numFmtId="0" fontId="12" fillId="0" borderId="37" xfId="0" applyFont="1" applyBorder="1"/>
    <xf numFmtId="0" fontId="11" fillId="0" borderId="51" xfId="0" applyFont="1" applyBorder="1" applyAlignment="1">
      <alignment vertical="center"/>
    </xf>
    <xf numFmtId="0" fontId="2" fillId="0" borderId="33" xfId="0" applyFont="1" applyFill="1" applyBorder="1" applyAlignment="1">
      <alignment horizontal="center" vertical="center"/>
    </xf>
    <xf numFmtId="39" fontId="3" fillId="0" borderId="34" xfId="5" applyNumberFormat="1" applyFont="1" applyFill="1" applyBorder="1" applyAlignment="1">
      <alignment horizontal="centerContinuous" vertical="center" wrapText="1"/>
    </xf>
    <xf numFmtId="0" fontId="11" fillId="0" borderId="35" xfId="0" applyFont="1" applyBorder="1" applyAlignment="1">
      <alignment horizontal="right" vertical="center" indent="2"/>
    </xf>
    <xf numFmtId="0" fontId="25" fillId="0" borderId="34" xfId="0" applyFont="1" applyBorder="1" applyAlignment="1">
      <alignment horizontal="right" vertical="center"/>
    </xf>
    <xf numFmtId="0" fontId="4" fillId="0" borderId="52" xfId="0" applyFont="1" applyFill="1" applyBorder="1" applyAlignment="1">
      <alignment horizontal="left" vertical="center" wrapText="1"/>
    </xf>
    <xf numFmtId="0" fontId="4" fillId="0" borderId="53" xfId="0" quotePrefix="1" applyFont="1" applyFill="1" applyBorder="1" applyAlignment="1">
      <alignment horizontal="left" vertical="center" wrapText="1"/>
    </xf>
    <xf numFmtId="0" fontId="30" fillId="0" borderId="23" xfId="0" applyFont="1" applyBorder="1" applyAlignment="1">
      <alignment vertical="center"/>
    </xf>
    <xf numFmtId="2" fontId="1" fillId="0" borderId="0" xfId="0" applyNumberFormat="1" applyFont="1" applyFill="1" applyBorder="1"/>
    <xf numFmtId="0" fontId="11" fillId="0" borderId="5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6" fillId="0" borderId="56" xfId="0" applyFont="1" applyFill="1" applyBorder="1" applyAlignment="1">
      <alignment horizontal="justify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justify" vertical="top" wrapText="1"/>
    </xf>
    <xf numFmtId="0" fontId="1" fillId="0" borderId="1" xfId="0" applyNumberFormat="1" applyFont="1" applyFill="1" applyBorder="1" applyAlignment="1">
      <alignment horizontal="justify" vertical="top" wrapText="1"/>
    </xf>
    <xf numFmtId="0" fontId="1" fillId="0" borderId="1" xfId="2" applyFont="1" applyFill="1" applyBorder="1" applyAlignment="1">
      <alignment horizontal="center" vertical="top" wrapText="1"/>
    </xf>
    <xf numFmtId="0" fontId="4" fillId="0" borderId="14" xfId="2" applyFont="1" applyFill="1" applyBorder="1" applyAlignment="1">
      <alignment horizontal="justify" vertical="top" wrapText="1"/>
    </xf>
    <xf numFmtId="49" fontId="1" fillId="0" borderId="1" xfId="2" applyNumberFormat="1" applyFont="1" applyFill="1" applyBorder="1" applyAlignment="1">
      <alignment horizontal="center" vertical="top"/>
    </xf>
    <xf numFmtId="0" fontId="4" fillId="0" borderId="14" xfId="2" applyNumberFormat="1" applyFont="1" applyFill="1" applyBorder="1" applyAlignment="1">
      <alignment horizontal="justify" vertical="top" wrapText="1"/>
    </xf>
    <xf numFmtId="0" fontId="1" fillId="0" borderId="14" xfId="2" applyNumberFormat="1" applyFont="1" applyFill="1" applyBorder="1" applyAlignment="1">
      <alignment horizontal="justify" vertical="top" wrapText="1"/>
    </xf>
    <xf numFmtId="0" fontId="6" fillId="0" borderId="13" xfId="0" applyFont="1" applyFill="1" applyBorder="1" applyAlignment="1">
      <alignment vertical="center"/>
    </xf>
    <xf numFmtId="0" fontId="1" fillId="0" borderId="14" xfId="0" applyFont="1" applyFill="1" applyBorder="1"/>
    <xf numFmtId="0" fontId="22" fillId="0" borderId="0" xfId="0" applyFont="1" applyFill="1" applyBorder="1" applyAlignment="1">
      <alignment horizontal="left" vertical="center"/>
    </xf>
    <xf numFmtId="0" fontId="36" fillId="0" borderId="0" xfId="10" applyFont="1" applyBorder="1" applyAlignment="1">
      <alignment vertical="top" wrapText="1"/>
    </xf>
    <xf numFmtId="0" fontId="32" fillId="0" borderId="0" xfId="10" applyFont="1" applyBorder="1" applyAlignment="1">
      <alignment horizontal="left" vertical="center"/>
    </xf>
    <xf numFmtId="0" fontId="36" fillId="0" borderId="41" xfId="10" applyFont="1" applyBorder="1" applyAlignment="1">
      <alignment horizontal="left" vertical="top"/>
    </xf>
    <xf numFmtId="0" fontId="4" fillId="4" borderId="1" xfId="0" applyFont="1" applyFill="1" applyBorder="1" applyAlignment="1">
      <alignment horizontal="justify" vertical="top" wrapText="1"/>
    </xf>
    <xf numFmtId="49" fontId="1" fillId="0" borderId="1" xfId="0" applyNumberFormat="1" applyFont="1" applyFill="1" applyBorder="1" applyAlignment="1">
      <alignment horizontal="center" vertical="top" wrapText="1"/>
    </xf>
    <xf numFmtId="0" fontId="29" fillId="0" borderId="0" xfId="2" applyFont="1" applyFill="1" applyBorder="1" applyAlignment="1" applyProtection="1">
      <alignment horizontal="justify" vertical="center" wrapText="1"/>
      <protection locked="0"/>
    </xf>
    <xf numFmtId="0" fontId="29" fillId="0" borderId="0" xfId="2" applyFont="1" applyFill="1" applyBorder="1" applyAlignment="1" applyProtection="1">
      <alignment horizontal="justify" vertical="center"/>
      <protection locked="0"/>
    </xf>
    <xf numFmtId="0" fontId="0" fillId="0" borderId="0" xfId="0" applyFill="1" applyAlignment="1">
      <alignment vertical="center"/>
    </xf>
    <xf numFmtId="0" fontId="29" fillId="0" borderId="0" xfId="2" applyFont="1" applyFill="1" applyBorder="1" applyAlignment="1" applyProtection="1">
      <alignment horizontal="left" vertical="center"/>
      <protection locked="0"/>
    </xf>
    <xf numFmtId="0" fontId="1" fillId="0" borderId="0" xfId="10" applyFont="1" applyBorder="1" applyAlignment="1">
      <alignment horizontal="left" vertical="top"/>
    </xf>
    <xf numFmtId="0" fontId="1" fillId="0" borderId="0" xfId="10" applyFont="1" applyBorder="1" applyAlignment="1">
      <alignment vertical="top"/>
    </xf>
    <xf numFmtId="0" fontId="1" fillId="0" borderId="0" xfId="0" applyFont="1" applyBorder="1" applyAlignment="1"/>
    <xf numFmtId="0" fontId="11" fillId="0" borderId="8" xfId="8" applyBorder="1"/>
    <xf numFmtId="0" fontId="27" fillId="0" borderId="37" xfId="2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49" fontId="6" fillId="0" borderId="13" xfId="0" applyNumberFormat="1" applyFont="1" applyFill="1" applyBorder="1" applyAlignment="1">
      <alignment horizontal="left" vertical="center"/>
    </xf>
    <xf numFmtId="49" fontId="29" fillId="0" borderId="0" xfId="2" applyNumberFormat="1" applyFont="1" applyFill="1" applyBorder="1" applyAlignment="1" applyProtection="1">
      <alignment horizontal="justify" vertical="center"/>
      <protection locked="0"/>
    </xf>
    <xf numFmtId="49" fontId="26" fillId="0" borderId="0" xfId="2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58" xfId="0" applyFont="1" applyFill="1" applyBorder="1" applyAlignment="1">
      <alignment horizontal="right" vertical="center"/>
    </xf>
    <xf numFmtId="2" fontId="1" fillId="0" borderId="31" xfId="0" applyNumberFormat="1" applyFont="1" applyFill="1" applyBorder="1"/>
    <xf numFmtId="0" fontId="8" fillId="0" borderId="59" xfId="0" applyFont="1" applyFill="1" applyBorder="1" applyAlignment="1">
      <alignment horizontal="right" vertical="center"/>
    </xf>
    <xf numFmtId="0" fontId="27" fillId="0" borderId="41" xfId="2" applyFont="1" applyFill="1" applyBorder="1" applyAlignment="1">
      <alignment vertical="center" wrapText="1"/>
    </xf>
    <xf numFmtId="0" fontId="19" fillId="0" borderId="41" xfId="2" applyNumberFormat="1" applyFont="1" applyFill="1" applyBorder="1" applyAlignment="1">
      <alignment vertical="center" wrapText="1"/>
    </xf>
    <xf numFmtId="0" fontId="6" fillId="0" borderId="41" xfId="2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center"/>
    </xf>
    <xf numFmtId="0" fontId="0" fillId="0" borderId="31" xfId="0" applyBorder="1"/>
    <xf numFmtId="0" fontId="31" fillId="0" borderId="27" xfId="9" applyFont="1" applyBorder="1"/>
    <xf numFmtId="0" fontId="39" fillId="9" borderId="0" xfId="0" applyFont="1" applyFill="1" applyBorder="1" applyAlignment="1">
      <alignment horizontal="center"/>
    </xf>
    <xf numFmtId="0" fontId="40" fillId="9" borderId="0" xfId="0" applyFont="1" applyFill="1" applyBorder="1" applyAlignment="1">
      <alignment horizontal="justify"/>
    </xf>
    <xf numFmtId="0" fontId="6" fillId="0" borderId="1" xfId="0" applyFont="1" applyFill="1" applyBorder="1" applyAlignment="1">
      <alignment horizontal="justify"/>
    </xf>
    <xf numFmtId="0" fontId="44" fillId="10" borderId="34" xfId="2" applyFont="1" applyFill="1" applyBorder="1" applyAlignment="1">
      <alignment vertical="center" wrapText="1"/>
    </xf>
    <xf numFmtId="0" fontId="27" fillId="0" borderId="34" xfId="2" applyFont="1" applyFill="1" applyBorder="1" applyAlignment="1">
      <alignment vertical="center" wrapText="1"/>
    </xf>
    <xf numFmtId="0" fontId="19" fillId="0" borderId="34" xfId="2" applyNumberFormat="1" applyFont="1" applyFill="1" applyBorder="1" applyAlignment="1">
      <alignment vertical="center" wrapText="1"/>
    </xf>
    <xf numFmtId="0" fontId="6" fillId="0" borderId="34" xfId="2" applyFont="1" applyFill="1" applyBorder="1" applyAlignment="1">
      <alignment wrapText="1"/>
    </xf>
    <xf numFmtId="0" fontId="1" fillId="0" borderId="1" xfId="0" applyNumberFormat="1" applyFont="1" applyFill="1" applyBorder="1" applyAlignment="1">
      <alignment horizontal="justify" vertical="center" wrapText="1"/>
    </xf>
    <xf numFmtId="0" fontId="19" fillId="0" borderId="0" xfId="2" applyNumberFormat="1" applyFont="1" applyFill="1" applyBorder="1" applyAlignment="1">
      <alignment vertical="center" wrapText="1"/>
    </xf>
    <xf numFmtId="0" fontId="19" fillId="0" borderId="37" xfId="2" applyNumberFormat="1" applyFont="1" applyFill="1" applyBorder="1" applyAlignment="1">
      <alignment vertical="center" wrapText="1"/>
    </xf>
    <xf numFmtId="0" fontId="6" fillId="0" borderId="37" xfId="2" applyFont="1" applyFill="1" applyBorder="1" applyAlignment="1">
      <alignment wrapText="1"/>
    </xf>
    <xf numFmtId="2" fontId="0" fillId="0" borderId="31" xfId="0" applyNumberFormat="1" applyBorder="1"/>
    <xf numFmtId="49" fontId="6" fillId="0" borderId="12" xfId="0" applyNumberFormat="1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33" fillId="0" borderId="0" xfId="2" applyFont="1" applyFill="1" applyBorder="1" applyAlignment="1">
      <alignment horizontal="center"/>
    </xf>
    <xf numFmtId="2" fontId="1" fillId="0" borderId="0" xfId="2" applyNumberFormat="1" applyFont="1" applyFill="1" applyBorder="1"/>
    <xf numFmtId="0" fontId="49" fillId="0" borderId="31" xfId="2" applyFont="1" applyFill="1" applyBorder="1" applyAlignment="1">
      <alignment horizontal="center" vertical="center"/>
    </xf>
    <xf numFmtId="0" fontId="33" fillId="0" borderId="31" xfId="2" applyFont="1" applyFill="1" applyBorder="1" applyAlignment="1">
      <alignment horizontal="center"/>
    </xf>
    <xf numFmtId="2" fontId="1" fillId="0" borderId="31" xfId="2" applyNumberFormat="1" applyFont="1" applyFill="1" applyBorder="1"/>
    <xf numFmtId="2" fontId="1" fillId="4" borderId="31" xfId="2" applyNumberFormat="1" applyFont="1" applyFill="1" applyBorder="1"/>
    <xf numFmtId="0" fontId="1" fillId="0" borderId="2" xfId="2" applyFont="1" applyFill="1" applyBorder="1" applyAlignment="1">
      <alignment horizontal="right" vertical="center"/>
    </xf>
    <xf numFmtId="0" fontId="1" fillId="0" borderId="29" xfId="2" applyFont="1" applyFill="1" applyBorder="1" applyAlignment="1">
      <alignment horizontal="right" vertical="center"/>
    </xf>
    <xf numFmtId="167" fontId="4" fillId="4" borderId="29" xfId="2" applyNumberFormat="1" applyFont="1" applyFill="1" applyBorder="1" applyAlignment="1">
      <alignment horizontal="center" vertical="center"/>
    </xf>
    <xf numFmtId="0" fontId="1" fillId="0" borderId="31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right" vertical="center"/>
    </xf>
    <xf numFmtId="167" fontId="4" fillId="0" borderId="0" xfId="2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55" xfId="0" applyFont="1" applyFill="1" applyBorder="1" applyAlignment="1">
      <alignment horizontal="left" vertical="center"/>
    </xf>
    <xf numFmtId="0" fontId="1" fillId="0" borderId="65" xfId="0" applyFont="1" applyFill="1" applyBorder="1" applyAlignment="1">
      <alignment horizontal="left" vertical="center"/>
    </xf>
    <xf numFmtId="0" fontId="1" fillId="0" borderId="55" xfId="2" applyFont="1" applyFill="1" applyBorder="1" applyAlignment="1">
      <alignment horizontal="left" vertical="center"/>
    </xf>
    <xf numFmtId="0" fontId="1" fillId="0" borderId="58" xfId="2" applyFont="1" applyFill="1" applyBorder="1" applyAlignment="1">
      <alignment horizontal="right" vertical="center"/>
    </xf>
    <xf numFmtId="0" fontId="1" fillId="0" borderId="59" xfId="2" applyFont="1" applyFill="1" applyBorder="1" applyAlignment="1">
      <alignment horizontal="right" vertical="center"/>
    </xf>
    <xf numFmtId="0" fontId="1" fillId="0" borderId="65" xfId="2" applyFont="1" applyFill="1" applyBorder="1" applyAlignment="1">
      <alignment horizontal="left" vertical="center"/>
    </xf>
    <xf numFmtId="0" fontId="1" fillId="0" borderId="8" xfId="2" applyFont="1" applyFill="1" applyBorder="1" applyAlignment="1">
      <alignment horizontal="right" vertical="center"/>
    </xf>
    <xf numFmtId="0" fontId="1" fillId="0" borderId="25" xfId="2" applyFont="1" applyFill="1" applyBorder="1" applyAlignment="1">
      <alignment horizontal="right" vertical="center"/>
    </xf>
    <xf numFmtId="0" fontId="1" fillId="0" borderId="67" xfId="2" applyFont="1" applyFill="1" applyBorder="1" applyAlignment="1">
      <alignment horizontal="left" vertical="center"/>
    </xf>
    <xf numFmtId="0" fontId="0" fillId="0" borderId="66" xfId="0" applyBorder="1"/>
    <xf numFmtId="2" fontId="0" fillId="0" borderId="66" xfId="0" applyNumberFormat="1" applyBorder="1"/>
    <xf numFmtId="2" fontId="0" fillId="0" borderId="0" xfId="0" applyNumberFormat="1" applyBorder="1"/>
    <xf numFmtId="0" fontId="0" fillId="0" borderId="31" xfId="0" applyFill="1" applyBorder="1"/>
    <xf numFmtId="0" fontId="49" fillId="0" borderId="0" xfId="2" applyFont="1" applyFill="1" applyBorder="1" applyAlignment="1">
      <alignment horizontal="right"/>
    </xf>
    <xf numFmtId="2" fontId="1" fillId="0" borderId="31" xfId="8" applyNumberFormat="1" applyFont="1" applyBorder="1"/>
    <xf numFmtId="0" fontId="49" fillId="0" borderId="63" xfId="2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right" vertical="center"/>
    </xf>
    <xf numFmtId="3" fontId="4" fillId="4" borderId="29" xfId="2" applyNumberFormat="1" applyFont="1" applyFill="1" applyBorder="1" applyAlignment="1">
      <alignment horizontal="center" vertical="center"/>
    </xf>
    <xf numFmtId="168" fontId="6" fillId="0" borderId="12" xfId="0" applyNumberFormat="1" applyFont="1" applyFill="1" applyBorder="1" applyAlignment="1">
      <alignment horizontal="left" vertical="center"/>
    </xf>
    <xf numFmtId="0" fontId="0" fillId="0" borderId="0" xfId="0" applyBorder="1"/>
    <xf numFmtId="0" fontId="4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left"/>
    </xf>
    <xf numFmtId="0" fontId="49" fillId="0" borderId="29" xfId="2" applyFont="1" applyFill="1" applyBorder="1" applyAlignment="1">
      <alignment horizontal="center" vertical="center"/>
    </xf>
    <xf numFmtId="0" fontId="54" fillId="3" borderId="0" xfId="2" applyFont="1" applyFill="1" applyBorder="1" applyAlignment="1">
      <alignment horizontal="left" vertical="center"/>
    </xf>
    <xf numFmtId="0" fontId="54" fillId="3" borderId="0" xfId="2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0" fontId="49" fillId="0" borderId="29" xfId="2" applyFont="1" applyFill="1" applyBorder="1" applyAlignment="1">
      <alignment horizontal="left" vertical="center"/>
    </xf>
    <xf numFmtId="0" fontId="49" fillId="11" borderId="31" xfId="2" applyFont="1" applyFill="1" applyBorder="1" applyAlignment="1">
      <alignment horizontal="center"/>
    </xf>
    <xf numFmtId="0" fontId="33" fillId="0" borderId="29" xfId="2" applyFont="1" applyFill="1" applyBorder="1" applyAlignment="1">
      <alignment horizontal="left"/>
    </xf>
    <xf numFmtId="2" fontId="53" fillId="0" borderId="31" xfId="2" applyNumberFormat="1" applyFont="1" applyFill="1" applyBorder="1"/>
    <xf numFmtId="0" fontId="33" fillId="11" borderId="29" xfId="2" applyFont="1" applyFill="1" applyBorder="1" applyAlignment="1">
      <alignment horizontal="left"/>
    </xf>
    <xf numFmtId="0" fontId="33" fillId="11" borderId="31" xfId="2" applyFont="1" applyFill="1" applyBorder="1" applyAlignment="1">
      <alignment horizontal="center"/>
    </xf>
    <xf numFmtId="2" fontId="53" fillId="11" borderId="31" xfId="2" applyNumberFormat="1" applyFont="1" applyFill="1" applyBorder="1"/>
    <xf numFmtId="2" fontId="1" fillId="11" borderId="31" xfId="2" applyNumberFormat="1" applyFont="1" applyFill="1" applyBorder="1"/>
    <xf numFmtId="2" fontId="1" fillId="11" borderId="32" xfId="2" applyNumberFormat="1" applyFont="1" applyFill="1" applyBorder="1"/>
    <xf numFmtId="2" fontId="1" fillId="4" borderId="32" xfId="2" applyNumberFormat="1" applyFont="1" applyFill="1" applyBorder="1"/>
    <xf numFmtId="0" fontId="33" fillId="0" borderId="0" xfId="2" applyFont="1" applyFill="1" applyBorder="1" applyAlignment="1">
      <alignment horizontal="left"/>
    </xf>
    <xf numFmtId="2" fontId="53" fillId="0" borderId="0" xfId="2" applyNumberFormat="1" applyFont="1" applyFill="1" applyBorder="1"/>
    <xf numFmtId="0" fontId="49" fillId="0" borderId="31" xfId="2" applyFont="1" applyFill="1" applyBorder="1" applyAlignment="1">
      <alignment horizontal="right"/>
    </xf>
    <xf numFmtId="2" fontId="1" fillId="0" borderId="31" xfId="8" applyNumberFormat="1" applyFont="1" applyFill="1" applyBorder="1"/>
    <xf numFmtId="2" fontId="1" fillId="4" borderId="66" xfId="2" applyNumberFormat="1" applyFont="1" applyFill="1" applyBorder="1"/>
    <xf numFmtId="2" fontId="1" fillId="0" borderId="0" xfId="8" applyNumberFormat="1" applyFont="1" applyFill="1" applyBorder="1"/>
    <xf numFmtId="2" fontId="1" fillId="11" borderId="29" xfId="8" applyNumberFormat="1" applyFont="1" applyFill="1" applyBorder="1"/>
    <xf numFmtId="0" fontId="11" fillId="0" borderId="32" xfId="8" applyBorder="1"/>
    <xf numFmtId="0" fontId="49" fillId="11" borderId="31" xfId="2" applyFont="1" applyFill="1" applyBorder="1" applyAlignment="1">
      <alignment horizontal="right"/>
    </xf>
    <xf numFmtId="2" fontId="1" fillId="11" borderId="31" xfId="8" applyNumberFormat="1" applyFont="1" applyFill="1" applyBorder="1"/>
    <xf numFmtId="0" fontId="49" fillId="11" borderId="0" xfId="2" applyFont="1" applyFill="1" applyBorder="1" applyAlignment="1">
      <alignment horizontal="right"/>
    </xf>
    <xf numFmtId="2" fontId="1" fillId="11" borderId="0" xfId="8" applyNumberFormat="1" applyFont="1" applyFill="1" applyBorder="1"/>
    <xf numFmtId="0" fontId="11" fillId="0" borderId="0" xfId="8" applyFill="1" applyBorder="1"/>
    <xf numFmtId="164" fontId="33" fillId="0" borderId="31" xfId="5" applyFont="1" applyFill="1" applyBorder="1" applyAlignment="1">
      <alignment horizontal="center"/>
    </xf>
    <xf numFmtId="0" fontId="11" fillId="0" borderId="66" xfId="8" applyBorder="1"/>
    <xf numFmtId="0" fontId="11" fillId="0" borderId="12" xfId="8" applyBorder="1"/>
    <xf numFmtId="0" fontId="49" fillId="0" borderId="31" xfId="2" applyFont="1" applyFill="1" applyBorder="1" applyAlignment="1">
      <alignment horizontal="left" vertical="center"/>
    </xf>
    <xf numFmtId="0" fontId="33" fillId="0" borderId="11" xfId="2" applyFont="1" applyFill="1" applyBorder="1" applyAlignment="1">
      <alignment horizontal="left"/>
    </xf>
    <xf numFmtId="2" fontId="53" fillId="0" borderId="66" xfId="2" applyNumberFormat="1" applyFont="1" applyFill="1" applyBorder="1"/>
    <xf numFmtId="0" fontId="17" fillId="0" borderId="0" xfId="0" applyFont="1" applyBorder="1"/>
    <xf numFmtId="0" fontId="33" fillId="0" borderId="29" xfId="0" applyFont="1" applyBorder="1" applyAlignment="1">
      <alignment horizontal="center"/>
    </xf>
    <xf numFmtId="2" fontId="1" fillId="12" borderId="31" xfId="0" applyNumberFormat="1" applyFont="1" applyFill="1" applyBorder="1"/>
    <xf numFmtId="2" fontId="0" fillId="12" borderId="31" xfId="0" applyNumberFormat="1" applyFill="1" applyBorder="1" applyAlignment="1">
      <alignment horizontal="right"/>
    </xf>
    <xf numFmtId="164" fontId="1" fillId="12" borderId="31" xfId="5" applyFont="1" applyFill="1" applyBorder="1" applyAlignment="1">
      <alignment horizontal="right"/>
    </xf>
    <xf numFmtId="166" fontId="0" fillId="0" borderId="31" xfId="0" applyNumberFormat="1" applyBorder="1"/>
    <xf numFmtId="164" fontId="1" fillId="12" borderId="31" xfId="5" applyFont="1" applyFill="1" applyBorder="1"/>
    <xf numFmtId="0" fontId="4" fillId="0" borderId="0" xfId="2" applyFont="1" applyFill="1" applyBorder="1" applyAlignment="1">
      <alignment horizontal="left" vertical="center"/>
    </xf>
    <xf numFmtId="0" fontId="1" fillId="0" borderId="2" xfId="2" applyFont="1" applyFill="1" applyBorder="1" applyAlignment="1">
      <alignment horizontal="left" vertical="center"/>
    </xf>
    <xf numFmtId="167" fontId="4" fillId="13" borderId="31" xfId="0" applyNumberFormat="1" applyFont="1" applyFill="1" applyBorder="1" applyAlignment="1">
      <alignment horizontal="center" vertical="center"/>
    </xf>
    <xf numFmtId="167" fontId="4" fillId="13" borderId="62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left" vertical="center"/>
    </xf>
    <xf numFmtId="0" fontId="11" fillId="0" borderId="54" xfId="0" applyFont="1" applyFill="1" applyBorder="1" applyAlignment="1">
      <alignment horizontal="left" vertical="center"/>
    </xf>
    <xf numFmtId="0" fontId="11" fillId="0" borderId="27" xfId="0" applyFont="1" applyFill="1" applyBorder="1" applyAlignment="1">
      <alignment horizontal="left" vertical="center"/>
    </xf>
    <xf numFmtId="167" fontId="34" fillId="7" borderId="31" xfId="0" applyNumberFormat="1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left" vertical="center"/>
    </xf>
    <xf numFmtId="167" fontId="34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right" vertical="center"/>
    </xf>
    <xf numFmtId="3" fontId="34" fillId="6" borderId="31" xfId="0" applyNumberFormat="1" applyFont="1" applyFill="1" applyBorder="1" applyAlignment="1">
      <alignment horizontal="center" vertical="center"/>
    </xf>
    <xf numFmtId="0" fontId="11" fillId="0" borderId="67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54" fillId="3" borderId="7" xfId="2" applyFont="1" applyFill="1" applyBorder="1" applyAlignment="1">
      <alignment horizontal="left" vertical="center"/>
    </xf>
    <xf numFmtId="0" fontId="54" fillId="3" borderId="7" xfId="2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left"/>
    </xf>
    <xf numFmtId="2" fontId="1" fillId="0" borderId="0" xfId="8" applyNumberFormat="1" applyFont="1" applyBorder="1"/>
    <xf numFmtId="0" fontId="33" fillId="0" borderId="29" xfId="0" applyFont="1" applyFill="1" applyBorder="1" applyAlignment="1">
      <alignment horizontal="left"/>
    </xf>
    <xf numFmtId="0" fontId="31" fillId="0" borderId="31" xfId="9" applyFont="1" applyBorder="1"/>
    <xf numFmtId="0" fontId="33" fillId="0" borderId="0" xfId="0" applyFont="1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167" fontId="4" fillId="4" borderId="31" xfId="2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167" fontId="4" fillId="4" borderId="62" xfId="2" applyNumberFormat="1" applyFont="1" applyFill="1" applyBorder="1" applyAlignment="1">
      <alignment horizontal="center" vertical="center"/>
    </xf>
    <xf numFmtId="0" fontId="49" fillId="11" borderId="29" xfId="2" applyFont="1" applyFill="1" applyBorder="1" applyAlignment="1">
      <alignment horizontal="left" vertical="center"/>
    </xf>
    <xf numFmtId="0" fontId="49" fillId="11" borderId="31" xfId="2" applyFont="1" applyFill="1" applyBorder="1" applyAlignment="1">
      <alignment horizontal="center" vertical="center"/>
    </xf>
    <xf numFmtId="0" fontId="33" fillId="0" borderId="29" xfId="0" applyFont="1" applyBorder="1" applyAlignment="1">
      <alignment horizontal="left"/>
    </xf>
    <xf numFmtId="0" fontId="11" fillId="0" borderId="31" xfId="8" applyBorder="1"/>
    <xf numFmtId="0" fontId="17" fillId="0" borderId="0" xfId="0" applyFont="1" applyFill="1" applyBorder="1"/>
    <xf numFmtId="0" fontId="1" fillId="0" borderId="0" xfId="8" applyFont="1" applyBorder="1"/>
    <xf numFmtId="1" fontId="53" fillId="0" borderId="66" xfId="2" applyNumberFormat="1" applyFont="1" applyFill="1" applyBorder="1"/>
    <xf numFmtId="164" fontId="49" fillId="0" borderId="31" xfId="5" applyFont="1" applyFill="1" applyBorder="1" applyAlignment="1">
      <alignment horizontal="right"/>
    </xf>
    <xf numFmtId="164" fontId="1" fillId="0" borderId="31" xfId="5" applyFont="1" applyBorder="1"/>
    <xf numFmtId="0" fontId="33" fillId="0" borderId="11" xfId="0" applyFont="1" applyBorder="1" applyAlignment="1">
      <alignment horizontal="center"/>
    </xf>
    <xf numFmtId="2" fontId="1" fillId="12" borderId="66" xfId="0" applyNumberFormat="1" applyFont="1" applyFill="1" applyBorder="1"/>
    <xf numFmtId="2" fontId="0" fillId="12" borderId="66" xfId="0" applyNumberFormat="1" applyFill="1" applyBorder="1" applyAlignment="1">
      <alignment horizontal="right"/>
    </xf>
    <xf numFmtId="0" fontId="8" fillId="0" borderId="10" xfId="0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right" vertical="center"/>
    </xf>
    <xf numFmtId="167" fontId="4" fillId="7" borderId="11" xfId="0" applyNumberFormat="1" applyFont="1" applyFill="1" applyBorder="1" applyAlignment="1">
      <alignment horizontal="center" vertical="center"/>
    </xf>
    <xf numFmtId="0" fontId="1" fillId="0" borderId="70" xfId="0" applyFont="1" applyFill="1" applyBorder="1" applyAlignment="1">
      <alignment horizontal="left" vertical="center"/>
    </xf>
    <xf numFmtId="167" fontId="4" fillId="7" borderId="59" xfId="0" applyNumberFormat="1" applyFont="1" applyFill="1" applyBorder="1" applyAlignment="1">
      <alignment horizontal="center" vertical="center"/>
    </xf>
    <xf numFmtId="2" fontId="54" fillId="3" borderId="0" xfId="2" applyNumberFormat="1" applyFont="1" applyFill="1" applyBorder="1" applyAlignment="1">
      <alignment horizontal="left" vertical="center"/>
    </xf>
    <xf numFmtId="2" fontId="1" fillId="0" borderId="66" xfId="2" applyNumberFormat="1" applyFont="1" applyFill="1" applyBorder="1"/>
    <xf numFmtId="0" fontId="33" fillId="0" borderId="0" xfId="0" applyFont="1" applyBorder="1" applyAlignment="1">
      <alignment horizontal="center"/>
    </xf>
    <xf numFmtId="0" fontId="8" fillId="0" borderId="8" xfId="0" applyFont="1" applyFill="1" applyBorder="1" applyAlignment="1">
      <alignment horizontal="right" vertical="center"/>
    </xf>
    <xf numFmtId="0" fontId="8" fillId="0" borderId="25" xfId="0" applyFont="1" applyFill="1" applyBorder="1" applyAlignment="1">
      <alignment horizontal="right" vertical="center"/>
    </xf>
    <xf numFmtId="167" fontId="4" fillId="13" borderId="25" xfId="0" applyNumberFormat="1" applyFont="1" applyFill="1" applyBorder="1" applyAlignment="1">
      <alignment horizontal="center" vertical="center"/>
    </xf>
    <xf numFmtId="0" fontId="1" fillId="0" borderId="67" xfId="0" applyFont="1" applyFill="1" applyBorder="1" applyAlignment="1">
      <alignment horizontal="left" vertical="center"/>
    </xf>
    <xf numFmtId="166" fontId="0" fillId="0" borderId="0" xfId="0" applyNumberFormat="1" applyFill="1" applyBorder="1"/>
    <xf numFmtId="0" fontId="11" fillId="11" borderId="0" xfId="8" applyFill="1" applyBorder="1"/>
    <xf numFmtId="0" fontId="31" fillId="0" borderId="0" xfId="9" applyFont="1" applyFill="1" applyBorder="1"/>
    <xf numFmtId="0" fontId="31" fillId="11" borderId="0" xfId="9" applyFont="1" applyFill="1" applyBorder="1"/>
    <xf numFmtId="0" fontId="31" fillId="11" borderId="27" xfId="9" applyFont="1" applyFill="1" applyBorder="1"/>
    <xf numFmtId="0" fontId="1" fillId="11" borderId="55" xfId="2" applyFont="1" applyFill="1" applyBorder="1" applyAlignment="1">
      <alignment horizontal="left" vertical="center"/>
    </xf>
    <xf numFmtId="167" fontId="4" fillId="4" borderId="71" xfId="2" applyNumberFormat="1" applyFont="1" applyFill="1" applyBorder="1" applyAlignment="1">
      <alignment horizontal="center" vertical="center"/>
    </xf>
    <xf numFmtId="0" fontId="11" fillId="0" borderId="64" xfId="0" applyFont="1" applyFill="1" applyBorder="1" applyAlignment="1">
      <alignment horizontal="left" vertical="center"/>
    </xf>
    <xf numFmtId="1" fontId="53" fillId="0" borderId="31" xfId="2" applyNumberFormat="1" applyFont="1" applyFill="1" applyBorder="1"/>
    <xf numFmtId="0" fontId="4" fillId="0" borderId="0" xfId="0" applyFont="1" applyFill="1" applyBorder="1" applyAlignment="1">
      <alignment horizontal="left" vertical="center"/>
    </xf>
    <xf numFmtId="164" fontId="1" fillId="4" borderId="66" xfId="5" applyFont="1" applyFill="1" applyBorder="1"/>
    <xf numFmtId="164" fontId="1" fillId="4" borderId="31" xfId="5" applyFont="1" applyFill="1" applyBorder="1"/>
    <xf numFmtId="164" fontId="49" fillId="0" borderId="32" xfId="5" applyFont="1" applyFill="1" applyBorder="1" applyAlignment="1">
      <alignment horizontal="right"/>
    </xf>
    <xf numFmtId="164" fontId="1" fillId="0" borderId="32" xfId="5" applyFont="1" applyBorder="1"/>
    <xf numFmtId="164" fontId="53" fillId="0" borderId="31" xfId="5" applyFont="1" applyFill="1" applyBorder="1"/>
    <xf numFmtId="164" fontId="1" fillId="0" borderId="0" xfId="5" applyFont="1" applyFill="1" applyBorder="1" applyAlignment="1">
      <alignment horizontal="center"/>
    </xf>
    <xf numFmtId="164" fontId="31" fillId="0" borderId="0" xfId="5" applyFont="1" applyBorder="1"/>
    <xf numFmtId="164" fontId="1" fillId="0" borderId="0" xfId="5" applyFont="1" applyFill="1" applyBorder="1" applyAlignment="1">
      <alignment horizontal="center" vertical="center"/>
    </xf>
    <xf numFmtId="164" fontId="1" fillId="0" borderId="0" xfId="5" applyFont="1" applyBorder="1"/>
    <xf numFmtId="167" fontId="4" fillId="13" borderId="59" xfId="2" applyNumberFormat="1" applyFont="1" applyFill="1" applyBorder="1" applyAlignment="1">
      <alignment horizontal="center" vertical="center"/>
    </xf>
    <xf numFmtId="2" fontId="7" fillId="0" borderId="0" xfId="2" applyNumberFormat="1" applyFont="1" applyFill="1" applyBorder="1" applyAlignment="1">
      <alignment horizontal="left"/>
    </xf>
    <xf numFmtId="1" fontId="1" fillId="4" borderId="31" xfId="2" applyNumberFormat="1" applyFont="1" applyFill="1" applyBorder="1"/>
    <xf numFmtId="0" fontId="11" fillId="8" borderId="0" xfId="8" applyFill="1" applyBorder="1"/>
    <xf numFmtId="4" fontId="6" fillId="8" borderId="0" xfId="0" applyNumberFormat="1" applyFont="1" applyFill="1" applyBorder="1"/>
    <xf numFmtId="0" fontId="11" fillId="14" borderId="0" xfId="8" applyFill="1" applyBorder="1"/>
    <xf numFmtId="0" fontId="54" fillId="14" borderId="0" xfId="2" applyFont="1" applyFill="1" applyBorder="1" applyAlignment="1">
      <alignment horizontal="left" vertical="center"/>
    </xf>
    <xf numFmtId="0" fontId="54" fillId="14" borderId="0" xfId="2" applyFont="1" applyFill="1" applyBorder="1" applyAlignment="1">
      <alignment horizontal="center" vertical="center" wrapText="1"/>
    </xf>
    <xf numFmtId="0" fontId="11" fillId="14" borderId="31" xfId="8" applyFill="1"/>
    <xf numFmtId="0" fontId="31" fillId="0" borderId="9" xfId="9" applyFont="1" applyBorder="1"/>
    <xf numFmtId="167" fontId="4" fillId="13" borderId="71" xfId="0" applyNumberFormat="1" applyFont="1" applyFill="1" applyBorder="1" applyAlignment="1">
      <alignment horizontal="center" vertical="center"/>
    </xf>
    <xf numFmtId="167" fontId="4" fillId="13" borderId="29" xfId="0" applyNumberFormat="1" applyFont="1" applyFill="1" applyBorder="1" applyAlignment="1">
      <alignment horizontal="center" vertical="center"/>
    </xf>
    <xf numFmtId="0" fontId="11" fillId="0" borderId="0" xfId="8" quotePrefix="1" applyBorder="1"/>
    <xf numFmtId="0" fontId="6" fillId="0" borderId="0" xfId="0" applyFont="1" applyFill="1" applyBorder="1" applyAlignment="1">
      <alignment horizontal="left" vertical="center"/>
    </xf>
    <xf numFmtId="0" fontId="0" fillId="0" borderId="0" xfId="0" applyBorder="1"/>
    <xf numFmtId="0" fontId="4" fillId="0" borderId="3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32" fillId="0" borderId="23" xfId="10" applyFont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/>
    </xf>
    <xf numFmtId="0" fontId="6" fillId="0" borderId="0" xfId="14" applyFont="1" applyFill="1" applyBorder="1" applyAlignment="1">
      <alignment wrapText="1"/>
    </xf>
    <xf numFmtId="0" fontId="27" fillId="0" borderId="34" xfId="14" applyFont="1" applyFill="1" applyBorder="1" applyAlignment="1">
      <alignment vertical="center" wrapText="1"/>
    </xf>
    <xf numFmtId="0" fontId="19" fillId="0" borderId="34" xfId="14" applyNumberFormat="1" applyFont="1" applyFill="1" applyBorder="1" applyAlignment="1">
      <alignment vertical="center" wrapText="1"/>
    </xf>
    <xf numFmtId="0" fontId="6" fillId="0" borderId="34" xfId="14" applyFont="1" applyFill="1" applyBorder="1" applyAlignment="1">
      <alignment wrapText="1"/>
    </xf>
    <xf numFmtId="0" fontId="27" fillId="0" borderId="0" xfId="14" applyFont="1" applyFill="1" applyBorder="1" applyAlignment="1">
      <alignment vertical="center" wrapText="1"/>
    </xf>
    <xf numFmtId="0" fontId="19" fillId="0" borderId="0" xfId="14" applyNumberFormat="1" applyFont="1" applyFill="1" applyBorder="1" applyAlignment="1">
      <alignment vertical="center" wrapText="1"/>
    </xf>
    <xf numFmtId="4" fontId="11" fillId="0" borderId="0" xfId="8" applyNumberFormat="1" applyBorder="1"/>
    <xf numFmtId="0" fontId="32" fillId="0" borderId="0" xfId="10" applyFont="1" applyFill="1" applyBorder="1" applyAlignment="1">
      <alignment horizontal="left" vertical="center"/>
    </xf>
    <xf numFmtId="0" fontId="27" fillId="0" borderId="37" xfId="14" applyFont="1" applyFill="1" applyBorder="1" applyAlignment="1">
      <alignment vertical="center" wrapText="1"/>
    </xf>
    <xf numFmtId="0" fontId="19" fillId="0" borderId="37" xfId="14" applyNumberFormat="1" applyFont="1" applyFill="1" applyBorder="1" applyAlignment="1">
      <alignment vertical="center" wrapText="1"/>
    </xf>
    <xf numFmtId="0" fontId="6" fillId="0" borderId="37" xfId="14" applyFont="1" applyFill="1" applyBorder="1" applyAlignment="1">
      <alignment wrapText="1"/>
    </xf>
    <xf numFmtId="0" fontId="27" fillId="0" borderId="41" xfId="14" applyFont="1" applyFill="1" applyBorder="1" applyAlignment="1">
      <alignment vertical="center" wrapText="1"/>
    </xf>
    <xf numFmtId="0" fontId="19" fillId="0" borderId="41" xfId="14" applyNumberFormat="1" applyFont="1" applyFill="1" applyBorder="1" applyAlignment="1">
      <alignment vertical="center" wrapText="1"/>
    </xf>
    <xf numFmtId="0" fontId="6" fillId="0" borderId="41" xfId="14" applyFont="1" applyFill="1" applyBorder="1" applyAlignment="1">
      <alignment wrapText="1"/>
    </xf>
    <xf numFmtId="0" fontId="44" fillId="10" borderId="34" xfId="14" applyFont="1" applyFill="1" applyBorder="1" applyAlignment="1">
      <alignment vertical="center" wrapText="1"/>
    </xf>
    <xf numFmtId="0" fontId="54" fillId="3" borderId="0" xfId="14" applyFont="1" applyFill="1" applyBorder="1" applyAlignment="1">
      <alignment horizontal="left" vertical="center"/>
    </xf>
    <xf numFmtId="0" fontId="54" fillId="3" borderId="0" xfId="14" applyFont="1" applyFill="1" applyBorder="1" applyAlignment="1">
      <alignment horizontal="center" vertical="center" wrapText="1"/>
    </xf>
    <xf numFmtId="4" fontId="34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6" fillId="0" borderId="0" xfId="14" applyFont="1" applyFill="1" applyBorder="1" applyAlignment="1">
      <alignment horizontal="center"/>
    </xf>
    <xf numFmtId="0" fontId="7" fillId="0" borderId="0" xfId="14" applyFont="1" applyFill="1" applyBorder="1" applyAlignment="1">
      <alignment horizontal="left"/>
    </xf>
    <xf numFmtId="0" fontId="11" fillId="0" borderId="29" xfId="0" applyFont="1" applyFill="1" applyBorder="1" applyAlignment="1">
      <alignment horizontal="right" vertical="center"/>
    </xf>
    <xf numFmtId="0" fontId="11" fillId="13" borderId="31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left" vertical="center"/>
    </xf>
    <xf numFmtId="0" fontId="11" fillId="7" borderId="3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170" fontId="11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167" fontId="34" fillId="4" borderId="29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167" fontId="34" fillId="4" borderId="31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/>
    </xf>
    <xf numFmtId="4" fontId="34" fillId="4" borderId="29" xfId="0" applyNumberFormat="1" applyFont="1" applyFill="1" applyBorder="1" applyAlignment="1">
      <alignment horizontal="center" vertical="center"/>
    </xf>
    <xf numFmtId="2" fontId="11" fillId="7" borderId="31" xfId="0" applyNumberFormat="1" applyFont="1" applyFill="1" applyBorder="1" applyAlignment="1">
      <alignment horizontal="center" vertical="center"/>
    </xf>
    <xf numFmtId="0" fontId="57" fillId="0" borderId="0" xfId="0" applyFont="1" applyBorder="1"/>
    <xf numFmtId="0" fontId="58" fillId="0" borderId="0" xfId="0" applyFont="1" applyFill="1" applyBorder="1" applyAlignment="1">
      <alignment horizontal="left" vertical="center"/>
    </xf>
    <xf numFmtId="0" fontId="58" fillId="0" borderId="0" xfId="0" applyFont="1" applyFill="1" applyBorder="1" applyAlignment="1">
      <alignment horizontal="right" vertical="center"/>
    </xf>
    <xf numFmtId="0" fontId="58" fillId="0" borderId="0" xfId="0" applyFont="1" applyFill="1" applyBorder="1" applyAlignment="1">
      <alignment horizontal="center" vertical="center"/>
    </xf>
    <xf numFmtId="170" fontId="58" fillId="0" borderId="0" xfId="0" applyNumberFormat="1" applyFont="1" applyFill="1" applyBorder="1" applyAlignment="1">
      <alignment horizontal="center" vertical="center"/>
    </xf>
    <xf numFmtId="2" fontId="58" fillId="0" borderId="0" xfId="0" applyNumberFormat="1" applyFont="1" applyFill="1" applyBorder="1" applyAlignment="1">
      <alignment horizontal="center" vertical="center"/>
    </xf>
    <xf numFmtId="0" fontId="56" fillId="0" borderId="0" xfId="0" applyFont="1" applyBorder="1"/>
    <xf numFmtId="3" fontId="34" fillId="13" borderId="29" xfId="0" applyNumberFormat="1" applyFont="1" applyFill="1" applyBorder="1" applyAlignment="1">
      <alignment horizontal="center" vertical="center"/>
    </xf>
    <xf numFmtId="3" fontId="34" fillId="4" borderId="29" xfId="0" applyNumberFormat="1" applyFont="1" applyFill="1" applyBorder="1" applyAlignment="1">
      <alignment horizontal="center" vertical="center"/>
    </xf>
    <xf numFmtId="0" fontId="0" fillId="0" borderId="29" xfId="0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4" fontId="34" fillId="7" borderId="29" xfId="0" applyNumberFormat="1" applyFont="1" applyFill="1" applyBorder="1" applyAlignment="1">
      <alignment horizontal="center" vertical="center"/>
    </xf>
    <xf numFmtId="0" fontId="8" fillId="0" borderId="2" xfId="0" quotePrefix="1" applyFont="1" applyFill="1" applyBorder="1" applyAlignment="1">
      <alignment horizontal="right" vertical="center"/>
    </xf>
    <xf numFmtId="4" fontId="34" fillId="13" borderId="29" xfId="0" applyNumberFormat="1" applyFont="1" applyFill="1" applyBorder="1" applyAlignment="1">
      <alignment horizontal="center" vertical="center"/>
    </xf>
    <xf numFmtId="0" fontId="54" fillId="15" borderId="0" xfId="14" applyFont="1" applyFill="1" applyBorder="1" applyAlignment="1">
      <alignment horizontal="left" vertical="center"/>
    </xf>
    <xf numFmtId="0" fontId="54" fillId="14" borderId="0" xfId="14" applyFont="1" applyFill="1" applyBorder="1" applyAlignment="1">
      <alignment horizontal="left" vertical="center"/>
    </xf>
    <xf numFmtId="0" fontId="54" fillId="14" borderId="0" xfId="14" applyFont="1" applyFill="1" applyBorder="1" applyAlignment="1">
      <alignment horizontal="center" vertical="center" wrapText="1"/>
    </xf>
    <xf numFmtId="0" fontId="54" fillId="0" borderId="0" xfId="14" applyFont="1" applyFill="1" applyBorder="1" applyAlignment="1">
      <alignment horizontal="left" vertical="center"/>
    </xf>
    <xf numFmtId="0" fontId="54" fillId="0" borderId="0" xfId="14" applyFont="1" applyFill="1" applyBorder="1" applyAlignment="1">
      <alignment horizontal="center" vertical="center" wrapText="1"/>
    </xf>
    <xf numFmtId="0" fontId="0" fillId="0" borderId="27" xfId="0" applyBorder="1"/>
    <xf numFmtId="167" fontId="34" fillId="6" borderId="29" xfId="0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3" fontId="56" fillId="6" borderId="31" xfId="0" applyNumberFormat="1" applyFont="1" applyFill="1" applyBorder="1" applyAlignment="1">
      <alignment horizontal="center" vertical="center"/>
    </xf>
    <xf numFmtId="3" fontId="34" fillId="6" borderId="62" xfId="0" applyNumberFormat="1" applyFont="1" applyFill="1" applyBorder="1" applyAlignment="1">
      <alignment horizontal="center" vertical="center"/>
    </xf>
    <xf numFmtId="0" fontId="31" fillId="0" borderId="28" xfId="9" applyFont="1" applyBorder="1"/>
    <xf numFmtId="3" fontId="56" fillId="0" borderId="0" xfId="0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left" vertical="center"/>
    </xf>
    <xf numFmtId="0" fontId="31" fillId="0" borderId="13" xfId="9" applyFont="1" applyBorder="1"/>
    <xf numFmtId="0" fontId="31" fillId="0" borderId="69" xfId="9" applyFont="1" applyBorder="1"/>
    <xf numFmtId="0" fontId="11" fillId="0" borderId="1" xfId="0" applyFont="1" applyFill="1" applyBorder="1" applyAlignment="1">
      <alignment horizontal="left" vertical="center"/>
    </xf>
    <xf numFmtId="0" fontId="11" fillId="0" borderId="66" xfId="0" applyFont="1" applyFill="1" applyBorder="1" applyAlignment="1">
      <alignment horizontal="left" vertical="center"/>
    </xf>
    <xf numFmtId="0" fontId="11" fillId="0" borderId="68" xfId="0" applyFont="1" applyFill="1" applyBorder="1" applyAlignment="1">
      <alignment horizontal="left" vertical="center"/>
    </xf>
    <xf numFmtId="0" fontId="11" fillId="0" borderId="69" xfId="0" applyFont="1" applyFill="1" applyBorder="1" applyAlignment="1">
      <alignment horizontal="left" vertical="center"/>
    </xf>
    <xf numFmtId="167" fontId="11" fillId="0" borderId="0" xfId="0" applyNumberFormat="1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0" fontId="11" fillId="0" borderId="65" xfId="0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/>
    </xf>
    <xf numFmtId="170" fontId="61" fillId="0" borderId="0" xfId="0" applyNumberFormat="1" applyFont="1" applyFill="1" applyBorder="1" applyAlignment="1">
      <alignment horizontal="center" vertical="center"/>
    </xf>
    <xf numFmtId="2" fontId="61" fillId="0" borderId="0" xfId="0" applyNumberFormat="1" applyFont="1" applyFill="1" applyBorder="1" applyAlignment="1">
      <alignment horizontal="center" vertical="center"/>
    </xf>
    <xf numFmtId="167" fontId="34" fillId="6" borderId="31" xfId="0" applyNumberFormat="1" applyFont="1" applyFill="1" applyBorder="1" applyAlignment="1">
      <alignment horizontal="center" vertical="center"/>
    </xf>
    <xf numFmtId="0" fontId="31" fillId="0" borderId="8" xfId="9" applyFont="1" applyBorder="1"/>
    <xf numFmtId="166" fontId="11" fillId="7" borderId="31" xfId="0" applyNumberFormat="1" applyFont="1" applyFill="1" applyBorder="1" applyAlignment="1">
      <alignment horizontal="center" vertical="center"/>
    </xf>
    <xf numFmtId="0" fontId="11" fillId="0" borderId="0" xfId="8" applyFont="1" applyBorder="1"/>
    <xf numFmtId="2" fontId="11" fillId="0" borderId="0" xfId="0" applyNumberFormat="1" applyFont="1" applyFill="1" applyBorder="1" applyAlignment="1">
      <alignment horizontal="center" vertical="center"/>
    </xf>
    <xf numFmtId="167" fontId="34" fillId="7" borderId="29" xfId="0" applyNumberFormat="1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54" fillId="3" borderId="7" xfId="14" applyFont="1" applyFill="1" applyBorder="1" applyAlignment="1">
      <alignment horizontal="left" vertical="center"/>
    </xf>
    <xf numFmtId="0" fontId="54" fillId="3" borderId="7" xfId="14" applyFont="1" applyFill="1" applyBorder="1" applyAlignment="1">
      <alignment horizontal="center" vertical="center" wrapText="1"/>
    </xf>
    <xf numFmtId="0" fontId="7" fillId="0" borderId="27" xfId="14" applyFont="1" applyFill="1" applyBorder="1" applyAlignment="1">
      <alignment horizontal="left"/>
    </xf>
    <xf numFmtId="0" fontId="63" fillId="0" borderId="0" xfId="0" applyFont="1" applyFill="1" applyBorder="1" applyAlignment="1">
      <alignment horizontal="left" vertical="center"/>
    </xf>
    <xf numFmtId="0" fontId="56" fillId="0" borderId="29" xfId="0" applyFont="1" applyFill="1" applyBorder="1" applyAlignment="1">
      <alignment horizontal="right" vertical="center"/>
    </xf>
    <xf numFmtId="4" fontId="56" fillId="7" borderId="31" xfId="0" applyNumberFormat="1" applyFont="1" applyFill="1" applyBorder="1" applyAlignment="1">
      <alignment horizontal="center" vertical="center"/>
    </xf>
    <xf numFmtId="0" fontId="56" fillId="0" borderId="31" xfId="0" applyFont="1" applyFill="1" applyBorder="1" applyAlignment="1">
      <alignment horizontal="left" vertical="center"/>
    </xf>
    <xf numFmtId="3" fontId="56" fillId="7" borderId="31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13" borderId="31" xfId="0" applyFont="1" applyFill="1" applyBorder="1" applyAlignment="1">
      <alignment horizontal="center" vertical="center"/>
    </xf>
    <xf numFmtId="0" fontId="56" fillId="0" borderId="2" xfId="0" applyFont="1" applyFill="1" applyBorder="1" applyAlignment="1">
      <alignment horizontal="left" vertical="center"/>
    </xf>
    <xf numFmtId="0" fontId="56" fillId="0" borderId="2" xfId="0" applyFont="1" applyFill="1" applyBorder="1" applyAlignment="1">
      <alignment horizontal="right" vertical="center"/>
    </xf>
    <xf numFmtId="0" fontId="56" fillId="0" borderId="0" xfId="0" applyFont="1" applyBorder="1" applyAlignment="1">
      <alignment horizontal="left"/>
    </xf>
    <xf numFmtId="0" fontId="1" fillId="0" borderId="0" xfId="0" quotePrefix="1" applyFont="1"/>
    <xf numFmtId="2" fontId="34" fillId="4" borderId="29" xfId="5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right" vertical="center"/>
    </xf>
    <xf numFmtId="0" fontId="56" fillId="0" borderId="0" xfId="0" applyFont="1" applyFill="1" applyBorder="1" applyAlignment="1">
      <alignment horizontal="left"/>
    </xf>
    <xf numFmtId="0" fontId="11" fillId="0" borderId="31" xfId="8" applyFill="1"/>
    <xf numFmtId="0" fontId="11" fillId="0" borderId="0" xfId="8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1" xfId="0" applyFont="1" applyBorder="1"/>
    <xf numFmtId="0" fontId="4" fillId="0" borderId="31" xfId="0" applyFont="1" applyBorder="1" applyAlignment="1">
      <alignment horizontal="center"/>
    </xf>
    <xf numFmtId="2" fontId="1" fillId="6" borderId="31" xfId="0" applyNumberFormat="1" applyFont="1" applyFill="1" applyBorder="1"/>
    <xf numFmtId="2" fontId="0" fillId="6" borderId="31" xfId="0" applyNumberFormat="1" applyFill="1" applyBorder="1" applyAlignment="1">
      <alignment horizontal="right"/>
    </xf>
    <xf numFmtId="167" fontId="34" fillId="6" borderId="59" xfId="0" applyNumberFormat="1" applyFont="1" applyFill="1" applyBorder="1" applyAlignment="1">
      <alignment horizontal="center" vertical="center"/>
    </xf>
    <xf numFmtId="0" fontId="65" fillId="8" borderId="0" xfId="14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right" vertical="center"/>
    </xf>
    <xf numFmtId="167" fontId="17" fillId="0" borderId="0" xfId="0" applyNumberFormat="1" applyFont="1" applyFill="1" applyBorder="1" applyAlignment="1">
      <alignment horizontal="center" vertical="center"/>
    </xf>
    <xf numFmtId="0" fontId="31" fillId="0" borderId="55" xfId="9" applyFont="1" applyBorder="1"/>
    <xf numFmtId="0" fontId="31" fillId="0" borderId="27" xfId="9" applyFont="1" applyFill="1" applyBorder="1"/>
    <xf numFmtId="0" fontId="17" fillId="0" borderId="0" xfId="15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right" vertical="center"/>
    </xf>
    <xf numFmtId="2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Border="1"/>
    <xf numFmtId="0" fontId="58" fillId="0" borderId="0" xfId="8" applyFont="1" applyBorder="1"/>
    <xf numFmtId="0" fontId="66" fillId="0" borderId="0" xfId="0" applyFont="1" applyFill="1" applyBorder="1" applyAlignment="1">
      <alignment horizontal="left" vertical="center"/>
    </xf>
    <xf numFmtId="0" fontId="67" fillId="0" borderId="0" xfId="9" applyFont="1" applyBorder="1"/>
    <xf numFmtId="0" fontId="0" fillId="0" borderId="0" xfId="0" applyBorder="1" applyAlignment="1">
      <alignment horizontal="right"/>
    </xf>
    <xf numFmtId="3" fontId="34" fillId="7" borderId="31" xfId="0" applyNumberFormat="1" applyFont="1" applyFill="1" applyBorder="1" applyAlignment="1">
      <alignment horizontal="center" vertical="center"/>
    </xf>
    <xf numFmtId="3" fontId="34" fillId="4" borderId="31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1" fillId="0" borderId="31" xfId="8" applyFont="1" applyBorder="1"/>
    <xf numFmtId="0" fontId="17" fillId="0" borderId="54" xfId="0" applyFont="1" applyBorder="1"/>
    <xf numFmtId="0" fontId="4" fillId="0" borderId="72" xfId="0" applyFont="1" applyBorder="1"/>
    <xf numFmtId="0" fontId="4" fillId="0" borderId="72" xfId="0" applyFont="1" applyBorder="1" applyAlignment="1">
      <alignment horizontal="center"/>
    </xf>
    <xf numFmtId="0" fontId="4" fillId="0" borderId="73" xfId="0" applyFont="1" applyBorder="1" applyAlignment="1">
      <alignment horizontal="center"/>
    </xf>
    <xf numFmtId="2" fontId="0" fillId="6" borderId="30" xfId="0" applyNumberFormat="1" applyFill="1" applyBorder="1" applyAlignment="1">
      <alignment horizontal="right"/>
    </xf>
    <xf numFmtId="2" fontId="0" fillId="0" borderId="62" xfId="0" applyNumberFormat="1" applyBorder="1"/>
    <xf numFmtId="0" fontId="0" fillId="0" borderId="62" xfId="0" applyBorder="1"/>
    <xf numFmtId="0" fontId="4" fillId="0" borderId="66" xfId="0" applyFont="1" applyBorder="1"/>
    <xf numFmtId="0" fontId="4" fillId="0" borderId="61" xfId="0" applyFont="1" applyBorder="1"/>
    <xf numFmtId="164" fontId="1" fillId="6" borderId="31" xfId="5" applyFont="1" applyFill="1" applyBorder="1"/>
    <xf numFmtId="0" fontId="31" fillId="0" borderId="2" xfId="9" applyFont="1" applyBorder="1"/>
    <xf numFmtId="0" fontId="31" fillId="0" borderId="29" xfId="9" applyFont="1" applyBorder="1"/>
    <xf numFmtId="0" fontId="31" fillId="0" borderId="65" xfId="9" applyFont="1" applyBorder="1"/>
    <xf numFmtId="0" fontId="8" fillId="0" borderId="31" xfId="0" applyFont="1" applyFill="1" applyBorder="1" applyAlignment="1">
      <alignment vertical="center"/>
    </xf>
    <xf numFmtId="0" fontId="8" fillId="0" borderId="55" xfId="0" applyFont="1" applyFill="1" applyBorder="1" applyAlignment="1">
      <alignment vertical="center"/>
    </xf>
    <xf numFmtId="0" fontId="1" fillId="0" borderId="1" xfId="14" applyFont="1" applyFill="1" applyBorder="1" applyAlignment="1">
      <alignment horizontal="center" vertical="top" wrapText="1"/>
    </xf>
    <xf numFmtId="0" fontId="1" fillId="0" borderId="14" xfId="14" applyNumberFormat="1" applyFont="1" applyFill="1" applyBorder="1" applyAlignment="1">
      <alignment horizontal="justify" vertical="top" wrapText="1"/>
    </xf>
    <xf numFmtId="0" fontId="4" fillId="0" borderId="14" xfId="14" applyFont="1" applyFill="1" applyBorder="1" applyAlignment="1">
      <alignment horizontal="justify" vertical="top" wrapText="1"/>
    </xf>
    <xf numFmtId="49" fontId="1" fillId="0" borderId="1" xfId="14" applyNumberFormat="1" applyFont="1" applyFill="1" applyBorder="1" applyAlignment="1">
      <alignment horizontal="center" vertical="top"/>
    </xf>
    <xf numFmtId="0" fontId="4" fillId="0" borderId="14" xfId="14" applyNumberFormat="1" applyFont="1" applyFill="1" applyBorder="1" applyAlignment="1">
      <alignment horizontal="justify" vertical="top" wrapText="1"/>
    </xf>
    <xf numFmtId="0" fontId="1" fillId="0" borderId="14" xfId="14" applyFont="1" applyFill="1" applyBorder="1" applyAlignment="1">
      <alignment horizontal="justify" vertical="top" wrapText="1"/>
    </xf>
    <xf numFmtId="0" fontId="1" fillId="0" borderId="14" xfId="14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justify"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0" borderId="0" xfId="0" applyFont="1" applyFill="1"/>
    <xf numFmtId="2" fontId="1" fillId="6" borderId="70" xfId="0" applyNumberFormat="1" applyFont="1" applyFill="1" applyBorder="1"/>
    <xf numFmtId="2" fontId="1" fillId="6" borderId="55" xfId="0" applyNumberFormat="1" applyFont="1" applyFill="1" applyBorder="1"/>
    <xf numFmtId="2" fontId="1" fillId="6" borderId="62" xfId="0" applyNumberFormat="1" applyFont="1" applyFill="1" applyBorder="1"/>
    <xf numFmtId="2" fontId="0" fillId="6" borderId="62" xfId="0" applyNumberFormat="1" applyFill="1" applyBorder="1" applyAlignment="1">
      <alignment horizontal="right"/>
    </xf>
    <xf numFmtId="0" fontId="4" fillId="0" borderId="24" xfId="9" applyFont="1" applyFill="1" applyBorder="1"/>
    <xf numFmtId="2" fontId="31" fillId="6" borderId="67" xfId="9" applyNumberFormat="1" applyFont="1" applyFill="1" applyBorder="1"/>
    <xf numFmtId="0" fontId="4" fillId="0" borderId="0" xfId="0" applyFont="1" applyBorder="1" applyAlignment="1"/>
    <xf numFmtId="0" fontId="4" fillId="0" borderId="72" xfId="0" applyFont="1" applyBorder="1" applyAlignment="1"/>
    <xf numFmtId="0" fontId="0" fillId="0" borderId="0" xfId="0" applyBorder="1"/>
    <xf numFmtId="0" fontId="29" fillId="0" borderId="0" xfId="2" applyFont="1" applyFill="1" applyBorder="1" applyAlignment="1" applyProtection="1">
      <alignment horizontal="justify" vertical="center" wrapText="1"/>
      <protection locked="0"/>
    </xf>
    <xf numFmtId="0" fontId="2" fillId="0" borderId="41" xfId="0" applyFont="1" applyFill="1" applyBorder="1" applyAlignment="1">
      <alignment vertical="center"/>
    </xf>
    <xf numFmtId="0" fontId="4" fillId="0" borderId="4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4" fontId="4" fillId="0" borderId="49" xfId="0" quotePrefix="1" applyNumberFormat="1" applyFont="1" applyFill="1" applyBorder="1" applyAlignment="1">
      <alignment horizontal="center" vertical="center" wrapText="1"/>
    </xf>
    <xf numFmtId="0" fontId="27" fillId="0" borderId="34" xfId="14" applyFont="1" applyFill="1" applyBorder="1" applyAlignment="1">
      <alignment horizontal="left" vertical="center" indent="3"/>
    </xf>
    <xf numFmtId="169" fontId="26" fillId="0" borderId="34" xfId="14" applyNumberFormat="1" applyFont="1" applyFill="1" applyBorder="1" applyAlignment="1" applyProtection="1">
      <alignment horizontal="right" vertical="center"/>
      <protection locked="0"/>
    </xf>
    <xf numFmtId="0" fontId="27" fillId="0" borderId="0" xfId="14" applyFont="1" applyFill="1" applyBorder="1" applyAlignment="1">
      <alignment horizontal="left" vertical="center" indent="3"/>
    </xf>
    <xf numFmtId="169" fontId="26" fillId="0" borderId="0" xfId="14" applyNumberFormat="1" applyFont="1" applyFill="1" applyBorder="1" applyAlignment="1" applyProtection="1">
      <alignment horizontal="right" vertical="center"/>
      <protection locked="0"/>
    </xf>
    <xf numFmtId="0" fontId="48" fillId="0" borderId="0" xfId="14" applyFont="1" applyFill="1" applyBorder="1" applyAlignment="1">
      <alignment horizontal="left" vertical="center" indent="3"/>
    </xf>
    <xf numFmtId="0" fontId="1" fillId="0" borderId="2" xfId="0" applyFont="1" applyBorder="1" applyAlignment="1"/>
    <xf numFmtId="3" fontId="1" fillId="0" borderId="14" xfId="10" applyNumberFormat="1" applyFont="1" applyBorder="1" applyAlignment="1">
      <alignment horizontal="center" vertical="center" wrapText="1"/>
    </xf>
    <xf numFmtId="0" fontId="4" fillId="5" borderId="7" xfId="14" applyFont="1" applyFill="1" applyBorder="1" applyAlignment="1">
      <alignment horizontal="left" vertical="center"/>
    </xf>
    <xf numFmtId="0" fontId="1" fillId="0" borderId="0" xfId="0" applyFont="1" applyFill="1" applyBorder="1" applyAlignment="1"/>
    <xf numFmtId="0" fontId="4" fillId="0" borderId="0" xfId="14" applyFont="1" applyFill="1" applyBorder="1" applyAlignment="1">
      <alignment horizontal="left" vertical="center"/>
    </xf>
    <xf numFmtId="0" fontId="32" fillId="0" borderId="73" xfId="10" applyFont="1" applyBorder="1" applyAlignment="1">
      <alignment horizontal="center" vertical="center" wrapText="1"/>
    </xf>
    <xf numFmtId="167" fontId="1" fillId="0" borderId="30" xfId="10" applyNumberFormat="1" applyFont="1" applyBorder="1" applyAlignment="1">
      <alignment horizontal="center" vertical="center" wrapText="1"/>
    </xf>
    <xf numFmtId="3" fontId="1" fillId="0" borderId="13" xfId="10" applyNumberFormat="1" applyFont="1" applyBorder="1" applyAlignment="1">
      <alignment horizontal="center" vertical="center" wrapText="1"/>
    </xf>
    <xf numFmtId="3" fontId="1" fillId="0" borderId="57" xfId="10" applyNumberFormat="1" applyFont="1" applyBorder="1" applyAlignment="1">
      <alignment horizontal="center" vertical="center" wrapText="1"/>
    </xf>
    <xf numFmtId="0" fontId="4" fillId="5" borderId="4" xfId="14" applyFont="1" applyFill="1" applyBorder="1" applyAlignment="1">
      <alignment horizontal="left" vertical="center"/>
    </xf>
    <xf numFmtId="0" fontId="1" fillId="0" borderId="7" xfId="10" applyFont="1" applyBorder="1" applyAlignment="1">
      <alignment horizontal="left" vertical="top"/>
    </xf>
    <xf numFmtId="0" fontId="4" fillId="0" borderId="41" xfId="14" applyFont="1" applyFill="1" applyBorder="1" applyAlignment="1">
      <alignment horizontal="left" vertical="center"/>
    </xf>
    <xf numFmtId="3" fontId="1" fillId="0" borderId="30" xfId="10" applyNumberFormat="1" applyFont="1" applyBorder="1" applyAlignment="1">
      <alignment horizontal="center" vertical="center" wrapText="1"/>
    </xf>
    <xf numFmtId="0" fontId="4" fillId="5" borderId="0" xfId="14" applyFont="1" applyFill="1" applyBorder="1" applyAlignment="1">
      <alignment horizontal="left" vertical="center"/>
    </xf>
    <xf numFmtId="0" fontId="4" fillId="0" borderId="4" xfId="14" applyFont="1" applyFill="1" applyBorder="1" applyAlignment="1">
      <alignment horizontal="left" vertical="center"/>
    </xf>
    <xf numFmtId="0" fontId="1" fillId="0" borderId="7" xfId="10" applyFont="1" applyFill="1" applyBorder="1" applyAlignment="1">
      <alignment horizontal="left" vertical="top"/>
    </xf>
    <xf numFmtId="0" fontId="27" fillId="0" borderId="37" xfId="14" applyFont="1" applyFill="1" applyBorder="1" applyAlignment="1">
      <alignment horizontal="left" vertical="center" indent="3"/>
    </xf>
    <xf numFmtId="169" fontId="26" fillId="0" borderId="37" xfId="14" applyNumberFormat="1" applyFont="1" applyFill="1" applyBorder="1" applyAlignment="1" applyProtection="1">
      <alignment horizontal="right" vertical="center"/>
      <protection locked="0"/>
    </xf>
    <xf numFmtId="0" fontId="27" fillId="0" borderId="41" xfId="14" applyFont="1" applyFill="1" applyBorder="1" applyAlignment="1">
      <alignment horizontal="left" vertical="center" indent="3"/>
    </xf>
    <xf numFmtId="169" fontId="26" fillId="0" borderId="41" xfId="14" applyNumberFormat="1" applyFont="1" applyFill="1" applyBorder="1" applyAlignment="1" applyProtection="1">
      <alignment horizontal="right" vertical="center"/>
      <protection locked="0"/>
    </xf>
    <xf numFmtId="167" fontId="1" fillId="0" borderId="13" xfId="10" applyNumberFormat="1" applyFont="1" applyBorder="1" applyAlignment="1">
      <alignment horizontal="center" vertical="center" wrapText="1"/>
    </xf>
    <xf numFmtId="0" fontId="11" fillId="0" borderId="30" xfId="8" applyBorder="1"/>
    <xf numFmtId="0" fontId="43" fillId="10" borderId="34" xfId="14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8" borderId="0" xfId="0" applyFill="1" applyBorder="1"/>
    <xf numFmtId="0" fontId="4" fillId="0" borderId="61" xfId="0" applyFont="1" applyBorder="1" applyAlignment="1">
      <alignment horizontal="center"/>
    </xf>
    <xf numFmtId="0" fontId="33" fillId="0" borderId="59" xfId="0" applyFont="1" applyBorder="1" applyAlignment="1">
      <alignment horizontal="center"/>
    </xf>
    <xf numFmtId="0" fontId="27" fillId="0" borderId="34" xfId="2" applyFont="1" applyFill="1" applyBorder="1" applyAlignment="1">
      <alignment horizontal="left" vertical="center" indent="3"/>
    </xf>
    <xf numFmtId="169" fontId="26" fillId="0" borderId="34" xfId="2" applyNumberFormat="1" applyFont="1" applyFill="1" applyBorder="1" applyAlignment="1" applyProtection="1">
      <alignment horizontal="right" vertical="center"/>
      <protection locked="0"/>
    </xf>
    <xf numFmtId="169" fontId="26" fillId="0" borderId="0" xfId="2" applyNumberFormat="1" applyFont="1" applyFill="1" applyBorder="1" applyAlignment="1" applyProtection="1">
      <alignment horizontal="right" vertical="center"/>
      <protection locked="0"/>
    </xf>
    <xf numFmtId="0" fontId="48" fillId="0" borderId="0" xfId="2" applyFont="1" applyFill="1" applyBorder="1" applyAlignment="1">
      <alignment horizontal="left" vertical="center" indent="3"/>
    </xf>
    <xf numFmtId="0" fontId="4" fillId="5" borderId="7" xfId="2" applyFont="1" applyFill="1" applyBorder="1" applyAlignment="1">
      <alignment horizontal="left" vertical="center"/>
    </xf>
    <xf numFmtId="0" fontId="4" fillId="5" borderId="4" xfId="2" applyFont="1" applyFill="1" applyBorder="1" applyAlignment="1">
      <alignment horizontal="left" vertical="center"/>
    </xf>
    <xf numFmtId="0" fontId="4" fillId="0" borderId="41" xfId="2" applyFont="1" applyFill="1" applyBorder="1" applyAlignment="1">
      <alignment horizontal="left" vertical="center"/>
    </xf>
    <xf numFmtId="0" fontId="27" fillId="0" borderId="37" xfId="2" applyFont="1" applyFill="1" applyBorder="1" applyAlignment="1">
      <alignment horizontal="left" vertical="center" indent="3"/>
    </xf>
    <xf numFmtId="169" fontId="26" fillId="0" borderId="37" xfId="2" applyNumberFormat="1" applyFont="1" applyFill="1" applyBorder="1" applyAlignment="1" applyProtection="1">
      <alignment horizontal="right" vertical="center"/>
      <protection locked="0"/>
    </xf>
    <xf numFmtId="0" fontId="27" fillId="0" borderId="41" xfId="2" applyFont="1" applyFill="1" applyBorder="1" applyAlignment="1">
      <alignment horizontal="left" vertical="center" indent="3"/>
    </xf>
    <xf numFmtId="169" fontId="26" fillId="0" borderId="41" xfId="2" applyNumberFormat="1" applyFont="1" applyFill="1" applyBorder="1" applyAlignment="1" applyProtection="1">
      <alignment horizontal="right" vertical="center"/>
      <protection locked="0"/>
    </xf>
    <xf numFmtId="0" fontId="43" fillId="10" borderId="34" xfId="2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 wrapText="1"/>
    </xf>
    <xf numFmtId="39" fontId="3" fillId="0" borderId="0" xfId="5" applyNumberFormat="1" applyFont="1" applyFill="1" applyBorder="1" applyAlignment="1">
      <alignment horizontal="centerContinuous" vertical="center" wrapText="1"/>
    </xf>
    <xf numFmtId="0" fontId="11" fillId="0" borderId="0" xfId="0" applyFont="1" applyBorder="1" applyAlignment="1">
      <alignment horizontal="right" vertical="center" indent="2"/>
    </xf>
    <xf numFmtId="0" fontId="4" fillId="0" borderId="37" xfId="0" applyFont="1" applyFill="1" applyBorder="1" applyAlignment="1">
      <alignment horizontal="left" vertical="center" wrapText="1"/>
    </xf>
    <xf numFmtId="14" fontId="4" fillId="0" borderId="41" xfId="0" quotePrefix="1" applyNumberFormat="1" applyFont="1" applyFill="1" applyBorder="1" applyAlignment="1">
      <alignment horizontal="left" vertical="center" wrapText="1"/>
    </xf>
    <xf numFmtId="49" fontId="5" fillId="0" borderId="29" xfId="0" applyNumberFormat="1" applyFont="1" applyFill="1" applyBorder="1" applyAlignment="1">
      <alignment horizontal="center" vertical="center" wrapText="1"/>
    </xf>
    <xf numFmtId="3" fontId="5" fillId="0" borderId="30" xfId="0" applyNumberFormat="1" applyFont="1" applyFill="1" applyBorder="1" applyAlignment="1">
      <alignment horizontal="center" vertical="center" wrapText="1"/>
    </xf>
    <xf numFmtId="4" fontId="6" fillId="0" borderId="14" xfId="0" applyNumberFormat="1" applyFont="1" applyFill="1" applyBorder="1"/>
    <xf numFmtId="0" fontId="39" fillId="9" borderId="0" xfId="0" applyFont="1" applyFill="1" applyBorder="1" applyAlignment="1">
      <alignment horizontal="left"/>
    </xf>
    <xf numFmtId="4" fontId="39" fillId="9" borderId="14" xfId="0" applyNumberFormat="1" applyFont="1" applyFill="1" applyBorder="1"/>
    <xf numFmtId="0" fontId="4" fillId="2" borderId="9" xfId="0" applyFont="1" applyFill="1" applyBorder="1" applyAlignment="1">
      <alignment wrapText="1"/>
    </xf>
    <xf numFmtId="164" fontId="1" fillId="2" borderId="14" xfId="5" applyFont="1" applyFill="1" applyBorder="1" applyAlignment="1">
      <alignment horizontal="justify" vertical="top" wrapText="1"/>
    </xf>
    <xf numFmtId="0" fontId="1" fillId="0" borderId="9" xfId="0" applyFont="1" applyFill="1" applyBorder="1" applyAlignment="1">
      <alignment horizontal="left" wrapText="1"/>
    </xf>
    <xf numFmtId="164" fontId="1" fillId="0" borderId="14" xfId="5" applyFont="1" applyFill="1" applyBorder="1" applyAlignment="1">
      <alignment horizontal="justify" vertical="top" wrapText="1"/>
    </xf>
    <xf numFmtId="0" fontId="4" fillId="0" borderId="9" xfId="0" applyFont="1" applyFill="1" applyBorder="1" applyAlignment="1">
      <alignment horizontal="left" wrapText="1"/>
    </xf>
    <xf numFmtId="3" fontId="1" fillId="0" borderId="14" xfId="16" applyNumberFormat="1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left" wrapText="1"/>
    </xf>
    <xf numFmtId="0" fontId="42" fillId="0" borderId="9" xfId="0" applyFont="1" applyFill="1" applyBorder="1" applyAlignment="1">
      <alignment horizontal="left" wrapText="1"/>
    </xf>
    <xf numFmtId="0" fontId="4" fillId="0" borderId="9" xfId="0" applyFont="1" applyFill="1" applyBorder="1" applyAlignment="1">
      <alignment horizontal="left" vertical="center" wrapText="1"/>
    </xf>
    <xf numFmtId="0" fontId="42" fillId="0" borderId="9" xfId="14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left" vertical="top" wrapText="1"/>
    </xf>
    <xf numFmtId="0" fontId="41" fillId="0" borderId="9" xfId="14" applyFont="1" applyFill="1" applyBorder="1" applyAlignment="1">
      <alignment horizontal="left" wrapText="1"/>
    </xf>
    <xf numFmtId="0" fontId="46" fillId="0" borderId="9" xfId="0" applyFont="1" applyFill="1" applyBorder="1" applyAlignment="1">
      <alignment horizontal="left" wrapText="1"/>
    </xf>
    <xf numFmtId="0" fontId="45" fillId="0" borderId="9" xfId="14" applyFont="1" applyFill="1" applyBorder="1" applyAlignment="1">
      <alignment horizontal="left" wrapText="1"/>
    </xf>
    <xf numFmtId="0" fontId="46" fillId="0" borderId="9" xfId="14" applyFont="1" applyFill="1" applyBorder="1" applyAlignment="1">
      <alignment horizontal="left" wrapText="1"/>
    </xf>
    <xf numFmtId="167" fontId="1" fillId="0" borderId="14" xfId="16" applyNumberFormat="1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left" wrapText="1"/>
    </xf>
    <xf numFmtId="0" fontId="10" fillId="0" borderId="9" xfId="0" applyFont="1" applyFill="1" applyBorder="1" applyAlignment="1">
      <alignment horizontal="left" wrapText="1"/>
    </xf>
    <xf numFmtId="0" fontId="42" fillId="0" borderId="9" xfId="2" applyFont="1" applyFill="1" applyBorder="1" applyAlignment="1">
      <alignment horizontal="left" wrapText="1"/>
    </xf>
    <xf numFmtId="0" fontId="41" fillId="0" borderId="9" xfId="2" applyFont="1" applyFill="1" applyBorder="1" applyAlignment="1">
      <alignment horizontal="left" wrapText="1"/>
    </xf>
    <xf numFmtId="0" fontId="1" fillId="0" borderId="9" xfId="2" applyFont="1" applyFill="1" applyBorder="1" applyAlignment="1">
      <alignment horizontal="left" wrapText="1"/>
    </xf>
    <xf numFmtId="0" fontId="45" fillId="0" borderId="9" xfId="2" applyFont="1" applyFill="1" applyBorder="1" applyAlignment="1">
      <alignment horizontal="left" wrapText="1"/>
    </xf>
    <xf numFmtId="0" fontId="46" fillId="0" borderId="9" xfId="2" applyFont="1" applyFill="1" applyBorder="1" applyAlignment="1">
      <alignment horizontal="left" wrapText="1"/>
    </xf>
    <xf numFmtId="164" fontId="10" fillId="2" borderId="14" xfId="5" applyFont="1" applyFill="1" applyBorder="1" applyAlignment="1">
      <alignment horizontal="justify" vertical="top" wrapText="1"/>
    </xf>
    <xf numFmtId="164" fontId="10" fillId="0" borderId="14" xfId="5" applyFont="1" applyFill="1" applyBorder="1" applyAlignment="1">
      <alignment horizontal="justify" vertical="top" wrapText="1"/>
    </xf>
    <xf numFmtId="3" fontId="1" fillId="0" borderId="14" xfId="7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left" vertical="center"/>
    </xf>
    <xf numFmtId="0" fontId="0" fillId="0" borderId="3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16" borderId="0" xfId="0" applyFill="1" applyBorder="1" applyAlignment="1">
      <alignment horizontal="left"/>
    </xf>
    <xf numFmtId="0" fontId="7" fillId="16" borderId="0" xfId="2" applyFont="1" applyFill="1" applyBorder="1" applyAlignment="1">
      <alignment horizontal="left"/>
    </xf>
    <xf numFmtId="0" fontId="6" fillId="16" borderId="0" xfId="2" applyFont="1" applyFill="1" applyBorder="1" applyAlignment="1">
      <alignment horizontal="center"/>
    </xf>
    <xf numFmtId="0" fontId="11" fillId="16" borderId="0" xfId="8" applyFill="1" applyBorder="1"/>
    <xf numFmtId="2" fontId="7" fillId="16" borderId="0" xfId="2" applyNumberFormat="1" applyFont="1" applyFill="1" applyBorder="1" applyAlignment="1">
      <alignment horizontal="left"/>
    </xf>
    <xf numFmtId="0" fontId="1" fillId="16" borderId="0" xfId="0" applyFont="1" applyFill="1" applyBorder="1" applyAlignment="1">
      <alignment horizontal="left"/>
    </xf>
    <xf numFmtId="164" fontId="1" fillId="0" borderId="31" xfId="5" applyFont="1" applyFill="1" applyBorder="1"/>
    <xf numFmtId="171" fontId="53" fillId="0" borderId="31" xfId="2" applyNumberFormat="1" applyFont="1" applyFill="1" applyBorder="1"/>
    <xf numFmtId="170" fontId="53" fillId="0" borderId="31" xfId="2" applyNumberFormat="1" applyFont="1" applyFill="1" applyBorder="1"/>
    <xf numFmtId="172" fontId="1" fillId="4" borderId="31" xfId="5" applyNumberFormat="1" applyFont="1" applyFill="1" applyBorder="1"/>
    <xf numFmtId="0" fontId="39" fillId="0" borderId="0" xfId="2" applyFont="1" applyFill="1" applyBorder="1" applyAlignment="1">
      <alignment horizontal="center"/>
    </xf>
    <xf numFmtId="164" fontId="1" fillId="11" borderId="29" xfId="5" applyFont="1" applyFill="1" applyBorder="1"/>
    <xf numFmtId="0" fontId="4" fillId="0" borderId="18" xfId="2" applyFont="1" applyFill="1" applyBorder="1" applyAlignment="1">
      <alignment horizontal="left" vertical="center"/>
    </xf>
    <xf numFmtId="0" fontId="1" fillId="0" borderId="74" xfId="2" applyFont="1" applyFill="1" applyBorder="1" applyAlignment="1">
      <alignment horizontal="left" vertical="center"/>
    </xf>
    <xf numFmtId="0" fontId="1" fillId="0" borderId="20" xfId="2" applyFont="1" applyFill="1" applyBorder="1" applyAlignment="1">
      <alignment horizontal="left" vertical="center"/>
    </xf>
    <xf numFmtId="0" fontId="1" fillId="0" borderId="24" xfId="2" applyFont="1" applyFill="1" applyBorder="1" applyAlignment="1">
      <alignment horizontal="left" vertical="center"/>
    </xf>
    <xf numFmtId="164" fontId="1" fillId="0" borderId="0" xfId="5" applyFont="1" applyFill="1" applyBorder="1"/>
    <xf numFmtId="0" fontId="31" fillId="14" borderId="0" xfId="9" applyFont="1" applyFill="1" applyBorder="1"/>
    <xf numFmtId="0" fontId="6" fillId="14" borderId="0" xfId="2" applyFont="1" applyFill="1" applyBorder="1" applyAlignment="1">
      <alignment horizontal="center"/>
    </xf>
    <xf numFmtId="0" fontId="1" fillId="0" borderId="75" xfId="2" applyFont="1" applyFill="1" applyBorder="1" applyAlignment="1">
      <alignment horizontal="left" vertical="center"/>
    </xf>
    <xf numFmtId="0" fontId="1" fillId="0" borderId="60" xfId="2" applyFont="1" applyFill="1" applyBorder="1" applyAlignment="1">
      <alignment horizontal="right" vertical="center"/>
    </xf>
    <xf numFmtId="0" fontId="1" fillId="0" borderId="61" xfId="2" applyFont="1" applyFill="1" applyBorder="1" applyAlignment="1">
      <alignment horizontal="right" vertical="center"/>
    </xf>
    <xf numFmtId="167" fontId="4" fillId="4" borderId="61" xfId="2" applyNumberFormat="1" applyFont="1" applyFill="1" applyBorder="1" applyAlignment="1">
      <alignment horizontal="center" vertical="center"/>
    </xf>
    <xf numFmtId="0" fontId="1" fillId="0" borderId="76" xfId="2" applyFont="1" applyFill="1" applyBorder="1" applyAlignment="1">
      <alignment horizontal="left" vertical="center"/>
    </xf>
    <xf numFmtId="0" fontId="53" fillId="0" borderId="31" xfId="5" applyNumberFormat="1" applyFont="1" applyFill="1" applyBorder="1" applyAlignment="1">
      <alignment horizontal="center"/>
    </xf>
    <xf numFmtId="167" fontId="4" fillId="7" borderId="29" xfId="2" applyNumberFormat="1" applyFont="1" applyFill="1" applyBorder="1" applyAlignment="1">
      <alignment horizontal="center" vertical="center"/>
    </xf>
    <xf numFmtId="0" fontId="1" fillId="0" borderId="31" xfId="2" applyFont="1" applyFill="1" applyBorder="1" applyAlignment="1">
      <alignment horizontal="center"/>
    </xf>
    <xf numFmtId="164" fontId="1" fillId="0" borderId="31" xfId="5" applyFont="1" applyFill="1" applyBorder="1" applyAlignment="1">
      <alignment horizontal="center"/>
    </xf>
    <xf numFmtId="1" fontId="1" fillId="11" borderId="29" xfId="8" applyNumberFormat="1" applyFont="1" applyFill="1" applyBorder="1"/>
    <xf numFmtId="2" fontId="1" fillId="6" borderId="31" xfId="2" applyNumberFormat="1" applyFont="1" applyFill="1" applyBorder="1"/>
    <xf numFmtId="168" fontId="10" fillId="0" borderId="0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0" fontId="32" fillId="0" borderId="23" xfId="10" applyFont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49" fontId="6" fillId="0" borderId="9" xfId="0" applyNumberFormat="1" applyFont="1" applyFill="1" applyBorder="1" applyAlignment="1">
      <alignment horizontal="right" vertical="center"/>
    </xf>
    <xf numFmtId="49" fontId="6" fillId="0" borderId="9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right" vertical="center" indent="1"/>
    </xf>
    <xf numFmtId="0" fontId="0" fillId="0" borderId="10" xfId="0" applyFill="1" applyBorder="1"/>
    <xf numFmtId="0" fontId="0" fillId="0" borderId="11" xfId="0" applyFill="1" applyBorder="1"/>
    <xf numFmtId="0" fontId="30" fillId="0" borderId="10" xfId="0" applyFont="1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 indent="1"/>
    </xf>
    <xf numFmtId="49" fontId="22" fillId="0" borderId="3" xfId="0" applyNumberFormat="1" applyFont="1" applyFill="1" applyBorder="1" applyAlignment="1">
      <alignment horizontal="left" vertical="center"/>
    </xf>
    <xf numFmtId="49" fontId="6" fillId="0" borderId="9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right" vertical="center"/>
    </xf>
    <xf numFmtId="0" fontId="0" fillId="0" borderId="14" xfId="0" applyFill="1" applyBorder="1" applyAlignment="1">
      <alignment vertical="center"/>
    </xf>
    <xf numFmtId="0" fontId="6" fillId="0" borderId="9" xfId="0" applyFont="1" applyFill="1" applyBorder="1" applyAlignment="1">
      <alignment vertical="center"/>
    </xf>
    <xf numFmtId="0" fontId="30" fillId="0" borderId="15" xfId="0" applyFont="1" applyFill="1" applyBorder="1" applyAlignment="1">
      <alignment vertical="center"/>
    </xf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6" fillId="0" borderId="3" xfId="0" applyFont="1" applyFill="1" applyBorder="1" applyAlignment="1">
      <alignment horizontal="right" vertical="center" indent="1"/>
    </xf>
    <xf numFmtId="0" fontId="6" fillId="0" borderId="10" xfId="0" applyFont="1" applyFill="1" applyBorder="1"/>
    <xf numFmtId="0" fontId="6" fillId="0" borderId="3" xfId="0" applyFont="1" applyFill="1" applyBorder="1" applyAlignment="1">
      <alignment vertical="center"/>
    </xf>
    <xf numFmtId="49" fontId="6" fillId="0" borderId="9" xfId="0" applyNumberFormat="1" applyFont="1" applyFill="1" applyBorder="1" applyAlignment="1">
      <alignment horizontal="right" vertical="center" indent="1"/>
    </xf>
    <xf numFmtId="0" fontId="10" fillId="0" borderId="10" xfId="0" applyFont="1" applyFill="1" applyBorder="1"/>
    <xf numFmtId="0" fontId="10" fillId="0" borderId="3" xfId="0" applyFont="1" applyFill="1" applyBorder="1"/>
    <xf numFmtId="0" fontId="10" fillId="0" borderId="0" xfId="0" applyFont="1" applyFill="1" applyBorder="1" applyAlignment="1">
      <alignment horizontal="left" vertical="center"/>
    </xf>
    <xf numFmtId="0" fontId="69" fillId="0" borderId="0" xfId="2" applyFont="1" applyFill="1" applyBorder="1" applyAlignment="1" applyProtection="1">
      <alignment horizontal="left" vertical="center"/>
      <protection locked="0"/>
    </xf>
    <xf numFmtId="0" fontId="69" fillId="0" borderId="0" xfId="2" applyFont="1" applyFill="1" applyBorder="1" applyAlignment="1" applyProtection="1">
      <alignment horizontal="justify" vertical="center"/>
      <protection locked="0"/>
    </xf>
    <xf numFmtId="3" fontId="4" fillId="4" borderId="31" xfId="2" applyNumberFormat="1" applyFont="1" applyFill="1" applyBorder="1" applyAlignment="1">
      <alignment horizontal="center" vertical="center"/>
    </xf>
    <xf numFmtId="2" fontId="11" fillId="13" borderId="31" xfId="0" applyNumberFormat="1" applyFont="1" applyFill="1" applyBorder="1" applyAlignment="1">
      <alignment horizontal="center" vertical="center"/>
    </xf>
    <xf numFmtId="0" fontId="0" fillId="0" borderId="0" xfId="0" applyBorder="1"/>
    <xf numFmtId="0" fontId="8" fillId="0" borderId="29" xfId="0" applyFont="1" applyFill="1" applyBorder="1" applyAlignment="1">
      <alignment horizontal="left" vertical="center"/>
    </xf>
    <xf numFmtId="0" fontId="32" fillId="0" borderId="23" xfId="10" applyFont="1" applyBorder="1" applyAlignment="1">
      <alignment horizontal="center" vertical="center"/>
    </xf>
    <xf numFmtId="0" fontId="11" fillId="0" borderId="29" xfId="0" applyFont="1" applyFill="1" applyBorder="1" applyAlignment="1">
      <alignment horizontal="left" vertical="center"/>
    </xf>
    <xf numFmtId="0" fontId="31" fillId="0" borderId="18" xfId="9" applyFont="1" applyBorder="1"/>
    <xf numFmtId="0" fontId="34" fillId="0" borderId="18" xfId="0" applyFont="1" applyFill="1" applyBorder="1" applyAlignment="1">
      <alignment horizontal="left" vertical="center"/>
    </xf>
    <xf numFmtId="0" fontId="1" fillId="0" borderId="74" xfId="0" applyFont="1" applyFill="1" applyBorder="1" applyAlignment="1">
      <alignment horizontal="left" vertical="center"/>
    </xf>
    <xf numFmtId="0" fontId="11" fillId="0" borderId="18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horizontal="left" vertical="center"/>
    </xf>
    <xf numFmtId="0" fontId="1" fillId="0" borderId="78" xfId="0" applyFont="1" applyFill="1" applyBorder="1" applyAlignment="1">
      <alignment horizontal="left" vertical="center"/>
    </xf>
    <xf numFmtId="0" fontId="49" fillId="0" borderId="11" xfId="2" applyFont="1" applyFill="1" applyBorder="1" applyAlignment="1">
      <alignment horizontal="left" vertical="center"/>
    </xf>
    <xf numFmtId="0" fontId="1" fillId="16" borderId="0" xfId="17" applyFont="1" applyFill="1" applyBorder="1" applyAlignment="1">
      <alignment vertical="center"/>
    </xf>
    <xf numFmtId="164" fontId="1" fillId="11" borderId="31" xfId="5" applyFont="1" applyFill="1" applyBorder="1"/>
    <xf numFmtId="0" fontId="8" fillId="0" borderId="32" xfId="0" applyFont="1" applyFill="1" applyBorder="1" applyAlignment="1">
      <alignment horizontal="left" vertical="center"/>
    </xf>
    <xf numFmtId="0" fontId="11" fillId="0" borderId="79" xfId="0" applyFont="1" applyFill="1" applyBorder="1" applyAlignment="1">
      <alignment horizontal="left" vertical="center"/>
    </xf>
    <xf numFmtId="3" fontId="34" fillId="6" borderId="71" xfId="0" applyNumberFormat="1" applyFont="1" applyFill="1" applyBorder="1" applyAlignment="1">
      <alignment horizontal="center" vertical="center"/>
    </xf>
    <xf numFmtId="0" fontId="35" fillId="0" borderId="77" xfId="0" applyFont="1" applyFill="1" applyBorder="1" applyAlignment="1">
      <alignment horizontal="left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 vertical="center"/>
    </xf>
    <xf numFmtId="0" fontId="37" fillId="0" borderId="0" xfId="14" applyFont="1" applyFill="1" applyBorder="1" applyAlignment="1" applyProtection="1">
      <alignment horizontal="left" vertical="center"/>
      <protection locked="0"/>
    </xf>
    <xf numFmtId="0" fontId="37" fillId="0" borderId="0" xfId="14" applyFont="1" applyFill="1" applyBorder="1" applyAlignment="1" applyProtection="1">
      <alignment horizontal="justify" vertical="center"/>
      <protection locked="0"/>
    </xf>
    <xf numFmtId="0" fontId="29" fillId="0" borderId="0" xfId="14" applyFont="1" applyFill="1" applyBorder="1" applyAlignment="1" applyProtection="1">
      <alignment horizontal="justify" vertical="center"/>
      <protection locked="0"/>
    </xf>
    <xf numFmtId="0" fontId="29" fillId="0" borderId="0" xfId="14" applyFont="1" applyFill="1" applyBorder="1" applyAlignment="1" applyProtection="1">
      <alignment horizontal="justify" vertical="center" wrapText="1"/>
      <protection locked="0"/>
    </xf>
    <xf numFmtId="0" fontId="29" fillId="0" borderId="0" xfId="14" applyFont="1" applyFill="1" applyBorder="1" applyAlignment="1" applyProtection="1">
      <alignment horizontal="left" vertical="center"/>
      <protection locked="0"/>
    </xf>
    <xf numFmtId="0" fontId="67" fillId="0" borderId="0" xfId="9" applyFont="1" applyFill="1" applyBorder="1"/>
    <xf numFmtId="0" fontId="70" fillId="0" borderId="0" xfId="9" applyFont="1" applyFill="1" applyBorder="1"/>
    <xf numFmtId="3" fontId="4" fillId="13" borderId="31" xfId="0" applyNumberFormat="1" applyFont="1" applyFill="1" applyBorder="1" applyAlignment="1">
      <alignment horizontal="center" vertical="center"/>
    </xf>
    <xf numFmtId="0" fontId="51" fillId="0" borderId="0" xfId="2" applyFont="1" applyFill="1" applyBorder="1" applyAlignment="1">
      <alignment horizontal="left" vertical="center"/>
    </xf>
    <xf numFmtId="0" fontId="54" fillId="0" borderId="0" xfId="2" applyFont="1" applyFill="1" applyBorder="1" applyAlignment="1">
      <alignment horizontal="left" vertical="center"/>
    </xf>
    <xf numFmtId="0" fontId="54" fillId="0" borderId="0" xfId="2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left" vertical="center"/>
    </xf>
    <xf numFmtId="0" fontId="8" fillId="0" borderId="81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1" fillId="0" borderId="8" xfId="8" applyFont="1" applyBorder="1"/>
    <xf numFmtId="0" fontId="0" fillId="0" borderId="0" xfId="0" applyBorder="1"/>
    <xf numFmtId="0" fontId="32" fillId="0" borderId="23" xfId="10" applyFont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167" fontId="34" fillId="7" borderId="32" xfId="0" applyNumberFormat="1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vertical="center" wrapText="1"/>
    </xf>
    <xf numFmtId="0" fontId="1" fillId="0" borderId="18" xfId="0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0" borderId="80" xfId="0" applyFont="1" applyFill="1" applyBorder="1" applyAlignment="1">
      <alignment horizontal="left" vertical="center"/>
    </xf>
    <xf numFmtId="0" fontId="1" fillId="0" borderId="81" xfId="0" applyFont="1" applyFill="1" applyBorder="1" applyAlignment="1">
      <alignment horizontal="left" vertical="center"/>
    </xf>
    <xf numFmtId="0" fontId="1" fillId="0" borderId="82" xfId="0" applyFont="1" applyFill="1" applyBorder="1" applyAlignment="1">
      <alignment horizontal="left" vertical="center"/>
    </xf>
    <xf numFmtId="3" fontId="11" fillId="0" borderId="0" xfId="0" applyNumberFormat="1" applyFont="1" applyFill="1" applyBorder="1" applyAlignment="1">
      <alignment horizontal="left" vertical="center"/>
    </xf>
    <xf numFmtId="3" fontId="11" fillId="0" borderId="0" xfId="8" applyNumberFormat="1" applyBorder="1"/>
    <xf numFmtId="0" fontId="7" fillId="0" borderId="9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11" fillId="17" borderId="0" xfId="8" applyFill="1" applyBorder="1"/>
    <xf numFmtId="0" fontId="11" fillId="17" borderId="31" xfId="8" applyFill="1"/>
    <xf numFmtId="0" fontId="0" fillId="14" borderId="0" xfId="0" applyFill="1" applyBorder="1"/>
    <xf numFmtId="0" fontId="34" fillId="0" borderId="77" xfId="0" applyFont="1" applyFill="1" applyBorder="1" applyAlignment="1">
      <alignment horizontal="left" vertical="center"/>
    </xf>
    <xf numFmtId="0" fontId="56" fillId="0" borderId="7" xfId="0" applyFont="1" applyBorder="1"/>
    <xf numFmtId="0" fontId="0" fillId="0" borderId="54" xfId="0" applyBorder="1"/>
    <xf numFmtId="0" fontId="0" fillId="0" borderId="74" xfId="0" applyBorder="1"/>
    <xf numFmtId="0" fontId="31" fillId="0" borderId="74" xfId="9" applyFont="1" applyBorder="1"/>
    <xf numFmtId="0" fontId="34" fillId="0" borderId="74" xfId="0" applyFont="1" applyFill="1" applyBorder="1" applyAlignment="1">
      <alignment horizontal="left" vertical="center"/>
    </xf>
    <xf numFmtId="0" fontId="35" fillId="14" borderId="0" xfId="0" applyFont="1" applyFill="1" applyBorder="1" applyAlignment="1">
      <alignment horizontal="left" vertical="center"/>
    </xf>
    <xf numFmtId="0" fontId="11" fillId="14" borderId="0" xfId="0" applyFont="1" applyFill="1" applyBorder="1" applyAlignment="1">
      <alignment horizontal="left" vertical="center"/>
    </xf>
    <xf numFmtId="0" fontId="49" fillId="0" borderId="0" xfId="14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49" fillId="0" borderId="29" xfId="14" applyFont="1" applyFill="1" applyBorder="1" applyAlignment="1">
      <alignment horizontal="left" vertical="center"/>
    </xf>
    <xf numFmtId="0" fontId="49" fillId="0" borderId="31" xfId="14" applyFont="1" applyFill="1" applyBorder="1" applyAlignment="1">
      <alignment horizontal="center" vertical="center"/>
    </xf>
    <xf numFmtId="0" fontId="49" fillId="0" borderId="31" xfId="14" applyFont="1" applyFill="1" applyBorder="1" applyAlignment="1">
      <alignment horizontal="center"/>
    </xf>
    <xf numFmtId="0" fontId="33" fillId="0" borderId="29" xfId="14" applyFont="1" applyFill="1" applyBorder="1" applyAlignment="1">
      <alignment horizontal="left"/>
    </xf>
    <xf numFmtId="0" fontId="33" fillId="0" borderId="31" xfId="14" applyFont="1" applyFill="1" applyBorder="1" applyAlignment="1">
      <alignment horizontal="center"/>
    </xf>
    <xf numFmtId="2" fontId="53" fillId="0" borderId="31" xfId="14" applyNumberFormat="1" applyFont="1" applyFill="1" applyBorder="1"/>
    <xf numFmtId="2" fontId="1" fillId="0" borderId="31" xfId="14" applyNumberFormat="1" applyFont="1" applyFill="1" applyBorder="1"/>
    <xf numFmtId="0" fontId="1" fillId="0" borderId="0" xfId="8" applyFont="1" applyFill="1" applyBorder="1"/>
    <xf numFmtId="0" fontId="49" fillId="0" borderId="31" xfId="14" applyFont="1" applyFill="1" applyBorder="1" applyAlignment="1">
      <alignment horizontal="right"/>
    </xf>
    <xf numFmtId="2" fontId="1" fillId="6" borderId="31" xfId="14" applyNumberFormat="1" applyFont="1" applyFill="1" applyBorder="1"/>
    <xf numFmtId="0" fontId="65" fillId="3" borderId="0" xfId="14" applyFont="1" applyFill="1" applyBorder="1" applyAlignment="1">
      <alignment horizontal="left" vertical="center"/>
    </xf>
    <xf numFmtId="0" fontId="65" fillId="3" borderId="7" xfId="14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0" borderId="13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 wrapText="1"/>
    </xf>
    <xf numFmtId="0" fontId="8" fillId="0" borderId="31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8" fillId="0" borderId="27" xfId="0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horizontal="center" vertical="center"/>
    </xf>
    <xf numFmtId="3" fontId="6" fillId="0" borderId="0" xfId="2" applyNumberFormat="1" applyFont="1" applyFill="1" applyBorder="1" applyAlignment="1">
      <alignment horizontal="center"/>
    </xf>
    <xf numFmtId="0" fontId="31" fillId="0" borderId="24" xfId="9" applyFont="1" applyBorder="1"/>
    <xf numFmtId="0" fontId="0" fillId="0" borderId="18" xfId="0" applyBorder="1" applyAlignment="1">
      <alignment horizontal="left"/>
    </xf>
    <xf numFmtId="0" fontId="8" fillId="0" borderId="83" xfId="0" applyFont="1" applyFill="1" applyBorder="1" applyAlignment="1">
      <alignment horizontal="left" vertical="center"/>
    </xf>
    <xf numFmtId="0" fontId="65" fillId="3" borderId="0" xfId="2" applyFont="1" applyFill="1" applyBorder="1" applyAlignment="1">
      <alignment horizontal="left" vertical="center"/>
    </xf>
    <xf numFmtId="0" fontId="1" fillId="0" borderId="78" xfId="2" applyFont="1" applyFill="1" applyBorder="1" applyAlignment="1">
      <alignment horizontal="left" vertical="center"/>
    </xf>
    <xf numFmtId="0" fontId="65" fillId="3" borderId="7" xfId="2" applyFont="1" applyFill="1" applyBorder="1" applyAlignment="1">
      <alignment horizontal="left" vertical="center"/>
    </xf>
    <xf numFmtId="0" fontId="4" fillId="11" borderId="18" xfId="2" applyFont="1" applyFill="1" applyBorder="1" applyAlignment="1">
      <alignment horizontal="left" vertical="center"/>
    </xf>
    <xf numFmtId="0" fontId="43" fillId="10" borderId="41" xfId="2" applyFont="1" applyFill="1" applyBorder="1" applyAlignment="1">
      <alignment vertical="center"/>
    </xf>
    <xf numFmtId="0" fontId="44" fillId="10" borderId="41" xfId="2" applyFont="1" applyFill="1" applyBorder="1" applyAlignment="1">
      <alignment vertical="center" wrapText="1"/>
    </xf>
    <xf numFmtId="0" fontId="1" fillId="0" borderId="24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wrapText="1"/>
    </xf>
    <xf numFmtId="0" fontId="1" fillId="0" borderId="23" xfId="14" applyNumberFormat="1" applyFont="1" applyFill="1" applyBorder="1" applyAlignment="1">
      <alignment horizontal="justify" vertical="top" wrapText="1"/>
    </xf>
    <xf numFmtId="0" fontId="1" fillId="0" borderId="66" xfId="14" applyFont="1" applyFill="1" applyBorder="1" applyAlignment="1">
      <alignment horizontal="center" vertical="top" wrapText="1"/>
    </xf>
    <xf numFmtId="3" fontId="1" fillId="0" borderId="23" xfId="16" applyNumberFormat="1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left"/>
    </xf>
    <xf numFmtId="0" fontId="6" fillId="0" borderId="66" xfId="0" applyFont="1" applyFill="1" applyBorder="1" applyAlignment="1">
      <alignment horizontal="justify"/>
    </xf>
    <xf numFmtId="0" fontId="6" fillId="0" borderId="66" xfId="0" applyFont="1" applyFill="1" applyBorder="1" applyAlignment="1">
      <alignment horizontal="center"/>
    </xf>
    <xf numFmtId="4" fontId="6" fillId="0" borderId="66" xfId="0" applyNumberFormat="1" applyFont="1" applyFill="1" applyBorder="1"/>
    <xf numFmtId="0" fontId="0" fillId="0" borderId="0" xfId="0" applyBorder="1"/>
    <xf numFmtId="0" fontId="32" fillId="0" borderId="23" xfId="10" applyFont="1" applyBorder="1" applyAlignment="1">
      <alignment horizontal="center" vertical="center"/>
    </xf>
    <xf numFmtId="0" fontId="0" fillId="0" borderId="0" xfId="0" applyBorder="1"/>
    <xf numFmtId="0" fontId="32" fillId="0" borderId="23" xfId="10" applyFont="1" applyBorder="1" applyAlignment="1">
      <alignment horizontal="center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/>
    </xf>
    <xf numFmtId="0" fontId="1" fillId="0" borderId="0" xfId="14"/>
    <xf numFmtId="0" fontId="49" fillId="0" borderId="31" xfId="14" applyFont="1" applyFill="1" applyBorder="1" applyAlignment="1">
      <alignment horizontal="left" vertical="center"/>
    </xf>
    <xf numFmtId="0" fontId="49" fillId="11" borderId="31" xfId="14" applyFont="1" applyFill="1" applyBorder="1" applyAlignment="1">
      <alignment horizontal="center"/>
    </xf>
    <xf numFmtId="0" fontId="33" fillId="0" borderId="31" xfId="14" applyFont="1" applyFill="1" applyBorder="1" applyAlignment="1">
      <alignment horizontal="left"/>
    </xf>
    <xf numFmtId="166" fontId="1" fillId="4" borderId="31" xfId="14" applyNumberFormat="1" applyFont="1" applyFill="1" applyBorder="1"/>
    <xf numFmtId="0" fontId="33" fillId="0" borderId="0" xfId="14" applyFont="1" applyFill="1" applyBorder="1" applyAlignment="1">
      <alignment horizontal="left"/>
    </xf>
    <xf numFmtId="0" fontId="33" fillId="0" borderId="0" xfId="14" applyFont="1" applyFill="1" applyBorder="1" applyAlignment="1">
      <alignment horizontal="center"/>
    </xf>
    <xf numFmtId="2" fontId="53" fillId="0" borderId="0" xfId="14" applyNumberFormat="1" applyFont="1" applyFill="1" applyBorder="1"/>
    <xf numFmtId="2" fontId="1" fillId="0" borderId="0" xfId="14" applyNumberFormat="1" applyFont="1" applyFill="1" applyBorder="1"/>
    <xf numFmtId="166" fontId="1" fillId="0" borderId="31" xfId="8" applyNumberFormat="1" applyFont="1" applyFill="1" applyBorder="1"/>
    <xf numFmtId="0" fontId="4" fillId="0" borderId="18" xfId="14" applyFont="1" applyFill="1" applyBorder="1" applyAlignment="1">
      <alignment horizontal="left" vertical="center"/>
    </xf>
    <xf numFmtId="0" fontId="1" fillId="0" borderId="74" xfId="14" applyFont="1" applyFill="1" applyBorder="1" applyAlignment="1">
      <alignment horizontal="left" vertical="center"/>
    </xf>
    <xf numFmtId="0" fontId="1" fillId="0" borderId="2" xfId="14" applyFont="1" applyFill="1" applyBorder="1" applyAlignment="1">
      <alignment horizontal="right" vertical="center"/>
    </xf>
    <xf numFmtId="0" fontId="1" fillId="0" borderId="29" xfId="14" applyFont="1" applyFill="1" applyBorder="1" applyAlignment="1">
      <alignment horizontal="right" vertical="center"/>
    </xf>
    <xf numFmtId="167" fontId="4" fillId="4" borderId="29" xfId="14" applyNumberFormat="1" applyFont="1" applyFill="1" applyBorder="1" applyAlignment="1">
      <alignment horizontal="center" vertical="center"/>
    </xf>
    <xf numFmtId="0" fontId="1" fillId="0" borderId="55" xfId="14" applyFont="1" applyFill="1" applyBorder="1" applyAlignment="1">
      <alignment horizontal="left" vertical="center"/>
    </xf>
    <xf numFmtId="0" fontId="1" fillId="0" borderId="78" xfId="14" applyFont="1" applyFill="1" applyBorder="1" applyAlignment="1">
      <alignment horizontal="left" vertical="center"/>
    </xf>
    <xf numFmtId="0" fontId="1" fillId="0" borderId="58" xfId="14" applyFont="1" applyFill="1" applyBorder="1" applyAlignment="1">
      <alignment horizontal="right" vertical="center"/>
    </xf>
    <xf numFmtId="0" fontId="1" fillId="0" borderId="59" xfId="14" applyFont="1" applyFill="1" applyBorder="1" applyAlignment="1">
      <alignment horizontal="right" vertical="center"/>
    </xf>
    <xf numFmtId="167" fontId="4" fillId="4" borderId="59" xfId="14" applyNumberFormat="1" applyFont="1" applyFill="1" applyBorder="1" applyAlignment="1">
      <alignment horizontal="center" vertical="center"/>
    </xf>
    <xf numFmtId="0" fontId="1" fillId="0" borderId="65" xfId="14" applyFont="1" applyFill="1" applyBorder="1" applyAlignment="1">
      <alignment horizontal="left" vertical="center"/>
    </xf>
    <xf numFmtId="0" fontId="71" fillId="14" borderId="0" xfId="14" applyFont="1" applyFill="1" applyBorder="1" applyAlignment="1">
      <alignment horizontal="left" vertical="center"/>
    </xf>
    <xf numFmtId="0" fontId="1" fillId="14" borderId="0" xfId="18" applyFill="1"/>
    <xf numFmtId="0" fontId="0" fillId="14" borderId="0" xfId="0" applyFill="1"/>
    <xf numFmtId="0" fontId="4" fillId="0" borderId="14" xfId="14" applyFont="1" applyFill="1" applyBorder="1" applyAlignment="1">
      <alignment horizontal="left" vertical="center"/>
    </xf>
    <xf numFmtId="0" fontId="1" fillId="0" borderId="30" xfId="14" applyFont="1" applyFill="1" applyBorder="1" applyAlignment="1">
      <alignment horizontal="left" vertical="center"/>
    </xf>
    <xf numFmtId="0" fontId="1" fillId="0" borderId="31" xfId="14" applyFont="1" applyFill="1" applyBorder="1" applyAlignment="1">
      <alignment horizontal="left" vertical="center"/>
    </xf>
    <xf numFmtId="171" fontId="53" fillId="0" borderId="31" xfId="14" applyNumberFormat="1" applyFont="1" applyFill="1" applyBorder="1"/>
    <xf numFmtId="2" fontId="1" fillId="4" borderId="31" xfId="14" applyNumberFormat="1" applyFont="1" applyFill="1" applyBorder="1"/>
    <xf numFmtId="0" fontId="1" fillId="0" borderId="8" xfId="14" applyFont="1" applyFill="1" applyBorder="1" applyAlignment="1">
      <alignment horizontal="right" vertical="center"/>
    </xf>
    <xf numFmtId="0" fontId="1" fillId="0" borderId="25" xfId="14" applyFont="1" applyFill="1" applyBorder="1" applyAlignment="1">
      <alignment horizontal="right" vertical="center"/>
    </xf>
    <xf numFmtId="0" fontId="1" fillId="0" borderId="67" xfId="14" applyFont="1" applyFill="1" applyBorder="1" applyAlignment="1">
      <alignment horizontal="left" vertical="center"/>
    </xf>
    <xf numFmtId="171" fontId="1" fillId="0" borderId="31" xfId="14" applyNumberFormat="1" applyFont="1" applyFill="1" applyBorder="1"/>
    <xf numFmtId="0" fontId="49" fillId="11" borderId="29" xfId="14" applyFont="1" applyFill="1" applyBorder="1" applyAlignment="1">
      <alignment horizontal="left" vertical="center"/>
    </xf>
    <xf numFmtId="0" fontId="49" fillId="11" borderId="31" xfId="14" applyFont="1" applyFill="1" applyBorder="1" applyAlignment="1">
      <alignment horizontal="center" vertical="center"/>
    </xf>
    <xf numFmtId="0" fontId="33" fillId="11" borderId="31" xfId="14" applyFont="1" applyFill="1" applyBorder="1" applyAlignment="1">
      <alignment horizontal="center"/>
    </xf>
    <xf numFmtId="0" fontId="49" fillId="11" borderId="31" xfId="14" applyFont="1" applyFill="1" applyBorder="1" applyAlignment="1">
      <alignment horizontal="right"/>
    </xf>
    <xf numFmtId="0" fontId="8" fillId="0" borderId="29" xfId="0" applyFont="1" applyFill="1" applyBorder="1" applyAlignment="1">
      <alignment horizontal="left" vertical="center"/>
    </xf>
    <xf numFmtId="0" fontId="33" fillId="0" borderId="12" xfId="14" applyFont="1" applyFill="1" applyBorder="1" applyAlignment="1">
      <alignment horizontal="left"/>
    </xf>
    <xf numFmtId="0" fontId="33" fillId="0" borderId="9" xfId="14" applyFont="1" applyFill="1" applyBorder="1" applyAlignment="1">
      <alignment horizontal="left"/>
    </xf>
    <xf numFmtId="0" fontId="33" fillId="0" borderId="11" xfId="14" applyFont="1" applyFill="1" applyBorder="1" applyAlignment="1">
      <alignment horizontal="left"/>
    </xf>
    <xf numFmtId="0" fontId="1" fillId="0" borderId="2" xfId="14" applyFont="1" applyFill="1" applyBorder="1" applyAlignment="1">
      <alignment horizontal="left" vertical="center"/>
    </xf>
    <xf numFmtId="166" fontId="4" fillId="4" borderId="29" xfId="14" applyNumberFormat="1" applyFont="1" applyFill="1" applyBorder="1" applyAlignment="1">
      <alignment horizontal="center" vertical="center"/>
    </xf>
    <xf numFmtId="167" fontId="4" fillId="4" borderId="31" xfId="14" applyNumberFormat="1" applyFont="1" applyFill="1" applyBorder="1" applyAlignment="1">
      <alignment horizontal="center" vertical="center"/>
    </xf>
    <xf numFmtId="0" fontId="1" fillId="0" borderId="58" xfId="14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58" xfId="0" applyFont="1" applyFill="1" applyBorder="1" applyAlignment="1">
      <alignment horizontal="left" vertical="center"/>
    </xf>
    <xf numFmtId="167" fontId="4" fillId="4" borderId="62" xfId="14" applyNumberFormat="1" applyFont="1" applyFill="1" applyBorder="1" applyAlignment="1">
      <alignment horizontal="center" vertical="center"/>
    </xf>
    <xf numFmtId="0" fontId="12" fillId="0" borderId="0" xfId="14" applyFont="1" applyBorder="1"/>
    <xf numFmtId="0" fontId="49" fillId="0" borderId="31" xfId="0" applyFont="1" applyFill="1" applyBorder="1" applyAlignment="1">
      <alignment horizontal="left" vertical="center"/>
    </xf>
    <xf numFmtId="0" fontId="49" fillId="0" borderId="31" xfId="0" applyFont="1" applyFill="1" applyBorder="1" applyAlignment="1">
      <alignment horizontal="center" vertical="center"/>
    </xf>
    <xf numFmtId="0" fontId="49" fillId="5" borderId="31" xfId="0" applyFont="1" applyFill="1" applyBorder="1" applyAlignment="1">
      <alignment horizontal="center"/>
    </xf>
    <xf numFmtId="0" fontId="33" fillId="0" borderId="31" xfId="0" applyFont="1" applyFill="1" applyBorder="1" applyAlignment="1">
      <alignment horizontal="left"/>
    </xf>
    <xf numFmtId="0" fontId="33" fillId="0" borderId="31" xfId="0" applyFont="1" applyFill="1" applyBorder="1" applyAlignment="1">
      <alignment horizontal="center"/>
    </xf>
    <xf numFmtId="0" fontId="1" fillId="0" borderId="31" xfId="14" applyBorder="1"/>
    <xf numFmtId="2" fontId="1" fillId="4" borderId="31" xfId="0" applyNumberFormat="1" applyFont="1" applyFill="1" applyBorder="1"/>
    <xf numFmtId="171" fontId="0" fillId="6" borderId="31" xfId="0" applyNumberFormat="1" applyFill="1" applyBorder="1"/>
    <xf numFmtId="0" fontId="0" fillId="6" borderId="31" xfId="0" applyFill="1" applyBorder="1"/>
    <xf numFmtId="0" fontId="51" fillId="0" borderId="0" xfId="0" applyFont="1" applyFill="1" applyBorder="1"/>
    <xf numFmtId="2" fontId="51" fillId="0" borderId="0" xfId="0" applyNumberFormat="1" applyFont="1" applyFill="1" applyBorder="1"/>
    <xf numFmtId="0" fontId="49" fillId="0" borderId="0" xfId="0" applyFont="1" applyFill="1" applyBorder="1" applyAlignment="1">
      <alignment horizontal="center"/>
    </xf>
    <xf numFmtId="2" fontId="53" fillId="0" borderId="31" xfId="0" applyNumberFormat="1" applyFont="1" applyFill="1" applyBorder="1"/>
    <xf numFmtId="2" fontId="53" fillId="0" borderId="0" xfId="0" applyNumberFormat="1" applyFont="1" applyFill="1" applyBorder="1"/>
    <xf numFmtId="0" fontId="72" fillId="0" borderId="0" xfId="0" applyFont="1"/>
    <xf numFmtId="3" fontId="17" fillId="4" borderId="29" xfId="0" applyNumberFormat="1" applyFont="1" applyFill="1" applyBorder="1" applyAlignment="1">
      <alignment horizontal="center" vertical="center"/>
    </xf>
    <xf numFmtId="3" fontId="17" fillId="4" borderId="31" xfId="0" applyNumberFormat="1" applyFont="1" applyFill="1" applyBorder="1" applyAlignment="1">
      <alignment horizontal="center" vertical="center"/>
    </xf>
    <xf numFmtId="3" fontId="17" fillId="0" borderId="62" xfId="0" applyNumberFormat="1" applyFont="1" applyFill="1" applyBorder="1" applyAlignment="1">
      <alignment horizontal="center" vertical="center"/>
    </xf>
    <xf numFmtId="0" fontId="0" fillId="0" borderId="0" xfId="0" applyAlignment="1"/>
    <xf numFmtId="4" fontId="17" fillId="4" borderId="31" xfId="0" applyNumberFormat="1" applyFont="1" applyFill="1" applyBorder="1" applyAlignment="1">
      <alignment horizontal="center" vertical="center"/>
    </xf>
    <xf numFmtId="167" fontId="4" fillId="4" borderId="71" xfId="14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11" fillId="0" borderId="31" xfId="0" applyFont="1" applyFill="1" applyBorder="1" applyAlignment="1">
      <alignment horizontal="right" vertical="center"/>
    </xf>
    <xf numFmtId="0" fontId="11" fillId="13" borderId="31" xfId="8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/>
    </xf>
    <xf numFmtId="0" fontId="57" fillId="0" borderId="0" xfId="0" applyFont="1"/>
    <xf numFmtId="0" fontId="56" fillId="0" borderId="0" xfId="0" applyFont="1"/>
    <xf numFmtId="0" fontId="56" fillId="0" borderId="18" xfId="0" applyFont="1" applyFill="1" applyBorder="1" applyAlignment="1">
      <alignment horizontal="left" vertical="center"/>
    </xf>
    <xf numFmtId="3" fontId="34" fillId="6" borderId="29" xfId="0" applyNumberFormat="1" applyFont="1" applyFill="1" applyBorder="1" applyAlignment="1">
      <alignment horizontal="center" vertical="center"/>
    </xf>
    <xf numFmtId="0" fontId="41" fillId="0" borderId="31" xfId="0" applyFont="1" applyFill="1" applyBorder="1" applyAlignment="1">
      <alignment horizontal="left" vertical="center"/>
    </xf>
    <xf numFmtId="0" fontId="41" fillId="0" borderId="31" xfId="0" applyFont="1" applyFill="1" applyBorder="1" applyAlignment="1">
      <alignment horizontal="center" vertical="center"/>
    </xf>
    <xf numFmtId="0" fontId="73" fillId="0" borderId="31" xfId="0" applyFont="1" applyFill="1" applyBorder="1" applyAlignment="1">
      <alignment horizontal="left"/>
    </xf>
    <xf numFmtId="0" fontId="1" fillId="0" borderId="31" xfId="0" applyFont="1" applyFill="1" applyBorder="1" applyAlignment="1">
      <alignment horizontal="center"/>
    </xf>
    <xf numFmtId="164" fontId="1" fillId="6" borderId="31" xfId="5" applyFont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6" borderId="30" xfId="0" applyFill="1" applyBorder="1"/>
    <xf numFmtId="0" fontId="7" fillId="0" borderId="18" xfId="0" applyFont="1" applyFill="1" applyBorder="1" applyAlignment="1">
      <alignment horizontal="left"/>
    </xf>
    <xf numFmtId="0" fontId="7" fillId="0" borderId="27" xfId="0" applyFont="1" applyFill="1" applyBorder="1" applyAlignment="1">
      <alignment horizontal="left"/>
    </xf>
    <xf numFmtId="0" fontId="9" fillId="0" borderId="7" xfId="0" applyFont="1" applyFill="1" applyBorder="1" applyAlignment="1">
      <alignment vertical="center"/>
    </xf>
    <xf numFmtId="0" fontId="9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" fillId="0" borderId="0" xfId="14" applyBorder="1"/>
    <xf numFmtId="3" fontId="17" fillId="4" borderId="62" xfId="0" applyNumberFormat="1" applyFont="1" applyFill="1" applyBorder="1" applyAlignment="1">
      <alignment horizontal="center" vertical="center"/>
    </xf>
    <xf numFmtId="0" fontId="0" fillId="0" borderId="55" xfId="0" applyBorder="1"/>
    <xf numFmtId="0" fontId="8" fillId="0" borderId="78" xfId="0" applyFont="1" applyFill="1" applyBorder="1" applyAlignment="1">
      <alignment horizontal="left" vertical="center"/>
    </xf>
    <xf numFmtId="0" fontId="33" fillId="0" borderId="66" xfId="14" applyFont="1" applyFill="1" applyBorder="1" applyAlignment="1">
      <alignment horizontal="left"/>
    </xf>
    <xf numFmtId="2" fontId="53" fillId="0" borderId="66" xfId="14" applyNumberFormat="1" applyFont="1" applyFill="1" applyBorder="1"/>
    <xf numFmtId="2" fontId="1" fillId="4" borderId="66" xfId="14" applyNumberFormat="1" applyFont="1" applyFill="1" applyBorder="1"/>
    <xf numFmtId="167" fontId="17" fillId="4" borderId="29" xfId="0" applyNumberFormat="1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 vertical="center"/>
    </xf>
    <xf numFmtId="0" fontId="38" fillId="5" borderId="31" xfId="0" applyFont="1" applyFill="1" applyBorder="1" applyAlignment="1">
      <alignment horizontal="center"/>
    </xf>
    <xf numFmtId="0" fontId="38" fillId="0" borderId="31" xfId="0" applyFont="1" applyFill="1" applyBorder="1" applyAlignment="1">
      <alignment horizontal="left"/>
    </xf>
    <xf numFmtId="0" fontId="38" fillId="0" borderId="31" xfId="0" applyFont="1" applyFill="1" applyBorder="1" applyAlignment="1">
      <alignment horizontal="center"/>
    </xf>
    <xf numFmtId="0" fontId="76" fillId="0" borderId="31" xfId="0" applyFont="1" applyFill="1" applyBorder="1" applyAlignment="1">
      <alignment horizontal="left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Border="1"/>
    <xf numFmtId="0" fontId="8" fillId="0" borderId="3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Border="1"/>
    <xf numFmtId="0" fontId="8" fillId="0" borderId="3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11" fillId="18" borderId="31" xfId="0" applyFont="1" applyFill="1" applyBorder="1" applyAlignment="1">
      <alignment horizontal="center" vertical="center"/>
    </xf>
    <xf numFmtId="0" fontId="1" fillId="0" borderId="0" xfId="0" applyFont="1"/>
    <xf numFmtId="2" fontId="11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/>
    </xf>
    <xf numFmtId="1" fontId="11" fillId="0" borderId="0" xfId="0" applyNumberFormat="1" applyFont="1" applyFill="1" applyBorder="1" applyAlignment="1">
      <alignment horizontal="right" vertical="center"/>
    </xf>
    <xf numFmtId="164" fontId="1" fillId="0" borderId="29" xfId="5" applyFont="1" applyFill="1" applyBorder="1"/>
    <xf numFmtId="0" fontId="4" fillId="0" borderId="14" xfId="2" applyFont="1" applyFill="1" applyBorder="1" applyAlignment="1">
      <alignment horizontal="left" vertical="center"/>
    </xf>
    <xf numFmtId="0" fontId="1" fillId="0" borderId="30" xfId="2" applyFont="1" applyFill="1" applyBorder="1" applyAlignment="1">
      <alignment horizontal="left" vertical="center"/>
    </xf>
    <xf numFmtId="0" fontId="1" fillId="0" borderId="23" xfId="14" applyFont="1" applyFill="1" applyBorder="1" applyAlignment="1">
      <alignment horizontal="left" vertical="center"/>
    </xf>
    <xf numFmtId="0" fontId="1" fillId="0" borderId="10" xfId="14" applyFont="1" applyFill="1" applyBorder="1" applyAlignment="1">
      <alignment horizontal="right" vertical="center"/>
    </xf>
    <xf numFmtId="0" fontId="1" fillId="0" borderId="11" xfId="14" applyFont="1" applyFill="1" applyBorder="1" applyAlignment="1">
      <alignment horizontal="right" vertical="center"/>
    </xf>
    <xf numFmtId="167" fontId="4" fillId="4" borderId="11" xfId="14" applyNumberFormat="1" applyFont="1" applyFill="1" applyBorder="1" applyAlignment="1">
      <alignment horizontal="center" vertical="center"/>
    </xf>
    <xf numFmtId="0" fontId="1" fillId="0" borderId="66" xfId="14" applyFont="1" applyFill="1" applyBorder="1" applyAlignment="1">
      <alignment horizontal="left" vertical="center"/>
    </xf>
    <xf numFmtId="0" fontId="0" fillId="0" borderId="0" xfId="0" applyBorder="1"/>
    <xf numFmtId="2" fontId="1" fillId="0" borderId="0" xfId="0" applyNumberFormat="1" applyFont="1" applyFill="1" applyBorder="1" applyAlignment="1">
      <alignment horizontal="center"/>
    </xf>
    <xf numFmtId="2" fontId="11" fillId="7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11" fillId="7" borderId="0" xfId="0" applyFont="1" applyFill="1" applyBorder="1" applyAlignment="1">
      <alignment horizontal="center" vertical="center"/>
    </xf>
    <xf numFmtId="170" fontId="11" fillId="0" borderId="0" xfId="0" applyNumberFormat="1" applyFont="1" applyFill="1" applyBorder="1" applyAlignment="1">
      <alignment horizontal="left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49" fontId="20" fillId="0" borderId="29" xfId="0" applyNumberFormat="1" applyFont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49" fontId="6" fillId="0" borderId="3" xfId="0" applyNumberFormat="1" applyFont="1" applyFill="1" applyBorder="1" applyAlignment="1">
      <alignment horizontal="left" vertical="center"/>
    </xf>
    <xf numFmtId="0" fontId="0" fillId="0" borderId="0" xfId="0" applyBorder="1"/>
    <xf numFmtId="0" fontId="32" fillId="0" borderId="23" xfId="10" applyFont="1" applyBorder="1" applyAlignment="1">
      <alignment horizontal="center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3" fontId="4" fillId="13" borderId="29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167" fontId="17" fillId="4" borderId="31" xfId="0" applyNumberFormat="1" applyFont="1" applyFill="1" applyBorder="1" applyAlignment="1">
      <alignment horizontal="center" vertical="center"/>
    </xf>
    <xf numFmtId="0" fontId="11" fillId="0" borderId="27" xfId="8" applyBorder="1"/>
    <xf numFmtId="0" fontId="0" fillId="0" borderId="2" xfId="0" applyFill="1" applyBorder="1"/>
    <xf numFmtId="49" fontId="20" fillId="0" borderId="29" xfId="0" applyNumberFormat="1" applyFont="1" applyFill="1" applyBorder="1" applyAlignment="1">
      <alignment horizontal="left" vertical="center"/>
    </xf>
    <xf numFmtId="0" fontId="20" fillId="0" borderId="30" xfId="0" applyFont="1" applyFill="1" applyBorder="1" applyAlignment="1">
      <alignment vertical="center"/>
    </xf>
    <xf numFmtId="49" fontId="20" fillId="0" borderId="30" xfId="0" applyNumberFormat="1" applyFont="1" applyFill="1" applyBorder="1" applyAlignment="1">
      <alignment horizontal="left" vertical="center"/>
    </xf>
    <xf numFmtId="0" fontId="0" fillId="0" borderId="0" xfId="0" applyBorder="1"/>
    <xf numFmtId="0" fontId="8" fillId="0" borderId="78" xfId="0" applyFont="1" applyFill="1" applyBorder="1" applyAlignment="1">
      <alignment horizontal="left" vertical="center"/>
    </xf>
    <xf numFmtId="0" fontId="1" fillId="0" borderId="20" xfId="0" applyFont="1" applyFill="1" applyBorder="1" applyAlignment="1">
      <alignment horizontal="left" vertical="center"/>
    </xf>
    <xf numFmtId="0" fontId="1" fillId="0" borderId="19" xfId="0" applyFont="1" applyFill="1" applyBorder="1" applyAlignment="1">
      <alignment horizontal="left" vertical="center"/>
    </xf>
    <xf numFmtId="0" fontId="36" fillId="0" borderId="0" xfId="10" applyFont="1" applyBorder="1" applyAlignment="1">
      <alignment horizontal="left" vertical="top"/>
    </xf>
    <xf numFmtId="0" fontId="32" fillId="0" borderId="0" xfId="10" applyFont="1" applyBorder="1" applyAlignment="1">
      <alignment horizontal="center" vertical="center"/>
    </xf>
    <xf numFmtId="3" fontId="1" fillId="0" borderId="0" xfId="10" applyNumberFormat="1" applyFont="1" applyBorder="1" applyAlignment="1">
      <alignment horizontal="center" vertical="center" wrapText="1"/>
    </xf>
    <xf numFmtId="0" fontId="4" fillId="5" borderId="0" xfId="2" applyFont="1" applyFill="1" applyBorder="1" applyAlignment="1">
      <alignment horizontal="left" vertical="center"/>
    </xf>
    <xf numFmtId="0" fontId="32" fillId="0" borderId="0" xfId="10" applyFont="1" applyBorder="1" applyAlignment="1">
      <alignment horizontal="center" vertical="center" wrapText="1"/>
    </xf>
    <xf numFmtId="0" fontId="1" fillId="0" borderId="0" xfId="10" applyNumberFormat="1" applyFont="1" applyBorder="1" applyAlignment="1">
      <alignment horizontal="left" vertical="top" wrapText="1"/>
    </xf>
    <xf numFmtId="0" fontId="1" fillId="0" borderId="0" xfId="1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1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10" applyFont="1" applyBorder="1" applyAlignment="1">
      <alignment horizontal="left" vertical="center" wrapText="1"/>
    </xf>
    <xf numFmtId="0" fontId="4" fillId="0" borderId="0" xfId="10" applyFont="1" applyBorder="1" applyAlignment="1">
      <alignment horizontal="right" vertical="center" wrapText="1"/>
    </xf>
    <xf numFmtId="0" fontId="0" fillId="0" borderId="0" xfId="0" applyBorder="1"/>
    <xf numFmtId="0" fontId="8" fillId="0" borderId="3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0" fillId="0" borderId="0" xfId="0" applyBorder="1"/>
    <xf numFmtId="0" fontId="49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166" fontId="1" fillId="0" borderId="31" xfId="14" applyNumberFormat="1" applyBorder="1"/>
    <xf numFmtId="0" fontId="1" fillId="0" borderId="0" xfId="14" applyFont="1" applyFill="1" applyBorder="1" applyAlignment="1">
      <alignment horizontal="right" vertical="center"/>
    </xf>
    <xf numFmtId="0" fontId="1" fillId="0" borderId="0" xfId="14" applyFont="1" applyFill="1" applyBorder="1" applyAlignment="1">
      <alignment horizontal="left" vertical="center"/>
    </xf>
    <xf numFmtId="0" fontId="33" fillId="5" borderId="31" xfId="0" applyFont="1" applyFill="1" applyBorder="1" applyAlignment="1">
      <alignment horizontal="left"/>
    </xf>
    <xf numFmtId="0" fontId="33" fillId="5" borderId="31" xfId="0" applyFont="1" applyFill="1" applyBorder="1" applyAlignment="1">
      <alignment horizontal="center"/>
    </xf>
    <xf numFmtId="2" fontId="1" fillId="5" borderId="31" xfId="0" applyNumberFormat="1" applyFont="1" applyFill="1" applyBorder="1"/>
    <xf numFmtId="167" fontId="4" fillId="7" borderId="31" xfId="0" applyNumberFormat="1" applyFont="1" applyFill="1" applyBorder="1" applyAlignment="1">
      <alignment horizontal="center" vertical="center"/>
    </xf>
    <xf numFmtId="0" fontId="0" fillId="0" borderId="0" xfId="0" applyBorder="1"/>
    <xf numFmtId="0" fontId="8" fillId="0" borderId="14" xfId="0" applyFont="1" applyFill="1" applyBorder="1" applyAlignment="1">
      <alignment horizontal="left" vertical="center"/>
    </xf>
    <xf numFmtId="0" fontId="8" fillId="0" borderId="80" xfId="0" applyFont="1" applyFill="1" applyBorder="1" applyAlignment="1">
      <alignment horizontal="left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0" fillId="0" borderId="0" xfId="0" applyBorder="1"/>
    <xf numFmtId="0" fontId="8" fillId="0" borderId="80" xfId="0" applyFont="1" applyFill="1" applyBorder="1" applyAlignment="1">
      <alignment horizontal="right" vertical="center"/>
    </xf>
    <xf numFmtId="0" fontId="8" fillId="0" borderId="87" xfId="0" applyFont="1" applyFill="1" applyBorder="1" applyAlignment="1">
      <alignment horizontal="right" vertical="center"/>
    </xf>
    <xf numFmtId="167" fontId="34" fillId="7" borderId="62" xfId="0" applyNumberFormat="1" applyFont="1" applyFill="1" applyBorder="1" applyAlignment="1">
      <alignment horizontal="center" vertical="center"/>
    </xf>
    <xf numFmtId="0" fontId="11" fillId="0" borderId="71" xfId="0" applyFont="1" applyFill="1" applyBorder="1" applyAlignment="1">
      <alignment horizontal="left" vertical="center"/>
    </xf>
    <xf numFmtId="0" fontId="11" fillId="0" borderId="26" xfId="0" applyFont="1" applyFill="1" applyBorder="1" applyAlignment="1">
      <alignment horizontal="left" vertical="center"/>
    </xf>
    <xf numFmtId="0" fontId="11" fillId="0" borderId="28" xfId="0" applyFont="1" applyFill="1" applyBorder="1" applyAlignment="1">
      <alignment horizontal="left" vertical="center"/>
    </xf>
    <xf numFmtId="0" fontId="8" fillId="0" borderId="62" xfId="0" applyFont="1" applyFill="1" applyBorder="1" applyAlignment="1">
      <alignment horizontal="left" vertical="center"/>
    </xf>
    <xf numFmtId="3" fontId="56" fillId="6" borderId="30" xfId="0" applyNumberFormat="1" applyFont="1" applyFill="1" applyBorder="1" applyAlignment="1">
      <alignment horizontal="center" vertical="center"/>
    </xf>
    <xf numFmtId="0" fontId="11" fillId="0" borderId="57" xfId="0" applyFont="1" applyFill="1" applyBorder="1" applyAlignment="1">
      <alignment horizontal="left" vertical="center"/>
    </xf>
    <xf numFmtId="0" fontId="8" fillId="0" borderId="88" xfId="0" applyFont="1" applyFill="1" applyBorder="1" applyAlignment="1">
      <alignment horizontal="left" vertical="center"/>
    </xf>
    <xf numFmtId="0" fontId="11" fillId="0" borderId="62" xfId="0" applyFont="1" applyFill="1" applyBorder="1" applyAlignment="1">
      <alignment horizontal="left" vertical="center"/>
    </xf>
    <xf numFmtId="0" fontId="8" fillId="0" borderId="88" xfId="0" applyFont="1" applyFill="1" applyBorder="1" applyAlignment="1">
      <alignment horizontal="right" vertical="center"/>
    </xf>
    <xf numFmtId="3" fontId="34" fillId="5" borderId="0" xfId="0" applyNumberFormat="1" applyFont="1" applyFill="1" applyBorder="1" applyAlignment="1">
      <alignment horizontal="center" vertical="center"/>
    </xf>
    <xf numFmtId="3" fontId="56" fillId="5" borderId="0" xfId="0" applyNumberFormat="1" applyFont="1" applyFill="1" applyBorder="1" applyAlignment="1">
      <alignment horizontal="center" vertical="center"/>
    </xf>
    <xf numFmtId="0" fontId="34" fillId="0" borderId="83" xfId="0" applyFont="1" applyFill="1" applyBorder="1" applyAlignment="1">
      <alignment horizontal="left" vertical="center"/>
    </xf>
    <xf numFmtId="0" fontId="71" fillId="19" borderId="0" xfId="14" applyFont="1" applyFill="1" applyBorder="1" applyAlignment="1">
      <alignment horizontal="left" vertical="center"/>
    </xf>
    <xf numFmtId="3" fontId="4" fillId="13" borderId="59" xfId="0" applyNumberFormat="1" applyFont="1" applyFill="1" applyBorder="1" applyAlignment="1">
      <alignment horizontal="center" vertical="center"/>
    </xf>
    <xf numFmtId="167" fontId="0" fillId="0" borderId="0" xfId="0" applyNumberFormat="1" applyBorder="1"/>
    <xf numFmtId="0" fontId="0" fillId="0" borderId="0" xfId="0" applyBorder="1"/>
    <xf numFmtId="0" fontId="8" fillId="0" borderId="74" xfId="0" applyFont="1" applyFill="1" applyBorder="1" applyAlignment="1">
      <alignment horizontal="left" vertical="center"/>
    </xf>
    <xf numFmtId="0" fontId="4" fillId="5" borderId="9" xfId="0" applyFont="1" applyFill="1" applyBorder="1" applyAlignment="1">
      <alignment horizontal="left" wrapText="1"/>
    </xf>
    <xf numFmtId="0" fontId="4" fillId="5" borderId="1" xfId="0" applyNumberFormat="1" applyFont="1" applyFill="1" applyBorder="1" applyAlignment="1">
      <alignment horizontal="justify" vertical="top" wrapText="1"/>
    </xf>
    <xf numFmtId="0" fontId="1" fillId="5" borderId="1" xfId="0" applyFont="1" applyFill="1" applyBorder="1" applyAlignment="1">
      <alignment horizontal="center" vertical="top" wrapText="1"/>
    </xf>
    <xf numFmtId="3" fontId="1" fillId="5" borderId="14" xfId="7" applyNumberFormat="1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left" wrapText="1"/>
    </xf>
    <xf numFmtId="0" fontId="1" fillId="5" borderId="1" xfId="0" applyNumberFormat="1" applyFont="1" applyFill="1" applyBorder="1" applyAlignment="1">
      <alignment horizontal="justify" vertical="top" wrapText="1"/>
    </xf>
    <xf numFmtId="3" fontId="1" fillId="5" borderId="14" xfId="10" applyNumberFormat="1" applyFont="1" applyFill="1" applyBorder="1" applyAlignment="1">
      <alignment horizontal="center" vertical="center" wrapText="1"/>
    </xf>
    <xf numFmtId="0" fontId="8" fillId="5" borderId="88" xfId="0" applyFont="1" applyFill="1" applyBorder="1" applyAlignment="1">
      <alignment horizontal="left" vertical="center"/>
    </xf>
    <xf numFmtId="0" fontId="11" fillId="5" borderId="62" xfId="0" applyFont="1" applyFill="1" applyBorder="1" applyAlignment="1">
      <alignment horizontal="left" vertical="center"/>
    </xf>
    <xf numFmtId="0" fontId="11" fillId="5" borderId="30" xfId="0" applyFont="1" applyFill="1" applyBorder="1" applyAlignment="1">
      <alignment horizontal="left" vertical="center"/>
    </xf>
    <xf numFmtId="167" fontId="4" fillId="6" borderId="62" xfId="14" applyNumberFormat="1" applyFont="1" applyFill="1" applyBorder="1" applyAlignment="1">
      <alignment horizontal="center" vertical="center"/>
    </xf>
    <xf numFmtId="167" fontId="4" fillId="7" borderId="29" xfId="0" applyNumberFormat="1" applyFont="1" applyFill="1" applyBorder="1" applyAlignment="1">
      <alignment horizontal="center" vertical="center"/>
    </xf>
    <xf numFmtId="167" fontId="17" fillId="6" borderId="29" xfId="0" applyNumberFormat="1" applyFont="1" applyFill="1" applyBorder="1" applyAlignment="1">
      <alignment horizontal="center" vertical="center"/>
    </xf>
    <xf numFmtId="167" fontId="17" fillId="6" borderId="31" xfId="0" applyNumberFormat="1" applyFont="1" applyFill="1" applyBorder="1" applyAlignment="1">
      <alignment horizontal="center" vertical="center"/>
    </xf>
    <xf numFmtId="167" fontId="4" fillId="6" borderId="31" xfId="0" applyNumberFormat="1" applyFont="1" applyFill="1" applyBorder="1" applyAlignment="1">
      <alignment horizontal="center" vertical="center"/>
    </xf>
    <xf numFmtId="0" fontId="33" fillId="19" borderId="31" xfId="0" applyFont="1" applyFill="1" applyBorder="1" applyAlignment="1">
      <alignment horizontal="left"/>
    </xf>
    <xf numFmtId="0" fontId="33" fillId="19" borderId="31" xfId="0" applyFont="1" applyFill="1" applyBorder="1" applyAlignment="1">
      <alignment horizontal="center"/>
    </xf>
    <xf numFmtId="2" fontId="1" fillId="19" borderId="31" xfId="0" applyNumberFormat="1" applyFont="1" applyFill="1" applyBorder="1"/>
    <xf numFmtId="166" fontId="1" fillId="19" borderId="31" xfId="14" applyNumberFormat="1" applyFill="1" applyBorder="1"/>
    <xf numFmtId="0" fontId="1" fillId="19" borderId="31" xfId="14" applyFill="1" applyBorder="1"/>
    <xf numFmtId="0" fontId="33" fillId="19" borderId="0" xfId="0" applyFont="1" applyFill="1" applyBorder="1" applyAlignment="1">
      <alignment horizontal="left"/>
    </xf>
    <xf numFmtId="0" fontId="33" fillId="19" borderId="0" xfId="0" applyFont="1" applyFill="1" applyBorder="1" applyAlignment="1">
      <alignment horizontal="center"/>
    </xf>
    <xf numFmtId="2" fontId="1" fillId="19" borderId="0" xfId="0" applyNumberFormat="1" applyFont="1" applyFill="1" applyBorder="1"/>
    <xf numFmtId="0" fontId="49" fillId="19" borderId="31" xfId="0" applyFont="1" applyFill="1" applyBorder="1" applyAlignment="1">
      <alignment horizontal="left" vertical="center"/>
    </xf>
    <xf numFmtId="0" fontId="49" fillId="19" borderId="31" xfId="0" applyFont="1" applyFill="1" applyBorder="1" applyAlignment="1">
      <alignment horizontal="center" vertical="center"/>
    </xf>
    <xf numFmtId="2" fontId="53" fillId="19" borderId="31" xfId="0" applyNumberFormat="1" applyFont="1" applyFill="1" applyBorder="1"/>
    <xf numFmtId="3" fontId="17" fillId="6" borderId="29" xfId="0" applyNumberFormat="1" applyFont="1" applyFill="1" applyBorder="1" applyAlignment="1">
      <alignment horizontal="center" vertical="center"/>
    </xf>
    <xf numFmtId="167" fontId="17" fillId="6" borderId="12" xfId="0" applyNumberFormat="1" applyFont="1" applyFill="1" applyBorder="1" applyAlignment="1">
      <alignment horizontal="center" vertical="center"/>
    </xf>
    <xf numFmtId="167" fontId="17" fillId="6" borderId="62" xfId="0" applyNumberFormat="1" applyFont="1" applyFill="1" applyBorder="1" applyAlignment="1">
      <alignment horizontal="center" vertical="center"/>
    </xf>
    <xf numFmtId="3" fontId="1" fillId="5" borderId="14" xfId="16" applyNumberFormat="1" applyFont="1" applyFill="1" applyBorder="1" applyAlignment="1">
      <alignment horizontal="center" vertical="center" wrapText="1"/>
    </xf>
    <xf numFmtId="0" fontId="1" fillId="5" borderId="1" xfId="0" applyNumberFormat="1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justify" vertical="top" wrapText="1"/>
    </xf>
    <xf numFmtId="0" fontId="0" fillId="0" borderId="7" xfId="0" applyBorder="1"/>
    <xf numFmtId="0" fontId="0" fillId="0" borderId="0" xfId="0" applyBorder="1"/>
    <xf numFmtId="0" fontId="11" fillId="0" borderId="0" xfId="0" applyFont="1" applyFill="1" applyBorder="1" applyAlignment="1">
      <alignment horizontal="center" vertical="center"/>
    </xf>
    <xf numFmtId="0" fontId="8" fillId="0" borderId="80" xfId="0" applyFont="1" applyFill="1" applyBorder="1" applyAlignment="1">
      <alignment horizontal="left" vertical="center"/>
    </xf>
    <xf numFmtId="0" fontId="8" fillId="0" borderId="82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 wrapText="1"/>
    </xf>
    <xf numFmtId="167" fontId="34" fillId="7" borderId="71" xfId="0" applyNumberFormat="1" applyFont="1" applyFill="1" applyBorder="1" applyAlignment="1">
      <alignment horizontal="center" vertical="center"/>
    </xf>
    <xf numFmtId="164" fontId="1" fillId="0" borderId="66" xfId="5" applyFont="1" applyFill="1" applyBorder="1" applyAlignment="1">
      <alignment horizontal="center"/>
    </xf>
    <xf numFmtId="0" fontId="4" fillId="5" borderId="1" xfId="0" applyFont="1" applyFill="1" applyBorder="1" applyAlignment="1">
      <alignment horizontal="justify" vertical="top" wrapText="1"/>
    </xf>
    <xf numFmtId="0" fontId="0" fillId="0" borderId="0" xfId="0" applyBorder="1"/>
    <xf numFmtId="0" fontId="8" fillId="0" borderId="80" xfId="0" applyFont="1" applyFill="1" applyBorder="1" applyAlignment="1">
      <alignment horizontal="left" vertical="center"/>
    </xf>
    <xf numFmtId="0" fontId="8" fillId="0" borderId="82" xfId="0" applyFont="1" applyFill="1" applyBorder="1" applyAlignment="1">
      <alignment horizontal="left" vertical="center"/>
    </xf>
    <xf numFmtId="0" fontId="8" fillId="0" borderId="31" xfId="0" applyFont="1" applyFill="1" applyBorder="1" applyAlignment="1">
      <alignment horizontal="left" vertical="center"/>
    </xf>
    <xf numFmtId="0" fontId="8" fillId="0" borderId="74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1" fillId="0" borderId="88" xfId="0" applyFont="1" applyFill="1" applyBorder="1" applyAlignment="1">
      <alignment horizontal="left" vertical="center"/>
    </xf>
    <xf numFmtId="0" fontId="0" fillId="0" borderId="0" xfId="0" applyBorder="1"/>
    <xf numFmtId="0" fontId="11" fillId="0" borderId="83" xfId="8" applyBorder="1"/>
    <xf numFmtId="0" fontId="11" fillId="0" borderId="55" xfId="8" applyBorder="1"/>
    <xf numFmtId="0" fontId="8" fillId="5" borderId="57" xfId="0" applyFont="1" applyFill="1" applyBorder="1" applyAlignment="1">
      <alignment vertical="center"/>
    </xf>
    <xf numFmtId="0" fontId="8" fillId="5" borderId="89" xfId="0" applyFont="1" applyFill="1" applyBorder="1" applyAlignment="1">
      <alignment vertical="center"/>
    </xf>
    <xf numFmtId="0" fontId="0" fillId="5" borderId="0" xfId="0" applyFill="1" applyBorder="1" applyAlignment="1">
      <alignment horizontal="left"/>
    </xf>
    <xf numFmtId="0" fontId="8" fillId="5" borderId="0" xfId="0" applyFont="1" applyFill="1" applyBorder="1" applyAlignment="1">
      <alignment horizontal="right" vertical="center"/>
    </xf>
    <xf numFmtId="0" fontId="8" fillId="5" borderId="31" xfId="0" applyFont="1" applyFill="1" applyBorder="1" applyAlignment="1">
      <alignment vertical="center"/>
    </xf>
    <xf numFmtId="0" fontId="8" fillId="5" borderId="55" xfId="0" applyFont="1" applyFill="1" applyBorder="1" applyAlignment="1">
      <alignment vertical="center"/>
    </xf>
    <xf numFmtId="0" fontId="4" fillId="5" borderId="54" xfId="14" applyFont="1" applyFill="1" applyBorder="1" applyAlignment="1">
      <alignment horizontal="left" vertical="center"/>
    </xf>
    <xf numFmtId="0" fontId="1" fillId="0" borderId="18" xfId="10" applyFont="1" applyBorder="1" applyAlignment="1">
      <alignment horizontal="left" vertical="top"/>
    </xf>
    <xf numFmtId="0" fontId="1" fillId="0" borderId="27" xfId="0" applyFont="1" applyBorder="1" applyAlignment="1">
      <alignment wrapText="1"/>
    </xf>
    <xf numFmtId="0" fontId="1" fillId="0" borderId="18" xfId="10" applyFont="1" applyBorder="1" applyAlignment="1">
      <alignment vertical="top"/>
    </xf>
    <xf numFmtId="0" fontId="1" fillId="0" borderId="27" xfId="0" applyFont="1" applyBorder="1" applyAlignment="1"/>
    <xf numFmtId="0" fontId="1" fillId="0" borderId="27" xfId="0" applyFont="1" applyFill="1" applyBorder="1" applyAlignment="1"/>
    <xf numFmtId="0" fontId="11" fillId="0" borderId="24" xfId="8" applyBorder="1"/>
    <xf numFmtId="0" fontId="4" fillId="0" borderId="27" xfId="14" applyFont="1" applyFill="1" applyBorder="1" applyAlignment="1">
      <alignment horizontal="left" vertical="center"/>
    </xf>
    <xf numFmtId="0" fontId="32" fillId="0" borderId="76" xfId="10" applyFont="1" applyBorder="1" applyAlignment="1">
      <alignment horizontal="center" vertical="center" wrapText="1"/>
    </xf>
    <xf numFmtId="167" fontId="1" fillId="0" borderId="55" xfId="10" applyNumberFormat="1" applyFont="1" applyBorder="1" applyAlignment="1">
      <alignment horizontal="center" vertical="center" wrapText="1"/>
    </xf>
    <xf numFmtId="3" fontId="1" fillId="0" borderId="65" xfId="10" applyNumberFormat="1" applyFont="1" applyBorder="1" applyAlignment="1">
      <alignment horizontal="center" vertical="center" wrapText="1"/>
    </xf>
    <xf numFmtId="167" fontId="1" fillId="0" borderId="55" xfId="10" applyNumberFormat="1" applyFont="1" applyBorder="1" applyAlignment="1">
      <alignment vertical="center" wrapText="1"/>
    </xf>
    <xf numFmtId="0" fontId="32" fillId="0" borderId="90" xfId="10" applyFont="1" applyBorder="1" applyAlignment="1">
      <alignment horizontal="center" vertical="center" wrapText="1"/>
    </xf>
    <xf numFmtId="3" fontId="1" fillId="0" borderId="67" xfId="10" applyNumberFormat="1" applyFont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3" fontId="1" fillId="0" borderId="14" xfId="10" applyNumberFormat="1" applyFont="1" applyFill="1" applyBorder="1" applyAlignment="1">
      <alignment horizontal="center" vertical="center" wrapText="1"/>
    </xf>
    <xf numFmtId="2" fontId="11" fillId="0" borderId="0" xfId="8" applyNumberFormat="1" applyBorder="1"/>
    <xf numFmtId="0" fontId="23" fillId="0" borderId="1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left" vertical="center" wrapText="1"/>
    </xf>
    <xf numFmtId="49" fontId="4" fillId="0" borderId="10" xfId="0" applyNumberFormat="1" applyFont="1" applyFill="1" applyBorder="1" applyAlignment="1">
      <alignment horizontal="left" vertical="center" wrapText="1"/>
    </xf>
    <xf numFmtId="49" fontId="6" fillId="0" borderId="3" xfId="0" applyNumberFormat="1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168" fontId="1" fillId="0" borderId="0" xfId="0" applyNumberFormat="1" applyFont="1" applyFill="1" applyBorder="1" applyAlignment="1">
      <alignment horizontal="left" vertical="center"/>
    </xf>
    <xf numFmtId="168" fontId="10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49" fontId="18" fillId="0" borderId="10" xfId="0" applyNumberFormat="1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center" wrapText="1"/>
    </xf>
    <xf numFmtId="49" fontId="17" fillId="0" borderId="10" xfId="0" applyNumberFormat="1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20" fillId="0" borderId="3" xfId="0" applyNumberFormat="1" applyFont="1" applyFill="1" applyBorder="1" applyAlignment="1">
      <alignment horizontal="left" vertical="center"/>
    </xf>
    <xf numFmtId="49" fontId="6" fillId="0" borderId="12" xfId="0" applyNumberFormat="1" applyFont="1" applyFill="1" applyBorder="1" applyAlignment="1">
      <alignment horizontal="left" vertical="center"/>
    </xf>
    <xf numFmtId="49" fontId="6" fillId="0" borderId="32" xfId="0" applyNumberFormat="1" applyFont="1" applyFill="1" applyBorder="1" applyAlignment="1">
      <alignment horizontal="left"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5" xfId="0" applyNumberFormat="1" applyFont="1" applyBorder="1" applyAlignment="1">
      <alignment horizontal="left" vertical="center"/>
    </xf>
    <xf numFmtId="0" fontId="0" fillId="0" borderId="7" xfId="0" applyBorder="1"/>
    <xf numFmtId="0" fontId="0" fillId="0" borderId="0" xfId="0" applyBorder="1"/>
    <xf numFmtId="0" fontId="0" fillId="0" borderId="8" xfId="0" applyBorder="1"/>
    <xf numFmtId="49" fontId="20" fillId="0" borderId="0" xfId="0" applyNumberFormat="1" applyFont="1" applyFill="1" applyBorder="1" applyAlignment="1">
      <alignment horizontal="left" vertical="center"/>
    </xf>
    <xf numFmtId="49" fontId="20" fillId="0" borderId="29" xfId="0" applyNumberFormat="1" applyFont="1" applyBorder="1" applyAlignment="1">
      <alignment horizontal="left" vertical="center"/>
    </xf>
    <xf numFmtId="49" fontId="20" fillId="0" borderId="31" xfId="0" applyNumberFormat="1" applyFont="1" applyBorder="1" applyAlignment="1">
      <alignment horizontal="left" vertical="center"/>
    </xf>
    <xf numFmtId="49" fontId="20" fillId="0" borderId="12" xfId="0" applyNumberFormat="1" applyFont="1" applyFill="1" applyBorder="1" applyAlignment="1">
      <alignment horizontal="left" vertical="center"/>
    </xf>
    <xf numFmtId="49" fontId="20" fillId="0" borderId="32" xfId="0" applyNumberFormat="1" applyFont="1" applyFill="1" applyBorder="1" applyAlignment="1">
      <alignment horizontal="left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29" fillId="0" borderId="0" xfId="2" applyFont="1" applyFill="1" applyBorder="1" applyAlignment="1">
      <alignment horizontal="left" vertical="center" wrapText="1" indent="7"/>
    </xf>
    <xf numFmtId="0" fontId="26" fillId="0" borderId="0" xfId="2" applyFont="1" applyFill="1" applyBorder="1" applyAlignment="1">
      <alignment horizontal="left" vertical="center" wrapText="1"/>
    </xf>
    <xf numFmtId="39" fontId="17" fillId="0" borderId="37" xfId="5" applyNumberFormat="1" applyFont="1" applyFill="1" applyBorder="1" applyAlignment="1">
      <alignment horizontal="center" vertical="center" wrapText="1"/>
    </xf>
    <xf numFmtId="0" fontId="0" fillId="0" borderId="37" xfId="0" applyBorder="1"/>
    <xf numFmtId="0" fontId="10" fillId="0" borderId="33" xfId="0" quotePrefix="1" applyFont="1" applyFill="1" applyBorder="1" applyAlignment="1">
      <alignment horizontal="justify" vertical="center" wrapText="1"/>
    </xf>
    <xf numFmtId="0" fontId="10" fillId="0" borderId="34" xfId="0" quotePrefix="1" applyFont="1" applyFill="1" applyBorder="1" applyAlignment="1">
      <alignment horizontal="justify" vertical="center" wrapText="1"/>
    </xf>
    <xf numFmtId="0" fontId="10" fillId="0" borderId="35" xfId="0" quotePrefix="1" applyFont="1" applyFill="1" applyBorder="1" applyAlignment="1">
      <alignment horizontal="justify" vertical="center" wrapText="1"/>
    </xf>
    <xf numFmtId="0" fontId="27" fillId="0" borderId="0" xfId="2" applyFont="1" applyFill="1" applyBorder="1" applyAlignment="1">
      <alignment horizontal="center" vertical="center"/>
    </xf>
    <xf numFmtId="49" fontId="18" fillId="0" borderId="36" xfId="0" applyNumberFormat="1" applyFont="1" applyFill="1" applyBorder="1" applyAlignment="1">
      <alignment horizontal="center" vertical="center" wrapText="1"/>
    </xf>
    <xf numFmtId="49" fontId="18" fillId="0" borderId="37" xfId="0" applyNumberFormat="1" applyFont="1" applyFill="1" applyBorder="1" applyAlignment="1">
      <alignment horizontal="center" vertical="center" wrapText="1"/>
    </xf>
    <xf numFmtId="49" fontId="18" fillId="0" borderId="39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18" fillId="0" borderId="40" xfId="0" applyNumberFormat="1" applyFont="1" applyFill="1" applyBorder="1" applyAlignment="1">
      <alignment horizontal="center" vertical="center" wrapText="1"/>
    </xf>
    <xf numFmtId="49" fontId="18" fillId="0" borderId="41" xfId="0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left" vertical="center"/>
    </xf>
    <xf numFmtId="0" fontId="4" fillId="0" borderId="46" xfId="0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30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43" xfId="0" applyFont="1" applyFill="1" applyBorder="1" applyAlignment="1">
      <alignment horizontal="left" vertical="center"/>
    </xf>
    <xf numFmtId="0" fontId="4" fillId="0" borderId="48" xfId="0" applyFont="1" applyFill="1" applyBorder="1" applyAlignment="1">
      <alignment horizontal="left" vertical="center"/>
    </xf>
    <xf numFmtId="0" fontId="4" fillId="0" borderId="49" xfId="0" applyFont="1" applyFill="1" applyBorder="1" applyAlignment="1">
      <alignment horizontal="left" vertical="center"/>
    </xf>
    <xf numFmtId="14" fontId="4" fillId="0" borderId="49" xfId="0" applyNumberFormat="1" applyFont="1" applyFill="1" applyBorder="1" applyAlignment="1">
      <alignment horizontal="left" vertical="center"/>
    </xf>
    <xf numFmtId="0" fontId="4" fillId="0" borderId="50" xfId="0" applyFont="1" applyFill="1" applyBorder="1" applyAlignment="1">
      <alignment horizontal="left" vertical="center"/>
    </xf>
    <xf numFmtId="0" fontId="29" fillId="0" borderId="0" xfId="14" applyFont="1" applyFill="1" applyBorder="1" applyAlignment="1" applyProtection="1">
      <alignment horizontal="left" vertical="center" wrapText="1"/>
      <protection locked="0"/>
    </xf>
    <xf numFmtId="0" fontId="29" fillId="0" borderId="0" xfId="2" applyFont="1" applyFill="1" applyBorder="1" applyAlignment="1" applyProtection="1">
      <alignment horizontal="left" vertical="top" wrapText="1"/>
      <protection locked="0"/>
    </xf>
    <xf numFmtId="39" fontId="17" fillId="0" borderId="34" xfId="5" applyNumberFormat="1" applyFont="1" applyFill="1" applyBorder="1" applyAlignment="1">
      <alignment horizontal="center" vertical="center" wrapText="1"/>
    </xf>
    <xf numFmtId="0" fontId="29" fillId="0" borderId="0" xfId="2" applyFont="1" applyFill="1" applyBorder="1" applyAlignment="1" applyProtection="1">
      <alignment horizontal="justify" vertical="center" wrapText="1"/>
      <protection locked="0"/>
    </xf>
    <xf numFmtId="0" fontId="29" fillId="0" borderId="0" xfId="14" applyFont="1" applyFill="1" applyBorder="1" applyAlignment="1" applyProtection="1">
      <alignment horizontal="left" vertical="top" wrapText="1"/>
      <protection locked="0"/>
    </xf>
    <xf numFmtId="0" fontId="0" fillId="0" borderId="0" xfId="0" applyFill="1" applyAlignment="1">
      <alignment vertical="top" wrapText="1"/>
    </xf>
    <xf numFmtId="0" fontId="65" fillId="14" borderId="0" xfId="14" applyFont="1" applyFill="1" applyBorder="1" applyAlignment="1">
      <alignment horizontal="left" vertical="center" wrapText="1"/>
    </xf>
    <xf numFmtId="0" fontId="65" fillId="8" borderId="0" xfId="14" applyFont="1" applyFill="1" applyBorder="1" applyAlignment="1">
      <alignment horizontal="left" vertical="center" wrapText="1"/>
    </xf>
    <xf numFmtId="0" fontId="1" fillId="0" borderId="2" xfId="10" applyFont="1" applyBorder="1" applyAlignment="1">
      <alignment horizontal="left" vertical="center" wrapText="1"/>
    </xf>
    <xf numFmtId="0" fontId="1" fillId="0" borderId="2" xfId="0" applyFont="1" applyBorder="1" applyAlignment="1">
      <alignment wrapText="1"/>
    </xf>
    <xf numFmtId="0" fontId="1" fillId="0" borderId="29" xfId="0" applyFont="1" applyBorder="1" applyAlignment="1">
      <alignment wrapText="1"/>
    </xf>
    <xf numFmtId="0" fontId="1" fillId="0" borderId="13" xfId="10" applyFont="1" applyBorder="1" applyAlignment="1">
      <alignment horizontal="center" vertical="center" wrapText="1"/>
    </xf>
    <xf numFmtId="0" fontId="1" fillId="0" borderId="12" xfId="0" applyFont="1" applyBorder="1" applyAlignment="1">
      <alignment wrapText="1"/>
    </xf>
    <xf numFmtId="0" fontId="32" fillId="0" borderId="7" xfId="10" applyFont="1" applyBorder="1" applyAlignment="1">
      <alignment horizontal="left" vertical="center"/>
    </xf>
    <xf numFmtId="0" fontId="32" fillId="0" borderId="60" xfId="10" applyFont="1" applyBorder="1" applyAlignment="1">
      <alignment horizontal="left" vertical="center"/>
    </xf>
    <xf numFmtId="0" fontId="1" fillId="0" borderId="60" xfId="0" applyFont="1" applyBorder="1" applyAlignment="1"/>
    <xf numFmtId="0" fontId="1" fillId="0" borderId="61" xfId="0" applyFont="1" applyBorder="1" applyAlignment="1"/>
    <xf numFmtId="0" fontId="11" fillId="0" borderId="0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left" vertical="center"/>
    </xf>
    <xf numFmtId="0" fontId="8" fillId="0" borderId="89" xfId="0" applyFont="1" applyFill="1" applyBorder="1" applyAlignment="1">
      <alignment horizontal="left" vertical="center"/>
    </xf>
    <xf numFmtId="0" fontId="4" fillId="0" borderId="58" xfId="10" applyFont="1" applyBorder="1" applyAlignment="1">
      <alignment horizontal="right" vertical="center" wrapText="1"/>
    </xf>
    <xf numFmtId="0" fontId="1" fillId="0" borderId="58" xfId="0" applyFont="1" applyBorder="1" applyAlignment="1">
      <alignment wrapText="1"/>
    </xf>
    <xf numFmtId="0" fontId="1" fillId="0" borderId="59" xfId="0" applyFont="1" applyBorder="1" applyAlignment="1">
      <alignment wrapText="1"/>
    </xf>
    <xf numFmtId="0" fontId="32" fillId="0" borderId="4" xfId="10" applyFont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 wrapText="1"/>
    </xf>
    <xf numFmtId="0" fontId="8" fillId="0" borderId="64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69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68" xfId="0" applyFont="1" applyFill="1" applyBorder="1" applyAlignment="1">
      <alignment horizontal="left" vertical="center"/>
    </xf>
    <xf numFmtId="0" fontId="8" fillId="0" borderId="80" xfId="0" applyFont="1" applyFill="1" applyBorder="1" applyAlignment="1">
      <alignment horizontal="left" vertical="center"/>
    </xf>
    <xf numFmtId="0" fontId="8" fillId="0" borderId="82" xfId="0" applyFont="1" applyFill="1" applyBorder="1" applyAlignment="1">
      <alignment horizontal="left" vertical="center"/>
    </xf>
    <xf numFmtId="0" fontId="8" fillId="0" borderId="26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32" fillId="0" borderId="37" xfId="10" applyFont="1" applyBorder="1" applyAlignment="1">
      <alignment horizontal="center" vertical="center"/>
    </xf>
    <xf numFmtId="0" fontId="4" fillId="0" borderId="59" xfId="10" applyFont="1" applyBorder="1" applyAlignment="1">
      <alignment horizontal="right" vertical="center" wrapText="1"/>
    </xf>
    <xf numFmtId="0" fontId="1" fillId="0" borderId="29" xfId="10" applyFont="1" applyBorder="1" applyAlignment="1">
      <alignment horizontal="left" vertical="center" wrapText="1"/>
    </xf>
    <xf numFmtId="0" fontId="32" fillId="0" borderId="61" xfId="10" applyFont="1" applyBorder="1" applyAlignment="1">
      <alignment horizontal="left" vertical="center"/>
    </xf>
    <xf numFmtId="0" fontId="32" fillId="0" borderId="46" xfId="1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2" xfId="10" applyNumberFormat="1" applyFont="1" applyBorder="1" applyAlignment="1">
      <alignment horizontal="left" vertical="top" wrapText="1"/>
    </xf>
    <xf numFmtId="0" fontId="32" fillId="0" borderId="10" xfId="1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1" fillId="0" borderId="57" xfId="1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32" fillId="0" borderId="23" xfId="1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wrapText="1"/>
    </xf>
    <xf numFmtId="0" fontId="32" fillId="0" borderId="23" xfId="10" applyFont="1" applyBorder="1" applyAlignment="1">
      <alignment horizontal="center" vertical="center"/>
    </xf>
    <xf numFmtId="0" fontId="1" fillId="0" borderId="11" xfId="0" applyFont="1" applyBorder="1" applyAlignment="1"/>
    <xf numFmtId="0" fontId="1" fillId="0" borderId="3" xfId="1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7" fillId="0" borderId="41" xfId="0" applyNumberFormat="1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8" fillId="0" borderId="37" xfId="0" applyNumberFormat="1" applyFont="1" applyFill="1" applyBorder="1" applyAlignment="1">
      <alignment horizontal="center" vertical="center" wrapText="1"/>
    </xf>
    <xf numFmtId="0" fontId="18" fillId="0" borderId="38" xfId="0" applyNumberFormat="1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 wrapText="1"/>
    </xf>
    <xf numFmtId="0" fontId="18" fillId="0" borderId="9" xfId="0" applyNumberFormat="1" applyFont="1" applyFill="1" applyBorder="1" applyAlignment="1">
      <alignment horizontal="center" vertical="center" wrapText="1"/>
    </xf>
    <xf numFmtId="0" fontId="18" fillId="0" borderId="41" xfId="0" applyNumberFormat="1" applyFont="1" applyFill="1" applyBorder="1" applyAlignment="1">
      <alignment horizontal="center" vertical="center" wrapText="1"/>
    </xf>
    <xf numFmtId="0" fontId="18" fillId="0" borderId="42" xfId="0" applyNumberFormat="1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48" xfId="0" quotePrefix="1" applyFont="1" applyFill="1" applyBorder="1" applyAlignment="1">
      <alignment horizontal="left" vertical="center" wrapText="1"/>
    </xf>
    <xf numFmtId="0" fontId="4" fillId="0" borderId="49" xfId="0" quotePrefix="1" applyFont="1" applyFill="1" applyBorder="1" applyAlignment="1">
      <alignment horizontal="left" vertical="center" wrapText="1"/>
    </xf>
    <xf numFmtId="0" fontId="38" fillId="0" borderId="3" xfId="1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2" fillId="0" borderId="11" xfId="10" applyFont="1" applyBorder="1" applyAlignment="1">
      <alignment horizontal="center" vertical="center"/>
    </xf>
    <xf numFmtId="0" fontId="32" fillId="0" borderId="10" xfId="10" applyFont="1" applyBorder="1" applyAlignment="1">
      <alignment horizontal="center" vertical="center" wrapText="1"/>
    </xf>
    <xf numFmtId="0" fontId="32" fillId="0" borderId="11" xfId="10" applyFont="1" applyBorder="1" applyAlignment="1">
      <alignment horizontal="center" vertical="center" wrapText="1"/>
    </xf>
    <xf numFmtId="0" fontId="1" fillId="0" borderId="58" xfId="10" applyFont="1" applyBorder="1" applyAlignment="1">
      <alignment horizontal="center" vertical="center" wrapText="1"/>
    </xf>
    <xf numFmtId="0" fontId="1" fillId="0" borderId="59" xfId="10" applyFont="1" applyBorder="1" applyAlignment="1">
      <alignment horizontal="center" vertical="center" wrapText="1"/>
    </xf>
    <xf numFmtId="0" fontId="32" fillId="0" borderId="4" xfId="10" applyFont="1" applyFill="1" applyBorder="1" applyAlignment="1">
      <alignment horizontal="left" vertical="center"/>
    </xf>
    <xf numFmtId="167" fontId="1" fillId="0" borderId="13" xfId="10" applyNumberFormat="1" applyFont="1" applyBorder="1" applyAlignment="1">
      <alignment horizontal="center" vertical="center" wrapText="1"/>
    </xf>
    <xf numFmtId="167" fontId="1" fillId="0" borderId="23" xfId="10" applyNumberFormat="1" applyFont="1" applyBorder="1" applyAlignment="1">
      <alignment horizontal="center" vertical="center" wrapText="1"/>
    </xf>
    <xf numFmtId="0" fontId="32" fillId="0" borderId="77" xfId="10" applyFont="1" applyBorder="1" applyAlignment="1">
      <alignment horizontal="left" vertical="center"/>
    </xf>
    <xf numFmtId="0" fontId="32" fillId="0" borderId="75" xfId="10" applyFont="1" applyBorder="1" applyAlignment="1">
      <alignment horizontal="left" vertical="center"/>
    </xf>
    <xf numFmtId="0" fontId="1" fillId="0" borderId="74" xfId="10" applyFont="1" applyBorder="1" applyAlignment="1">
      <alignment horizontal="left" vertical="center" wrapText="1"/>
    </xf>
    <xf numFmtId="0" fontId="4" fillId="0" borderId="78" xfId="10" applyFont="1" applyBorder="1" applyAlignment="1">
      <alignment horizontal="right" vertical="center" wrapText="1"/>
    </xf>
    <xf numFmtId="0" fontId="1" fillId="5" borderId="3" xfId="1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7" xfId="10" applyFont="1" applyFill="1" applyBorder="1" applyAlignment="1">
      <alignment horizontal="center"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1" fillId="5" borderId="59" xfId="0" applyFont="1" applyFill="1" applyBorder="1" applyAlignment="1">
      <alignment wrapText="1"/>
    </xf>
    <xf numFmtId="0" fontId="1" fillId="5" borderId="13" xfId="1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wrapText="1"/>
    </xf>
    <xf numFmtId="0" fontId="32" fillId="0" borderId="30" xfId="10" applyFont="1" applyBorder="1" applyAlignment="1">
      <alignment horizontal="center" vertical="center" wrapText="1"/>
    </xf>
    <xf numFmtId="0" fontId="32" fillId="0" borderId="2" xfId="10" applyFont="1" applyBorder="1" applyAlignment="1">
      <alignment horizontal="center" vertical="center" wrapText="1"/>
    </xf>
    <xf numFmtId="0" fontId="32" fillId="0" borderId="29" xfId="10" applyFont="1" applyBorder="1" applyAlignment="1">
      <alignment horizontal="center" vertical="center" wrapText="1"/>
    </xf>
    <xf numFmtId="0" fontId="32" fillId="0" borderId="30" xfId="10" applyFont="1" applyBorder="1" applyAlignment="1">
      <alignment horizontal="center" vertical="center"/>
    </xf>
    <xf numFmtId="0" fontId="32" fillId="0" borderId="29" xfId="10" applyFont="1" applyBorder="1" applyAlignment="1">
      <alignment horizontal="center" vertical="center"/>
    </xf>
    <xf numFmtId="0" fontId="32" fillId="0" borderId="2" xfId="10" applyFont="1" applyBorder="1" applyAlignment="1">
      <alignment horizontal="center" vertical="center"/>
    </xf>
    <xf numFmtId="0" fontId="1" fillId="0" borderId="46" xfId="10" applyNumberFormat="1" applyFont="1" applyBorder="1" applyAlignment="1">
      <alignment horizontal="left" vertical="top" wrapText="1"/>
    </xf>
    <xf numFmtId="0" fontId="1" fillId="0" borderId="58" xfId="10" applyFont="1" applyFill="1" applyBorder="1" applyAlignment="1">
      <alignment horizontal="center" vertical="center" wrapText="1"/>
    </xf>
    <xf numFmtId="0" fontId="1" fillId="0" borderId="59" xfId="10" applyFont="1" applyFill="1" applyBorder="1" applyAlignment="1">
      <alignment horizontal="center" vertical="center" wrapText="1"/>
    </xf>
    <xf numFmtId="0" fontId="1" fillId="0" borderId="57" xfId="10" applyFont="1" applyFill="1" applyBorder="1" applyAlignment="1">
      <alignment horizontal="center" vertical="center" wrapText="1"/>
    </xf>
    <xf numFmtId="0" fontId="8" fillId="5" borderId="57" xfId="0" applyFont="1" applyFill="1" applyBorder="1" applyAlignment="1">
      <alignment horizontal="left" vertical="center"/>
    </xf>
    <xf numFmtId="0" fontId="8" fillId="5" borderId="89" xfId="0" applyFont="1" applyFill="1" applyBorder="1" applyAlignment="1">
      <alignment horizontal="left" vertical="center"/>
    </xf>
    <xf numFmtId="0" fontId="17" fillId="0" borderId="54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77" fillId="0" borderId="31" xfId="0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/>
    </xf>
    <xf numFmtId="0" fontId="1" fillId="0" borderId="3" xfId="1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7" fillId="0" borderId="84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85" xfId="0" applyFont="1" applyBorder="1" applyAlignment="1">
      <alignment horizontal="left"/>
    </xf>
    <xf numFmtId="0" fontId="8" fillId="5" borderId="30" xfId="0" applyFont="1" applyFill="1" applyBorder="1" applyAlignment="1">
      <alignment horizontal="left" vertical="center"/>
    </xf>
    <xf numFmtId="0" fontId="8" fillId="5" borderId="64" xfId="0" applyFont="1" applyFill="1" applyBorder="1" applyAlignment="1">
      <alignment horizontal="left" vertical="center"/>
    </xf>
    <xf numFmtId="0" fontId="35" fillId="0" borderId="77" xfId="0" applyFont="1" applyBorder="1" applyAlignment="1">
      <alignment horizontal="left"/>
    </xf>
    <xf numFmtId="0" fontId="35" fillId="0" borderId="7" xfId="0" applyFont="1" applyBorder="1" applyAlignment="1">
      <alignment horizontal="left"/>
    </xf>
    <xf numFmtId="0" fontId="35" fillId="0" borderId="54" xfId="0" applyFont="1" applyBorder="1" applyAlignment="1">
      <alignment horizontal="left"/>
    </xf>
    <xf numFmtId="0" fontId="49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32" fillId="0" borderId="46" xfId="10" applyFont="1" applyFill="1" applyBorder="1" applyAlignment="1">
      <alignment horizontal="center" vertical="center"/>
    </xf>
    <xf numFmtId="0" fontId="8" fillId="5" borderId="31" xfId="0" applyFont="1" applyFill="1" applyBorder="1" applyAlignment="1">
      <alignment horizontal="left" vertical="center"/>
    </xf>
    <xf numFmtId="0" fontId="8" fillId="5" borderId="55" xfId="0" applyFont="1" applyFill="1" applyBorder="1" applyAlignment="1">
      <alignment horizontal="left" vertical="center"/>
    </xf>
    <xf numFmtId="0" fontId="17" fillId="0" borderId="86" xfId="0" applyFont="1" applyBorder="1" applyAlignment="1">
      <alignment horizontal="left"/>
    </xf>
    <xf numFmtId="0" fontId="17" fillId="0" borderId="72" xfId="0" applyFont="1" applyBorder="1" applyAlignment="1">
      <alignment horizontal="left"/>
    </xf>
    <xf numFmtId="0" fontId="17" fillId="0" borderId="76" xfId="0" applyFont="1" applyBorder="1" applyAlignment="1">
      <alignment horizontal="left"/>
    </xf>
    <xf numFmtId="0" fontId="0" fillId="0" borderId="7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9" xfId="0" applyBorder="1" applyAlignment="1">
      <alignment horizontal="center"/>
    </xf>
    <xf numFmtId="0" fontId="8" fillId="0" borderId="74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8" fillId="0" borderId="78" xfId="0" applyFont="1" applyFill="1" applyBorder="1" applyAlignment="1">
      <alignment horizontal="left" vertical="center"/>
    </xf>
    <xf numFmtId="0" fontId="8" fillId="0" borderId="58" xfId="0" applyFont="1" applyFill="1" applyBorder="1" applyAlignment="1">
      <alignment horizontal="left" vertical="center"/>
    </xf>
    <xf numFmtId="0" fontId="8" fillId="0" borderId="59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left" vertical="center"/>
    </xf>
    <xf numFmtId="0" fontId="8" fillId="0" borderId="64" xfId="0" applyFont="1" applyFill="1" applyBorder="1" applyAlignment="1">
      <alignment horizontal="left" vertical="center"/>
    </xf>
    <xf numFmtId="0" fontId="35" fillId="0" borderId="3" xfId="0" applyFont="1" applyBorder="1" applyAlignment="1">
      <alignment horizontal="left"/>
    </xf>
    <xf numFmtId="0" fontId="35" fillId="0" borderId="12" xfId="0" applyFont="1" applyBorder="1" applyAlignment="1">
      <alignment horizontal="left"/>
    </xf>
    <xf numFmtId="0" fontId="35" fillId="0" borderId="13" xfId="0" applyFont="1" applyBorder="1" applyAlignment="1">
      <alignment horizontal="left"/>
    </xf>
    <xf numFmtId="0" fontId="35" fillId="16" borderId="3" xfId="0" applyFont="1" applyFill="1" applyBorder="1" applyAlignment="1">
      <alignment horizontal="left"/>
    </xf>
    <xf numFmtId="0" fontId="35" fillId="16" borderId="12" xfId="0" applyFont="1" applyFill="1" applyBorder="1" applyAlignment="1">
      <alignment horizontal="left"/>
    </xf>
    <xf numFmtId="0" fontId="35" fillId="16" borderId="30" xfId="0" applyFont="1" applyFill="1" applyBorder="1" applyAlignment="1">
      <alignment horizontal="left"/>
    </xf>
    <xf numFmtId="0" fontId="35" fillId="16" borderId="2" xfId="0" applyFont="1" applyFill="1" applyBorder="1" applyAlignment="1">
      <alignment horizontal="left"/>
    </xf>
    <xf numFmtId="0" fontId="35" fillId="16" borderId="29" xfId="0" applyFont="1" applyFill="1" applyBorder="1" applyAlignment="1">
      <alignment horizontal="left"/>
    </xf>
    <xf numFmtId="0" fontId="8" fillId="5" borderId="13" xfId="0" applyFont="1" applyFill="1" applyBorder="1" applyAlignment="1">
      <alignment horizontal="left" vertical="center"/>
    </xf>
    <xf numFmtId="0" fontId="8" fillId="5" borderId="69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horizontal="left" vertical="center"/>
    </xf>
    <xf numFmtId="0" fontId="8" fillId="5" borderId="68" xfId="0" applyFont="1" applyFill="1" applyBorder="1" applyAlignment="1">
      <alignment horizontal="left" vertical="center"/>
    </xf>
    <xf numFmtId="0" fontId="18" fillId="0" borderId="37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/>
    </xf>
    <xf numFmtId="0" fontId="8" fillId="0" borderId="55" xfId="0" applyFont="1" applyFill="1" applyBorder="1" applyAlignment="1">
      <alignment horizontal="left" vertical="center"/>
    </xf>
    <xf numFmtId="0" fontId="38" fillId="0" borderId="3" xfId="1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5" fillId="14" borderId="0" xfId="0" applyFont="1" applyFill="1" applyBorder="1" applyAlignment="1">
      <alignment horizontal="left"/>
    </xf>
    <xf numFmtId="0" fontId="8" fillId="0" borderId="31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35" fillId="0" borderId="77" xfId="0" applyFont="1" applyFill="1" applyBorder="1" applyAlignment="1">
      <alignment horizontal="left"/>
    </xf>
    <xf numFmtId="0" fontId="35" fillId="0" borderId="7" xfId="0" applyFont="1" applyFill="1" applyBorder="1" applyAlignment="1">
      <alignment horizontal="left"/>
    </xf>
    <xf numFmtId="0" fontId="35" fillId="0" borderId="54" xfId="0" applyFont="1" applyFill="1" applyBorder="1" applyAlignment="1">
      <alignment horizontal="left"/>
    </xf>
    <xf numFmtId="0" fontId="8" fillId="0" borderId="13" xfId="0" applyFont="1" applyFill="1" applyBorder="1" applyAlignment="1">
      <alignment horizontal="left" vertical="center" wrapText="1"/>
    </xf>
    <xf numFmtId="0" fontId="8" fillId="0" borderId="69" xfId="0" applyFont="1" applyFill="1" applyBorder="1" applyAlignment="1">
      <alignment horizontal="left" vertical="center" wrapText="1"/>
    </xf>
    <xf numFmtId="0" fontId="8" fillId="0" borderId="23" xfId="0" applyFont="1" applyFill="1" applyBorder="1" applyAlignment="1">
      <alignment horizontal="left" vertical="center" wrapText="1"/>
    </xf>
    <xf numFmtId="0" fontId="8" fillId="0" borderId="68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2" fontId="53" fillId="0" borderId="30" xfId="14" applyNumberFormat="1" applyFont="1" applyFill="1" applyBorder="1" applyAlignment="1">
      <alignment horizontal="center"/>
    </xf>
    <xf numFmtId="2" fontId="53" fillId="0" borderId="29" xfId="14" applyNumberFormat="1" applyFont="1" applyFill="1" applyBorder="1" applyAlignment="1">
      <alignment horizontal="center"/>
    </xf>
    <xf numFmtId="2" fontId="1" fillId="6" borderId="30" xfId="14" applyNumberFormat="1" applyFont="1" applyFill="1" applyBorder="1" applyAlignment="1">
      <alignment horizontal="center"/>
    </xf>
    <xf numFmtId="2" fontId="1" fillId="6" borderId="29" xfId="14" applyNumberFormat="1" applyFont="1" applyFill="1" applyBorder="1" applyAlignment="1">
      <alignment horizontal="center"/>
    </xf>
    <xf numFmtId="0" fontId="49" fillId="0" borderId="30" xfId="14" applyFont="1" applyFill="1" applyBorder="1" applyAlignment="1">
      <alignment horizontal="center" vertical="center"/>
    </xf>
    <xf numFmtId="0" fontId="49" fillId="0" borderId="29" xfId="14" applyFont="1" applyFill="1" applyBorder="1" applyAlignment="1">
      <alignment horizontal="center" vertical="center"/>
    </xf>
    <xf numFmtId="49" fontId="48" fillId="0" borderId="37" xfId="2" applyNumberFormat="1" applyFont="1" applyFill="1" applyBorder="1" applyAlignment="1">
      <alignment horizontal="center" vertical="center" wrapText="1"/>
    </xf>
    <xf numFmtId="0" fontId="48" fillId="0" borderId="37" xfId="2" applyNumberFormat="1" applyFont="1" applyFill="1" applyBorder="1" applyAlignment="1">
      <alignment horizontal="center" vertical="center" wrapText="1"/>
    </xf>
    <xf numFmtId="0" fontId="19" fillId="0" borderId="46" xfId="14" applyFont="1" applyFill="1" applyBorder="1" applyAlignment="1">
      <alignment horizontal="left" vertical="center" wrapText="1"/>
    </xf>
    <xf numFmtId="0" fontId="0" fillId="0" borderId="46" xfId="0" applyBorder="1"/>
    <xf numFmtId="49" fontId="18" fillId="0" borderId="38" xfId="0" applyNumberFormat="1" applyFont="1" applyFill="1" applyBorder="1" applyAlignment="1">
      <alignment horizontal="center" vertical="center" wrapText="1"/>
    </xf>
    <xf numFmtId="49" fontId="18" fillId="0" borderId="9" xfId="0" applyNumberFormat="1" applyFont="1" applyFill="1" applyBorder="1" applyAlignment="1">
      <alignment horizontal="center" vertical="center" wrapText="1"/>
    </xf>
    <xf numFmtId="49" fontId="18" fillId="0" borderId="42" xfId="0" applyNumberFormat="1" applyFont="1" applyFill="1" applyBorder="1" applyAlignment="1">
      <alignment horizontal="center" vertical="center" wrapText="1"/>
    </xf>
    <xf numFmtId="0" fontId="19" fillId="0" borderId="46" xfId="2" applyFont="1" applyFill="1" applyBorder="1" applyAlignment="1">
      <alignment horizontal="center" vertical="center"/>
    </xf>
  </cellXfs>
  <cellStyles count="19">
    <cellStyle name="12" xfId="11"/>
    <cellStyle name="Euro" xfId="1"/>
    <cellStyle name="Normal" xfId="0" builtinId="0"/>
    <cellStyle name="Normal 2" xfId="2"/>
    <cellStyle name="Normal 2 2" xfId="14"/>
    <cellStyle name="Normal 3" xfId="8"/>
    <cellStyle name="Normal 4" xfId="15"/>
    <cellStyle name="Normal 5" xfId="18"/>
    <cellStyle name="Normal_3122-PCAM-460-HD-M-0105 A-PEB-8520-Diesel Frewater Pump" xfId="17"/>
    <cellStyle name="Normal_capa" xfId="9"/>
    <cellStyle name="Normal_LO2001 01_026 001 00" xfId="10"/>
    <cellStyle name="padroes" xfId="12"/>
    <cellStyle name="planilhas" xfId="13"/>
    <cellStyle name="Porcentagem 2" xfId="3"/>
    <cellStyle name="Porcentagem 3" xfId="4"/>
    <cellStyle name="Separador de milhares" xfId="5" builtinId="3"/>
    <cellStyle name="Separador de milhares 2" xfId="6"/>
    <cellStyle name="Separador de milhares 3" xfId="7"/>
    <cellStyle name="Separador de milhares 3 2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iff"/><Relationship Id="rId3" Type="http://schemas.openxmlformats.org/officeDocument/2006/relationships/image" Target="../media/image7.tiff"/><Relationship Id="rId7" Type="http://schemas.openxmlformats.org/officeDocument/2006/relationships/image" Target="../media/image11.tiff"/><Relationship Id="rId2" Type="http://schemas.openxmlformats.org/officeDocument/2006/relationships/image" Target="../media/image6.tiff"/><Relationship Id="rId1" Type="http://schemas.openxmlformats.org/officeDocument/2006/relationships/image" Target="../media/image5.emf"/><Relationship Id="rId6" Type="http://schemas.openxmlformats.org/officeDocument/2006/relationships/image" Target="../media/image10.tiff"/><Relationship Id="rId5" Type="http://schemas.openxmlformats.org/officeDocument/2006/relationships/image" Target="../media/image9.tiff"/><Relationship Id="rId4" Type="http://schemas.openxmlformats.org/officeDocument/2006/relationships/image" Target="../media/image8.tiff"/><Relationship Id="rId9" Type="http://schemas.openxmlformats.org/officeDocument/2006/relationships/image" Target="../media/image13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image" Target="../media/image26.emf"/><Relationship Id="rId3" Type="http://schemas.openxmlformats.org/officeDocument/2006/relationships/image" Target="../media/image16.emf"/><Relationship Id="rId7" Type="http://schemas.openxmlformats.org/officeDocument/2006/relationships/image" Target="../media/image20.emf"/><Relationship Id="rId12" Type="http://schemas.openxmlformats.org/officeDocument/2006/relationships/image" Target="../media/image25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6" Type="http://schemas.openxmlformats.org/officeDocument/2006/relationships/image" Target="../media/image19.emf"/><Relationship Id="rId11" Type="http://schemas.openxmlformats.org/officeDocument/2006/relationships/image" Target="../media/image24.emf"/><Relationship Id="rId5" Type="http://schemas.openxmlformats.org/officeDocument/2006/relationships/image" Target="../media/image18.emf"/><Relationship Id="rId10" Type="http://schemas.openxmlformats.org/officeDocument/2006/relationships/image" Target="../media/image23.emf"/><Relationship Id="rId4" Type="http://schemas.openxmlformats.org/officeDocument/2006/relationships/image" Target="../media/image17.emf"/><Relationship Id="rId9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36</xdr:row>
      <xdr:rowOff>142875</xdr:rowOff>
    </xdr:from>
    <xdr:to>
      <xdr:col>8</xdr:col>
      <xdr:colOff>485775</xdr:colOff>
      <xdr:row>39</xdr:row>
      <xdr:rowOff>47625</xdr:rowOff>
    </xdr:to>
    <xdr:pic>
      <xdr:nvPicPr>
        <xdr:cNvPr id="21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8191500"/>
          <a:ext cx="26765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1152525</xdr:colOff>
      <xdr:row>4192</xdr:row>
      <xdr:rowOff>38100</xdr:rowOff>
    </xdr:from>
    <xdr:to>
      <xdr:col>8</xdr:col>
      <xdr:colOff>828907</xdr:colOff>
      <xdr:row>4207</xdr:row>
      <xdr:rowOff>123828</xdr:rowOff>
    </xdr:to>
    <xdr:pic>
      <xdr:nvPicPr>
        <xdr:cNvPr id="2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050" t="2350" r="39604" b="10443"/>
        <a:stretch>
          <a:fillRect/>
        </a:stretch>
      </xdr:blipFill>
      <xdr:spPr bwMode="auto">
        <a:xfrm>
          <a:off x="8296275" y="779164050"/>
          <a:ext cx="2047875" cy="30194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1152525</xdr:colOff>
      <xdr:row>4215</xdr:row>
      <xdr:rowOff>38100</xdr:rowOff>
    </xdr:from>
    <xdr:to>
      <xdr:col>8</xdr:col>
      <xdr:colOff>828907</xdr:colOff>
      <xdr:row>4230</xdr:row>
      <xdr:rowOff>123834</xdr:rowOff>
    </xdr:to>
    <xdr:pic>
      <xdr:nvPicPr>
        <xdr:cNvPr id="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050" t="2350" r="39604" b="10443"/>
        <a:stretch>
          <a:fillRect/>
        </a:stretch>
      </xdr:blipFill>
      <xdr:spPr bwMode="auto">
        <a:xfrm>
          <a:off x="8296275" y="783707475"/>
          <a:ext cx="2047875" cy="30194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1152525</xdr:colOff>
      <xdr:row>4169</xdr:row>
      <xdr:rowOff>38100</xdr:rowOff>
    </xdr:from>
    <xdr:to>
      <xdr:col>8</xdr:col>
      <xdr:colOff>819382</xdr:colOff>
      <xdr:row>4184</xdr:row>
      <xdr:rowOff>123818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050" t="2350" r="39604" b="10443"/>
        <a:stretch>
          <a:fillRect/>
        </a:stretch>
      </xdr:blipFill>
      <xdr:spPr bwMode="auto">
        <a:xfrm>
          <a:off x="8296275" y="774620625"/>
          <a:ext cx="2038350" cy="3019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1123950</xdr:colOff>
      <xdr:row>2085</xdr:row>
      <xdr:rowOff>152400</xdr:rowOff>
    </xdr:from>
    <xdr:to>
      <xdr:col>8</xdr:col>
      <xdr:colOff>790807</xdr:colOff>
      <xdr:row>2101</xdr:row>
      <xdr:rowOff>9524</xdr:rowOff>
    </xdr:to>
    <xdr:pic>
      <xdr:nvPicPr>
        <xdr:cNvPr id="5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050" t="2350" r="39604" b="10443"/>
        <a:stretch>
          <a:fillRect/>
        </a:stretch>
      </xdr:blipFill>
      <xdr:spPr bwMode="auto">
        <a:xfrm>
          <a:off x="8267700" y="382085850"/>
          <a:ext cx="2038350" cy="30194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1123950</xdr:colOff>
      <xdr:row>2085</xdr:row>
      <xdr:rowOff>152400</xdr:rowOff>
    </xdr:from>
    <xdr:to>
      <xdr:col>8</xdr:col>
      <xdr:colOff>790807</xdr:colOff>
      <xdr:row>2101</xdr:row>
      <xdr:rowOff>9524</xdr:rowOff>
    </xdr:to>
    <xdr:pic>
      <xdr:nvPicPr>
        <xdr:cNvPr id="6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5050" t="2350" r="39604" b="10443"/>
        <a:stretch>
          <a:fillRect/>
        </a:stretch>
      </xdr:blipFill>
      <xdr:spPr bwMode="auto">
        <a:xfrm>
          <a:off x="8267700" y="382085850"/>
          <a:ext cx="2038350" cy="301942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336859</xdr:colOff>
      <xdr:row>7041</xdr:row>
      <xdr:rowOff>0</xdr:rowOff>
    </xdr:from>
    <xdr:to>
      <xdr:col>9</xdr:col>
      <xdr:colOff>743414</xdr:colOff>
      <xdr:row>7056</xdr:row>
      <xdr:rowOff>1500</xdr:rowOff>
    </xdr:to>
    <xdr:pic>
      <xdr:nvPicPr>
        <xdr:cNvPr id="10" name="Imagem 9" descr="fig5.tif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11" t="47685" r="3535" b="3218"/>
        <a:stretch>
          <a:fillRect/>
        </a:stretch>
      </xdr:blipFill>
      <xdr:spPr>
        <a:xfrm>
          <a:off x="7492225" y="1322415585"/>
          <a:ext cx="3856463" cy="2852900"/>
        </a:xfrm>
        <a:prstGeom prst="rect">
          <a:avLst/>
        </a:prstGeom>
      </xdr:spPr>
    </xdr:pic>
    <xdr:clientData/>
  </xdr:twoCellAnchor>
  <xdr:twoCellAnchor editAs="oneCell">
    <xdr:from>
      <xdr:col>6</xdr:col>
      <xdr:colOff>336859</xdr:colOff>
      <xdr:row>7071</xdr:row>
      <xdr:rowOff>81311</xdr:rowOff>
    </xdr:from>
    <xdr:to>
      <xdr:col>9</xdr:col>
      <xdr:colOff>743414</xdr:colOff>
      <xdr:row>7086</xdr:row>
      <xdr:rowOff>222380</xdr:rowOff>
    </xdr:to>
    <xdr:pic>
      <xdr:nvPicPr>
        <xdr:cNvPr id="11" name="Imagem 10" descr="fig5.tif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11" t="47685" r="3535" b="3218"/>
        <a:stretch>
          <a:fillRect/>
        </a:stretch>
      </xdr:blipFill>
      <xdr:spPr>
        <a:xfrm>
          <a:off x="7492225" y="1327982470"/>
          <a:ext cx="3856463" cy="2963715"/>
        </a:xfrm>
        <a:prstGeom prst="rect">
          <a:avLst/>
        </a:prstGeom>
      </xdr:spPr>
    </xdr:pic>
    <xdr:clientData/>
  </xdr:twoCellAnchor>
  <xdr:twoCellAnchor editAs="oneCell">
    <xdr:from>
      <xdr:col>6</xdr:col>
      <xdr:colOff>348475</xdr:colOff>
      <xdr:row>7101</xdr:row>
      <xdr:rowOff>69695</xdr:rowOff>
    </xdr:from>
    <xdr:to>
      <xdr:col>9</xdr:col>
      <xdr:colOff>475222</xdr:colOff>
      <xdr:row>7121</xdr:row>
      <xdr:rowOff>151000</xdr:rowOff>
    </xdr:to>
    <xdr:pic>
      <xdr:nvPicPr>
        <xdr:cNvPr id="16" name="Imagem 15" descr="fig9.tif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2376"/>
        <a:stretch>
          <a:fillRect/>
        </a:stretch>
      </xdr:blipFill>
      <xdr:spPr>
        <a:xfrm>
          <a:off x="7503841" y="1333894939"/>
          <a:ext cx="3576655" cy="3926159"/>
        </a:xfrm>
        <a:prstGeom prst="rect">
          <a:avLst/>
        </a:prstGeom>
      </xdr:spPr>
    </xdr:pic>
    <xdr:clientData/>
  </xdr:twoCellAnchor>
  <xdr:twoCellAnchor editAs="oneCell">
    <xdr:from>
      <xdr:col>6</xdr:col>
      <xdr:colOff>453019</xdr:colOff>
      <xdr:row>7134</xdr:row>
      <xdr:rowOff>135730</xdr:rowOff>
    </xdr:from>
    <xdr:to>
      <xdr:col>9</xdr:col>
      <xdr:colOff>987349</xdr:colOff>
      <xdr:row>7151</xdr:row>
      <xdr:rowOff>151004</xdr:rowOff>
    </xdr:to>
    <xdr:pic>
      <xdr:nvPicPr>
        <xdr:cNvPr id="18" name="Imagem 17" descr="fig10.tif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41384"/>
        <a:stretch>
          <a:fillRect/>
        </a:stretch>
      </xdr:blipFill>
      <xdr:spPr>
        <a:xfrm>
          <a:off x="7608385" y="1340442620"/>
          <a:ext cx="3984238" cy="3302562"/>
        </a:xfrm>
        <a:prstGeom prst="rect">
          <a:avLst/>
        </a:prstGeom>
      </xdr:spPr>
    </xdr:pic>
    <xdr:clientData/>
  </xdr:twoCellAnchor>
  <xdr:twoCellAnchor editAs="oneCell">
    <xdr:from>
      <xdr:col>5</xdr:col>
      <xdr:colOff>499484</xdr:colOff>
      <xdr:row>7159</xdr:row>
      <xdr:rowOff>185854</xdr:rowOff>
    </xdr:from>
    <xdr:to>
      <xdr:col>9</xdr:col>
      <xdr:colOff>1168490</xdr:colOff>
      <xdr:row>7172</xdr:row>
      <xdr:rowOff>23230</xdr:rowOff>
    </xdr:to>
    <xdr:pic>
      <xdr:nvPicPr>
        <xdr:cNvPr id="23" name="Imagem 22" descr="fig13.tif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69790"/>
        <a:stretch>
          <a:fillRect/>
        </a:stretch>
      </xdr:blipFill>
      <xdr:spPr>
        <a:xfrm>
          <a:off x="6539728" y="1345348171"/>
          <a:ext cx="5329286" cy="2276708"/>
        </a:xfrm>
        <a:prstGeom prst="rect">
          <a:avLst/>
        </a:prstGeom>
      </xdr:spPr>
    </xdr:pic>
    <xdr:clientData/>
  </xdr:twoCellAnchor>
  <xdr:twoCellAnchor editAs="oneCell">
    <xdr:from>
      <xdr:col>6</xdr:col>
      <xdr:colOff>650486</xdr:colOff>
      <xdr:row>7187</xdr:row>
      <xdr:rowOff>58082</xdr:rowOff>
    </xdr:from>
    <xdr:to>
      <xdr:col>9</xdr:col>
      <xdr:colOff>232317</xdr:colOff>
      <xdr:row>7208</xdr:row>
      <xdr:rowOff>123572</xdr:rowOff>
    </xdr:to>
    <xdr:pic>
      <xdr:nvPicPr>
        <xdr:cNvPr id="27" name="Imagem 26" descr="fig14.tiff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0460" t="16382" r="6276" b="3841"/>
        <a:stretch>
          <a:fillRect/>
        </a:stretch>
      </xdr:blipFill>
      <xdr:spPr>
        <a:xfrm>
          <a:off x="7805852" y="1350749545"/>
          <a:ext cx="3031739" cy="4107808"/>
        </a:xfrm>
        <a:prstGeom prst="rect">
          <a:avLst/>
        </a:prstGeom>
      </xdr:spPr>
    </xdr:pic>
    <xdr:clientData/>
  </xdr:twoCellAnchor>
  <xdr:twoCellAnchor editAs="oneCell">
    <xdr:from>
      <xdr:col>5</xdr:col>
      <xdr:colOff>255546</xdr:colOff>
      <xdr:row>6903</xdr:row>
      <xdr:rowOff>34848</xdr:rowOff>
    </xdr:from>
    <xdr:to>
      <xdr:col>9</xdr:col>
      <xdr:colOff>1579476</xdr:colOff>
      <xdr:row>6915</xdr:row>
      <xdr:rowOff>139385</xdr:rowOff>
    </xdr:to>
    <xdr:pic>
      <xdr:nvPicPr>
        <xdr:cNvPr id="19" name="Imagem 18" descr="fig18.tiff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458" t="69409" r="4764" b="4739"/>
        <a:stretch>
          <a:fillRect/>
        </a:stretch>
      </xdr:blipFill>
      <xdr:spPr>
        <a:xfrm>
          <a:off x="6295790" y="1306307287"/>
          <a:ext cx="5984210" cy="2358016"/>
        </a:xfrm>
        <a:prstGeom prst="rect">
          <a:avLst/>
        </a:prstGeom>
      </xdr:spPr>
    </xdr:pic>
    <xdr:clientData/>
  </xdr:twoCellAnchor>
  <xdr:twoCellAnchor editAs="oneCell">
    <xdr:from>
      <xdr:col>6</xdr:col>
      <xdr:colOff>23233</xdr:colOff>
      <xdr:row>7258</xdr:row>
      <xdr:rowOff>27576</xdr:rowOff>
    </xdr:from>
    <xdr:to>
      <xdr:col>9</xdr:col>
      <xdr:colOff>586169</xdr:colOff>
      <xdr:row>7282</xdr:row>
      <xdr:rowOff>177718</xdr:rowOff>
    </xdr:to>
    <xdr:pic>
      <xdr:nvPicPr>
        <xdr:cNvPr id="21" name="Imagem 20" descr="fig19.tif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8907" b="6043"/>
        <a:stretch>
          <a:fillRect/>
        </a:stretch>
      </xdr:blipFill>
      <xdr:spPr>
        <a:xfrm>
          <a:off x="7166983" y="1482581920"/>
          <a:ext cx="4015749" cy="4924548"/>
        </a:xfrm>
        <a:prstGeom prst="rect">
          <a:avLst/>
        </a:prstGeom>
      </xdr:spPr>
    </xdr:pic>
    <xdr:clientData/>
  </xdr:twoCellAnchor>
  <xdr:twoCellAnchor editAs="oneCell">
    <xdr:from>
      <xdr:col>6</xdr:col>
      <xdr:colOff>11616</xdr:colOff>
      <xdr:row>7220</xdr:row>
      <xdr:rowOff>58079</xdr:rowOff>
    </xdr:from>
    <xdr:to>
      <xdr:col>9</xdr:col>
      <xdr:colOff>420229</xdr:colOff>
      <xdr:row>7241</xdr:row>
      <xdr:rowOff>197469</xdr:rowOff>
    </xdr:to>
    <xdr:pic>
      <xdr:nvPicPr>
        <xdr:cNvPr id="25" name="Imagem 24" descr="fig20.tiff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373" t="27916" r="5686" b="5825"/>
        <a:stretch>
          <a:fillRect/>
        </a:stretch>
      </xdr:blipFill>
      <xdr:spPr>
        <a:xfrm>
          <a:off x="7166982" y="1367941006"/>
          <a:ext cx="3858521" cy="4158476"/>
        </a:xfrm>
        <a:prstGeom prst="rect">
          <a:avLst/>
        </a:prstGeom>
      </xdr:spPr>
    </xdr:pic>
    <xdr:clientData/>
  </xdr:twoCellAnchor>
  <xdr:twoCellAnchor editAs="oneCell">
    <xdr:from>
      <xdr:col>6</xdr:col>
      <xdr:colOff>23232</xdr:colOff>
      <xdr:row>7291</xdr:row>
      <xdr:rowOff>87106</xdr:rowOff>
    </xdr:from>
    <xdr:to>
      <xdr:col>9</xdr:col>
      <xdr:colOff>586168</xdr:colOff>
      <xdr:row>7316</xdr:row>
      <xdr:rowOff>118185</xdr:rowOff>
    </xdr:to>
    <xdr:pic>
      <xdr:nvPicPr>
        <xdr:cNvPr id="17" name="Imagem 16" descr="fig19.tif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8907" b="6043"/>
        <a:stretch>
          <a:fillRect/>
        </a:stretch>
      </xdr:blipFill>
      <xdr:spPr>
        <a:xfrm>
          <a:off x="7166982" y="1480915044"/>
          <a:ext cx="4015749" cy="4924548"/>
        </a:xfrm>
        <a:prstGeom prst="rect">
          <a:avLst/>
        </a:prstGeom>
      </xdr:spPr>
    </xdr:pic>
    <xdr:clientData/>
  </xdr:twoCellAnchor>
  <xdr:twoCellAnchor editAs="oneCell">
    <xdr:from>
      <xdr:col>6</xdr:col>
      <xdr:colOff>23232</xdr:colOff>
      <xdr:row>7325</xdr:row>
      <xdr:rowOff>87106</xdr:rowOff>
    </xdr:from>
    <xdr:to>
      <xdr:col>9</xdr:col>
      <xdr:colOff>586168</xdr:colOff>
      <xdr:row>7350</xdr:row>
      <xdr:rowOff>201529</xdr:rowOff>
    </xdr:to>
    <xdr:pic>
      <xdr:nvPicPr>
        <xdr:cNvPr id="20" name="Imagem 19" descr="fig19.tif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8907" b="6043"/>
        <a:stretch>
          <a:fillRect/>
        </a:stretch>
      </xdr:blipFill>
      <xdr:spPr>
        <a:xfrm>
          <a:off x="7166982" y="1487761137"/>
          <a:ext cx="4015749" cy="5007892"/>
        </a:xfrm>
        <a:prstGeom prst="rect">
          <a:avLst/>
        </a:prstGeom>
      </xdr:spPr>
    </xdr:pic>
    <xdr:clientData/>
  </xdr:twoCellAnchor>
  <xdr:twoCellAnchor editAs="oneCell">
    <xdr:from>
      <xdr:col>6</xdr:col>
      <xdr:colOff>58950</xdr:colOff>
      <xdr:row>7360</xdr:row>
      <xdr:rowOff>50626</xdr:rowOff>
    </xdr:from>
    <xdr:to>
      <xdr:col>9</xdr:col>
      <xdr:colOff>345280</xdr:colOff>
      <xdr:row>7384</xdr:row>
      <xdr:rowOff>94372</xdr:rowOff>
    </xdr:to>
    <xdr:pic>
      <xdr:nvPicPr>
        <xdr:cNvPr id="22" name="Imagem 21" descr="fig19.tif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8907" b="6043"/>
        <a:stretch>
          <a:fillRect/>
        </a:stretch>
      </xdr:blipFill>
      <xdr:spPr>
        <a:xfrm>
          <a:off x="7488450" y="1502262189"/>
          <a:ext cx="3739143" cy="4818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.bin"/><Relationship Id="rId117" Type="http://schemas.openxmlformats.org/officeDocument/2006/relationships/oleObject" Target="../embeddings/oleObject114.bin"/><Relationship Id="rId21" Type="http://schemas.openxmlformats.org/officeDocument/2006/relationships/oleObject" Target="../embeddings/oleObject18.bin"/><Relationship Id="rId42" Type="http://schemas.openxmlformats.org/officeDocument/2006/relationships/oleObject" Target="../embeddings/oleObject39.bin"/><Relationship Id="rId47" Type="http://schemas.openxmlformats.org/officeDocument/2006/relationships/oleObject" Target="../embeddings/oleObject44.bin"/><Relationship Id="rId63" Type="http://schemas.openxmlformats.org/officeDocument/2006/relationships/oleObject" Target="../embeddings/oleObject60.bin"/><Relationship Id="rId68" Type="http://schemas.openxmlformats.org/officeDocument/2006/relationships/oleObject" Target="../embeddings/oleObject65.bin"/><Relationship Id="rId84" Type="http://schemas.openxmlformats.org/officeDocument/2006/relationships/oleObject" Target="../embeddings/oleObject81.bin"/><Relationship Id="rId89" Type="http://schemas.openxmlformats.org/officeDocument/2006/relationships/oleObject" Target="../embeddings/oleObject86.bin"/><Relationship Id="rId112" Type="http://schemas.openxmlformats.org/officeDocument/2006/relationships/oleObject" Target="../embeddings/oleObject109.bin"/><Relationship Id="rId133" Type="http://schemas.openxmlformats.org/officeDocument/2006/relationships/oleObject" Target="../embeddings/oleObject130.bin"/><Relationship Id="rId138" Type="http://schemas.openxmlformats.org/officeDocument/2006/relationships/oleObject" Target="../embeddings/oleObject135.bin"/><Relationship Id="rId154" Type="http://schemas.openxmlformats.org/officeDocument/2006/relationships/oleObject" Target="../embeddings/oleObject151.bin"/><Relationship Id="rId159" Type="http://schemas.openxmlformats.org/officeDocument/2006/relationships/oleObject" Target="../embeddings/oleObject156.bin"/><Relationship Id="rId175" Type="http://schemas.openxmlformats.org/officeDocument/2006/relationships/oleObject" Target="../embeddings/oleObject172.bin"/><Relationship Id="rId170" Type="http://schemas.openxmlformats.org/officeDocument/2006/relationships/oleObject" Target="../embeddings/oleObject167.bin"/><Relationship Id="rId16" Type="http://schemas.openxmlformats.org/officeDocument/2006/relationships/oleObject" Target="../embeddings/oleObject13.bin"/><Relationship Id="rId107" Type="http://schemas.openxmlformats.org/officeDocument/2006/relationships/oleObject" Target="../embeddings/oleObject104.bin"/><Relationship Id="rId11" Type="http://schemas.openxmlformats.org/officeDocument/2006/relationships/oleObject" Target="../embeddings/oleObject8.bin"/><Relationship Id="rId32" Type="http://schemas.openxmlformats.org/officeDocument/2006/relationships/oleObject" Target="../embeddings/oleObject29.bin"/><Relationship Id="rId37" Type="http://schemas.openxmlformats.org/officeDocument/2006/relationships/oleObject" Target="../embeddings/oleObject34.bin"/><Relationship Id="rId53" Type="http://schemas.openxmlformats.org/officeDocument/2006/relationships/oleObject" Target="../embeddings/oleObject50.bin"/><Relationship Id="rId58" Type="http://schemas.openxmlformats.org/officeDocument/2006/relationships/oleObject" Target="../embeddings/oleObject55.bin"/><Relationship Id="rId74" Type="http://schemas.openxmlformats.org/officeDocument/2006/relationships/oleObject" Target="../embeddings/oleObject71.bin"/><Relationship Id="rId79" Type="http://schemas.openxmlformats.org/officeDocument/2006/relationships/oleObject" Target="../embeddings/oleObject76.bin"/><Relationship Id="rId102" Type="http://schemas.openxmlformats.org/officeDocument/2006/relationships/oleObject" Target="../embeddings/oleObject99.bin"/><Relationship Id="rId123" Type="http://schemas.openxmlformats.org/officeDocument/2006/relationships/oleObject" Target="../embeddings/oleObject120.bin"/><Relationship Id="rId128" Type="http://schemas.openxmlformats.org/officeDocument/2006/relationships/oleObject" Target="../embeddings/oleObject125.bin"/><Relationship Id="rId144" Type="http://schemas.openxmlformats.org/officeDocument/2006/relationships/oleObject" Target="../embeddings/oleObject141.bin"/><Relationship Id="rId149" Type="http://schemas.openxmlformats.org/officeDocument/2006/relationships/oleObject" Target="../embeddings/oleObject146.bin"/><Relationship Id="rId5" Type="http://schemas.openxmlformats.org/officeDocument/2006/relationships/oleObject" Target="../embeddings/oleObject2.bin"/><Relationship Id="rId90" Type="http://schemas.openxmlformats.org/officeDocument/2006/relationships/oleObject" Target="../embeddings/oleObject87.bin"/><Relationship Id="rId95" Type="http://schemas.openxmlformats.org/officeDocument/2006/relationships/oleObject" Target="../embeddings/oleObject92.bin"/><Relationship Id="rId160" Type="http://schemas.openxmlformats.org/officeDocument/2006/relationships/oleObject" Target="../embeddings/oleObject157.bin"/><Relationship Id="rId165" Type="http://schemas.openxmlformats.org/officeDocument/2006/relationships/oleObject" Target="../embeddings/oleObject162.bin"/><Relationship Id="rId181" Type="http://schemas.openxmlformats.org/officeDocument/2006/relationships/oleObject" Target="../embeddings/oleObject178.bin"/><Relationship Id="rId186" Type="http://schemas.openxmlformats.org/officeDocument/2006/relationships/oleObject" Target="../embeddings/oleObject183.bin"/><Relationship Id="rId22" Type="http://schemas.openxmlformats.org/officeDocument/2006/relationships/oleObject" Target="../embeddings/oleObject19.bin"/><Relationship Id="rId27" Type="http://schemas.openxmlformats.org/officeDocument/2006/relationships/oleObject" Target="../embeddings/oleObject24.bin"/><Relationship Id="rId43" Type="http://schemas.openxmlformats.org/officeDocument/2006/relationships/oleObject" Target="../embeddings/oleObject40.bin"/><Relationship Id="rId48" Type="http://schemas.openxmlformats.org/officeDocument/2006/relationships/oleObject" Target="../embeddings/oleObject45.bin"/><Relationship Id="rId64" Type="http://schemas.openxmlformats.org/officeDocument/2006/relationships/oleObject" Target="../embeddings/oleObject61.bin"/><Relationship Id="rId69" Type="http://schemas.openxmlformats.org/officeDocument/2006/relationships/oleObject" Target="../embeddings/oleObject66.bin"/><Relationship Id="rId113" Type="http://schemas.openxmlformats.org/officeDocument/2006/relationships/oleObject" Target="../embeddings/oleObject110.bin"/><Relationship Id="rId118" Type="http://schemas.openxmlformats.org/officeDocument/2006/relationships/oleObject" Target="../embeddings/oleObject115.bin"/><Relationship Id="rId134" Type="http://schemas.openxmlformats.org/officeDocument/2006/relationships/oleObject" Target="../embeddings/oleObject131.bin"/><Relationship Id="rId139" Type="http://schemas.openxmlformats.org/officeDocument/2006/relationships/oleObject" Target="../embeddings/oleObject136.bin"/><Relationship Id="rId80" Type="http://schemas.openxmlformats.org/officeDocument/2006/relationships/oleObject" Target="../embeddings/oleObject77.bin"/><Relationship Id="rId85" Type="http://schemas.openxmlformats.org/officeDocument/2006/relationships/oleObject" Target="../embeddings/oleObject82.bin"/><Relationship Id="rId150" Type="http://schemas.openxmlformats.org/officeDocument/2006/relationships/oleObject" Target="../embeddings/oleObject147.bin"/><Relationship Id="rId155" Type="http://schemas.openxmlformats.org/officeDocument/2006/relationships/oleObject" Target="../embeddings/oleObject152.bin"/><Relationship Id="rId171" Type="http://schemas.openxmlformats.org/officeDocument/2006/relationships/oleObject" Target="../embeddings/oleObject168.bin"/><Relationship Id="rId176" Type="http://schemas.openxmlformats.org/officeDocument/2006/relationships/oleObject" Target="../embeddings/oleObject173.bin"/><Relationship Id="rId12" Type="http://schemas.openxmlformats.org/officeDocument/2006/relationships/oleObject" Target="../embeddings/oleObject9.bin"/><Relationship Id="rId17" Type="http://schemas.openxmlformats.org/officeDocument/2006/relationships/oleObject" Target="../embeddings/oleObject14.bin"/><Relationship Id="rId33" Type="http://schemas.openxmlformats.org/officeDocument/2006/relationships/oleObject" Target="../embeddings/oleObject30.bin"/><Relationship Id="rId38" Type="http://schemas.openxmlformats.org/officeDocument/2006/relationships/oleObject" Target="../embeddings/oleObject35.bin"/><Relationship Id="rId59" Type="http://schemas.openxmlformats.org/officeDocument/2006/relationships/oleObject" Target="../embeddings/oleObject56.bin"/><Relationship Id="rId103" Type="http://schemas.openxmlformats.org/officeDocument/2006/relationships/oleObject" Target="../embeddings/oleObject100.bin"/><Relationship Id="rId108" Type="http://schemas.openxmlformats.org/officeDocument/2006/relationships/oleObject" Target="../embeddings/oleObject105.bin"/><Relationship Id="rId124" Type="http://schemas.openxmlformats.org/officeDocument/2006/relationships/oleObject" Target="../embeddings/oleObject121.bin"/><Relationship Id="rId129" Type="http://schemas.openxmlformats.org/officeDocument/2006/relationships/oleObject" Target="../embeddings/oleObject126.bin"/><Relationship Id="rId54" Type="http://schemas.openxmlformats.org/officeDocument/2006/relationships/oleObject" Target="../embeddings/oleObject51.bin"/><Relationship Id="rId70" Type="http://schemas.openxmlformats.org/officeDocument/2006/relationships/oleObject" Target="../embeddings/oleObject67.bin"/><Relationship Id="rId75" Type="http://schemas.openxmlformats.org/officeDocument/2006/relationships/oleObject" Target="../embeddings/oleObject72.bin"/><Relationship Id="rId91" Type="http://schemas.openxmlformats.org/officeDocument/2006/relationships/oleObject" Target="../embeddings/oleObject88.bin"/><Relationship Id="rId96" Type="http://schemas.openxmlformats.org/officeDocument/2006/relationships/oleObject" Target="../embeddings/oleObject93.bin"/><Relationship Id="rId140" Type="http://schemas.openxmlformats.org/officeDocument/2006/relationships/oleObject" Target="../embeddings/oleObject137.bin"/><Relationship Id="rId145" Type="http://schemas.openxmlformats.org/officeDocument/2006/relationships/oleObject" Target="../embeddings/oleObject142.bin"/><Relationship Id="rId161" Type="http://schemas.openxmlformats.org/officeDocument/2006/relationships/oleObject" Target="../embeddings/oleObject158.bin"/><Relationship Id="rId166" Type="http://schemas.openxmlformats.org/officeDocument/2006/relationships/oleObject" Target="../embeddings/oleObject163.bin"/><Relationship Id="rId182" Type="http://schemas.openxmlformats.org/officeDocument/2006/relationships/oleObject" Target="../embeddings/oleObject179.bin"/><Relationship Id="rId187" Type="http://schemas.openxmlformats.org/officeDocument/2006/relationships/oleObject" Target="../embeddings/oleObject184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3.bin"/><Relationship Id="rId23" Type="http://schemas.openxmlformats.org/officeDocument/2006/relationships/oleObject" Target="../embeddings/oleObject20.bin"/><Relationship Id="rId28" Type="http://schemas.openxmlformats.org/officeDocument/2006/relationships/oleObject" Target="../embeddings/oleObject25.bin"/><Relationship Id="rId49" Type="http://schemas.openxmlformats.org/officeDocument/2006/relationships/oleObject" Target="../embeddings/oleObject46.bin"/><Relationship Id="rId114" Type="http://schemas.openxmlformats.org/officeDocument/2006/relationships/oleObject" Target="../embeddings/oleObject111.bin"/><Relationship Id="rId119" Type="http://schemas.openxmlformats.org/officeDocument/2006/relationships/oleObject" Target="../embeddings/oleObject116.bin"/><Relationship Id="rId44" Type="http://schemas.openxmlformats.org/officeDocument/2006/relationships/oleObject" Target="../embeddings/oleObject41.bin"/><Relationship Id="rId60" Type="http://schemas.openxmlformats.org/officeDocument/2006/relationships/oleObject" Target="../embeddings/oleObject57.bin"/><Relationship Id="rId65" Type="http://schemas.openxmlformats.org/officeDocument/2006/relationships/oleObject" Target="../embeddings/oleObject62.bin"/><Relationship Id="rId81" Type="http://schemas.openxmlformats.org/officeDocument/2006/relationships/oleObject" Target="../embeddings/oleObject78.bin"/><Relationship Id="rId86" Type="http://schemas.openxmlformats.org/officeDocument/2006/relationships/oleObject" Target="../embeddings/oleObject83.bin"/><Relationship Id="rId130" Type="http://schemas.openxmlformats.org/officeDocument/2006/relationships/oleObject" Target="../embeddings/oleObject127.bin"/><Relationship Id="rId135" Type="http://schemas.openxmlformats.org/officeDocument/2006/relationships/oleObject" Target="../embeddings/oleObject132.bin"/><Relationship Id="rId151" Type="http://schemas.openxmlformats.org/officeDocument/2006/relationships/oleObject" Target="../embeddings/oleObject148.bin"/><Relationship Id="rId156" Type="http://schemas.openxmlformats.org/officeDocument/2006/relationships/oleObject" Target="../embeddings/oleObject153.bin"/><Relationship Id="rId177" Type="http://schemas.openxmlformats.org/officeDocument/2006/relationships/oleObject" Target="../embeddings/oleObject174.bin"/><Relationship Id="rId172" Type="http://schemas.openxmlformats.org/officeDocument/2006/relationships/oleObject" Target="../embeddings/oleObject169.bin"/><Relationship Id="rId13" Type="http://schemas.openxmlformats.org/officeDocument/2006/relationships/oleObject" Target="../embeddings/oleObject10.bin"/><Relationship Id="rId18" Type="http://schemas.openxmlformats.org/officeDocument/2006/relationships/oleObject" Target="../embeddings/oleObject15.bin"/><Relationship Id="rId39" Type="http://schemas.openxmlformats.org/officeDocument/2006/relationships/oleObject" Target="../embeddings/oleObject36.bin"/><Relationship Id="rId109" Type="http://schemas.openxmlformats.org/officeDocument/2006/relationships/oleObject" Target="../embeddings/oleObject106.bin"/><Relationship Id="rId34" Type="http://schemas.openxmlformats.org/officeDocument/2006/relationships/oleObject" Target="../embeddings/oleObject31.bin"/><Relationship Id="rId50" Type="http://schemas.openxmlformats.org/officeDocument/2006/relationships/oleObject" Target="../embeddings/oleObject47.bin"/><Relationship Id="rId55" Type="http://schemas.openxmlformats.org/officeDocument/2006/relationships/oleObject" Target="../embeddings/oleObject52.bin"/><Relationship Id="rId76" Type="http://schemas.openxmlformats.org/officeDocument/2006/relationships/oleObject" Target="../embeddings/oleObject73.bin"/><Relationship Id="rId97" Type="http://schemas.openxmlformats.org/officeDocument/2006/relationships/oleObject" Target="../embeddings/oleObject94.bin"/><Relationship Id="rId104" Type="http://schemas.openxmlformats.org/officeDocument/2006/relationships/oleObject" Target="../embeddings/oleObject101.bin"/><Relationship Id="rId120" Type="http://schemas.openxmlformats.org/officeDocument/2006/relationships/oleObject" Target="../embeddings/oleObject117.bin"/><Relationship Id="rId125" Type="http://schemas.openxmlformats.org/officeDocument/2006/relationships/oleObject" Target="../embeddings/oleObject122.bin"/><Relationship Id="rId141" Type="http://schemas.openxmlformats.org/officeDocument/2006/relationships/oleObject" Target="../embeddings/oleObject138.bin"/><Relationship Id="rId146" Type="http://schemas.openxmlformats.org/officeDocument/2006/relationships/oleObject" Target="../embeddings/oleObject143.bin"/><Relationship Id="rId167" Type="http://schemas.openxmlformats.org/officeDocument/2006/relationships/oleObject" Target="../embeddings/oleObject164.bin"/><Relationship Id="rId188" Type="http://schemas.openxmlformats.org/officeDocument/2006/relationships/oleObject" Target="../embeddings/oleObject185.bin"/><Relationship Id="rId7" Type="http://schemas.openxmlformats.org/officeDocument/2006/relationships/oleObject" Target="../embeddings/oleObject4.bin"/><Relationship Id="rId71" Type="http://schemas.openxmlformats.org/officeDocument/2006/relationships/oleObject" Target="../embeddings/oleObject68.bin"/><Relationship Id="rId92" Type="http://schemas.openxmlformats.org/officeDocument/2006/relationships/oleObject" Target="../embeddings/oleObject89.bin"/><Relationship Id="rId162" Type="http://schemas.openxmlformats.org/officeDocument/2006/relationships/oleObject" Target="../embeddings/oleObject159.bin"/><Relationship Id="rId183" Type="http://schemas.openxmlformats.org/officeDocument/2006/relationships/oleObject" Target="../embeddings/oleObject180.bin"/><Relationship Id="rId2" Type="http://schemas.openxmlformats.org/officeDocument/2006/relationships/drawing" Target="../drawings/drawing2.xml"/><Relationship Id="rId29" Type="http://schemas.openxmlformats.org/officeDocument/2006/relationships/oleObject" Target="../embeddings/oleObject26.bin"/><Relationship Id="rId24" Type="http://schemas.openxmlformats.org/officeDocument/2006/relationships/oleObject" Target="../embeddings/oleObject21.bin"/><Relationship Id="rId40" Type="http://schemas.openxmlformats.org/officeDocument/2006/relationships/oleObject" Target="../embeddings/oleObject37.bin"/><Relationship Id="rId45" Type="http://schemas.openxmlformats.org/officeDocument/2006/relationships/oleObject" Target="../embeddings/oleObject42.bin"/><Relationship Id="rId66" Type="http://schemas.openxmlformats.org/officeDocument/2006/relationships/oleObject" Target="../embeddings/oleObject63.bin"/><Relationship Id="rId87" Type="http://schemas.openxmlformats.org/officeDocument/2006/relationships/oleObject" Target="../embeddings/oleObject84.bin"/><Relationship Id="rId110" Type="http://schemas.openxmlformats.org/officeDocument/2006/relationships/oleObject" Target="../embeddings/oleObject107.bin"/><Relationship Id="rId115" Type="http://schemas.openxmlformats.org/officeDocument/2006/relationships/oleObject" Target="../embeddings/oleObject112.bin"/><Relationship Id="rId131" Type="http://schemas.openxmlformats.org/officeDocument/2006/relationships/oleObject" Target="../embeddings/oleObject128.bin"/><Relationship Id="rId136" Type="http://schemas.openxmlformats.org/officeDocument/2006/relationships/oleObject" Target="../embeddings/oleObject133.bin"/><Relationship Id="rId157" Type="http://schemas.openxmlformats.org/officeDocument/2006/relationships/oleObject" Target="../embeddings/oleObject154.bin"/><Relationship Id="rId178" Type="http://schemas.openxmlformats.org/officeDocument/2006/relationships/oleObject" Target="../embeddings/oleObject175.bin"/><Relationship Id="rId61" Type="http://schemas.openxmlformats.org/officeDocument/2006/relationships/oleObject" Target="../embeddings/oleObject58.bin"/><Relationship Id="rId82" Type="http://schemas.openxmlformats.org/officeDocument/2006/relationships/oleObject" Target="../embeddings/oleObject79.bin"/><Relationship Id="rId152" Type="http://schemas.openxmlformats.org/officeDocument/2006/relationships/oleObject" Target="../embeddings/oleObject149.bin"/><Relationship Id="rId173" Type="http://schemas.openxmlformats.org/officeDocument/2006/relationships/oleObject" Target="../embeddings/oleObject170.bin"/><Relationship Id="rId19" Type="http://schemas.openxmlformats.org/officeDocument/2006/relationships/oleObject" Target="../embeddings/oleObject16.bin"/><Relationship Id="rId14" Type="http://schemas.openxmlformats.org/officeDocument/2006/relationships/oleObject" Target="../embeddings/oleObject11.bin"/><Relationship Id="rId30" Type="http://schemas.openxmlformats.org/officeDocument/2006/relationships/oleObject" Target="../embeddings/oleObject27.bin"/><Relationship Id="rId35" Type="http://schemas.openxmlformats.org/officeDocument/2006/relationships/oleObject" Target="../embeddings/oleObject32.bin"/><Relationship Id="rId56" Type="http://schemas.openxmlformats.org/officeDocument/2006/relationships/oleObject" Target="../embeddings/oleObject53.bin"/><Relationship Id="rId77" Type="http://schemas.openxmlformats.org/officeDocument/2006/relationships/oleObject" Target="../embeddings/oleObject74.bin"/><Relationship Id="rId100" Type="http://schemas.openxmlformats.org/officeDocument/2006/relationships/oleObject" Target="../embeddings/oleObject97.bin"/><Relationship Id="rId105" Type="http://schemas.openxmlformats.org/officeDocument/2006/relationships/oleObject" Target="../embeddings/oleObject102.bin"/><Relationship Id="rId126" Type="http://schemas.openxmlformats.org/officeDocument/2006/relationships/oleObject" Target="../embeddings/oleObject123.bin"/><Relationship Id="rId147" Type="http://schemas.openxmlformats.org/officeDocument/2006/relationships/oleObject" Target="../embeddings/oleObject144.bin"/><Relationship Id="rId168" Type="http://schemas.openxmlformats.org/officeDocument/2006/relationships/oleObject" Target="../embeddings/oleObject165.bin"/><Relationship Id="rId8" Type="http://schemas.openxmlformats.org/officeDocument/2006/relationships/oleObject" Target="../embeddings/oleObject5.bin"/><Relationship Id="rId51" Type="http://schemas.openxmlformats.org/officeDocument/2006/relationships/oleObject" Target="../embeddings/oleObject48.bin"/><Relationship Id="rId72" Type="http://schemas.openxmlformats.org/officeDocument/2006/relationships/oleObject" Target="../embeddings/oleObject69.bin"/><Relationship Id="rId93" Type="http://schemas.openxmlformats.org/officeDocument/2006/relationships/oleObject" Target="../embeddings/oleObject90.bin"/><Relationship Id="rId98" Type="http://schemas.openxmlformats.org/officeDocument/2006/relationships/oleObject" Target="../embeddings/oleObject95.bin"/><Relationship Id="rId121" Type="http://schemas.openxmlformats.org/officeDocument/2006/relationships/oleObject" Target="../embeddings/oleObject118.bin"/><Relationship Id="rId142" Type="http://schemas.openxmlformats.org/officeDocument/2006/relationships/oleObject" Target="../embeddings/oleObject139.bin"/><Relationship Id="rId163" Type="http://schemas.openxmlformats.org/officeDocument/2006/relationships/oleObject" Target="../embeddings/oleObject160.bin"/><Relationship Id="rId184" Type="http://schemas.openxmlformats.org/officeDocument/2006/relationships/oleObject" Target="../embeddings/oleObject181.bin"/><Relationship Id="rId189" Type="http://schemas.openxmlformats.org/officeDocument/2006/relationships/oleObject" Target="../embeddings/oleObject186.bin"/><Relationship Id="rId3" Type="http://schemas.openxmlformats.org/officeDocument/2006/relationships/vmlDrawing" Target="../drawings/vmlDrawing4.vml"/><Relationship Id="rId25" Type="http://schemas.openxmlformats.org/officeDocument/2006/relationships/oleObject" Target="../embeddings/oleObject22.bin"/><Relationship Id="rId46" Type="http://schemas.openxmlformats.org/officeDocument/2006/relationships/oleObject" Target="../embeddings/oleObject43.bin"/><Relationship Id="rId67" Type="http://schemas.openxmlformats.org/officeDocument/2006/relationships/oleObject" Target="../embeddings/oleObject64.bin"/><Relationship Id="rId116" Type="http://schemas.openxmlformats.org/officeDocument/2006/relationships/oleObject" Target="../embeddings/oleObject113.bin"/><Relationship Id="rId137" Type="http://schemas.openxmlformats.org/officeDocument/2006/relationships/oleObject" Target="../embeddings/oleObject134.bin"/><Relationship Id="rId158" Type="http://schemas.openxmlformats.org/officeDocument/2006/relationships/oleObject" Target="../embeddings/oleObject155.bin"/><Relationship Id="rId20" Type="http://schemas.openxmlformats.org/officeDocument/2006/relationships/oleObject" Target="../embeddings/oleObject17.bin"/><Relationship Id="rId41" Type="http://schemas.openxmlformats.org/officeDocument/2006/relationships/oleObject" Target="../embeddings/oleObject38.bin"/><Relationship Id="rId62" Type="http://schemas.openxmlformats.org/officeDocument/2006/relationships/oleObject" Target="../embeddings/oleObject59.bin"/><Relationship Id="rId83" Type="http://schemas.openxmlformats.org/officeDocument/2006/relationships/oleObject" Target="../embeddings/oleObject80.bin"/><Relationship Id="rId88" Type="http://schemas.openxmlformats.org/officeDocument/2006/relationships/oleObject" Target="../embeddings/oleObject85.bin"/><Relationship Id="rId111" Type="http://schemas.openxmlformats.org/officeDocument/2006/relationships/oleObject" Target="../embeddings/oleObject108.bin"/><Relationship Id="rId132" Type="http://schemas.openxmlformats.org/officeDocument/2006/relationships/oleObject" Target="../embeddings/oleObject129.bin"/><Relationship Id="rId153" Type="http://schemas.openxmlformats.org/officeDocument/2006/relationships/oleObject" Target="../embeddings/oleObject150.bin"/><Relationship Id="rId174" Type="http://schemas.openxmlformats.org/officeDocument/2006/relationships/oleObject" Target="../embeddings/oleObject171.bin"/><Relationship Id="rId179" Type="http://schemas.openxmlformats.org/officeDocument/2006/relationships/oleObject" Target="../embeddings/oleObject176.bin"/><Relationship Id="rId15" Type="http://schemas.openxmlformats.org/officeDocument/2006/relationships/oleObject" Target="../embeddings/oleObject12.bin"/><Relationship Id="rId36" Type="http://schemas.openxmlformats.org/officeDocument/2006/relationships/oleObject" Target="../embeddings/oleObject33.bin"/><Relationship Id="rId57" Type="http://schemas.openxmlformats.org/officeDocument/2006/relationships/oleObject" Target="../embeddings/oleObject54.bin"/><Relationship Id="rId106" Type="http://schemas.openxmlformats.org/officeDocument/2006/relationships/oleObject" Target="../embeddings/oleObject103.bin"/><Relationship Id="rId127" Type="http://schemas.openxmlformats.org/officeDocument/2006/relationships/oleObject" Target="../embeddings/oleObject124.bin"/><Relationship Id="rId10" Type="http://schemas.openxmlformats.org/officeDocument/2006/relationships/oleObject" Target="../embeddings/oleObject7.bin"/><Relationship Id="rId31" Type="http://schemas.openxmlformats.org/officeDocument/2006/relationships/oleObject" Target="../embeddings/oleObject28.bin"/><Relationship Id="rId52" Type="http://schemas.openxmlformats.org/officeDocument/2006/relationships/oleObject" Target="../embeddings/oleObject49.bin"/><Relationship Id="rId73" Type="http://schemas.openxmlformats.org/officeDocument/2006/relationships/oleObject" Target="../embeddings/oleObject70.bin"/><Relationship Id="rId78" Type="http://schemas.openxmlformats.org/officeDocument/2006/relationships/oleObject" Target="../embeddings/oleObject75.bin"/><Relationship Id="rId94" Type="http://schemas.openxmlformats.org/officeDocument/2006/relationships/oleObject" Target="../embeddings/oleObject91.bin"/><Relationship Id="rId99" Type="http://schemas.openxmlformats.org/officeDocument/2006/relationships/oleObject" Target="../embeddings/oleObject96.bin"/><Relationship Id="rId101" Type="http://schemas.openxmlformats.org/officeDocument/2006/relationships/oleObject" Target="../embeddings/oleObject98.bin"/><Relationship Id="rId122" Type="http://schemas.openxmlformats.org/officeDocument/2006/relationships/oleObject" Target="../embeddings/oleObject119.bin"/><Relationship Id="rId143" Type="http://schemas.openxmlformats.org/officeDocument/2006/relationships/oleObject" Target="../embeddings/oleObject140.bin"/><Relationship Id="rId148" Type="http://schemas.openxmlformats.org/officeDocument/2006/relationships/oleObject" Target="../embeddings/oleObject145.bin"/><Relationship Id="rId164" Type="http://schemas.openxmlformats.org/officeDocument/2006/relationships/oleObject" Target="../embeddings/oleObject161.bin"/><Relationship Id="rId169" Type="http://schemas.openxmlformats.org/officeDocument/2006/relationships/oleObject" Target="../embeddings/oleObject166.bin"/><Relationship Id="rId185" Type="http://schemas.openxmlformats.org/officeDocument/2006/relationships/oleObject" Target="../embeddings/oleObject182.bin"/><Relationship Id="rId4" Type="http://schemas.openxmlformats.org/officeDocument/2006/relationships/vmlDrawing" Target="../drawings/vmlDrawing5.vml"/><Relationship Id="rId9" Type="http://schemas.openxmlformats.org/officeDocument/2006/relationships/oleObject" Target="../embeddings/oleObject6.bin"/><Relationship Id="rId180" Type="http://schemas.openxmlformats.org/officeDocument/2006/relationships/oleObject" Target="../embeddings/oleObject17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7"/>
  <sheetViews>
    <sheetView showGridLines="0" view="pageBreakPreview" zoomScale="80" zoomScaleNormal="40" zoomScaleSheetLayoutView="80" workbookViewId="0">
      <selection activeCell="Q56" sqref="Q56"/>
    </sheetView>
  </sheetViews>
  <sheetFormatPr defaultRowHeight="12.75"/>
  <cols>
    <col min="1" max="1" width="10.7109375" customWidth="1"/>
    <col min="2" max="2" width="0.7109375" customWidth="1"/>
    <col min="3" max="3" width="9.42578125" customWidth="1"/>
    <col min="4" max="4" width="0.7109375" customWidth="1"/>
    <col min="5" max="5" width="8.5703125" customWidth="1"/>
    <col min="6" max="6" width="3.140625" customWidth="1"/>
    <col min="7" max="7" width="11" customWidth="1"/>
    <col min="8" max="8" width="0.7109375" customWidth="1"/>
    <col min="9" max="9" width="9.5703125" customWidth="1"/>
    <col min="10" max="10" width="0.7109375" customWidth="1"/>
    <col min="11" max="11" width="13.7109375" customWidth="1"/>
    <col min="12" max="12" width="0.7109375" customWidth="1"/>
    <col min="13" max="13" width="11.7109375" customWidth="1"/>
    <col min="14" max="14" width="0.7109375" customWidth="1"/>
    <col min="15" max="15" width="21.28515625" customWidth="1"/>
    <col min="16" max="16" width="0.7109375" customWidth="1"/>
    <col min="17" max="17" width="11.42578125" customWidth="1"/>
    <col min="18" max="18" width="3.42578125" customWidth="1"/>
  </cols>
  <sheetData>
    <row r="1" spans="1:18" ht="20.100000000000001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8" ht="20.100000000000001" customHeight="1" thickBot="1">
      <c r="A2" s="5"/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  <c r="R2" s="5"/>
    </row>
    <row r="3" spans="1:18" ht="20.100000000000001" customHeight="1" thickTop="1">
      <c r="A3" s="5"/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5"/>
    </row>
    <row r="4" spans="1:18" ht="20.100000000000001" customHeight="1">
      <c r="A4" s="5"/>
      <c r="B4" s="1148"/>
      <c r="C4" s="1148"/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5"/>
    </row>
    <row r="5" spans="1:18" ht="20.100000000000001" customHeight="1">
      <c r="A5" s="5"/>
      <c r="B5" s="5"/>
      <c r="C5" s="1124"/>
      <c r="D5" s="1124"/>
      <c r="E5" s="1124"/>
      <c r="F5" s="1124"/>
      <c r="G5" s="1124"/>
      <c r="H5" s="1124"/>
      <c r="I5" s="1124"/>
      <c r="J5" s="1124"/>
      <c r="K5" s="1124"/>
      <c r="L5" s="1124"/>
      <c r="M5" s="1124"/>
      <c r="N5" s="1124"/>
      <c r="O5" s="1124"/>
      <c r="P5" s="1124"/>
      <c r="Q5" s="1124"/>
      <c r="R5" s="5"/>
    </row>
    <row r="6" spans="1:18" ht="20.100000000000001" customHeight="1">
      <c r="A6" s="5"/>
      <c r="B6" s="5"/>
      <c r="C6" s="1124"/>
      <c r="D6" s="1124"/>
      <c r="E6" s="1124"/>
      <c r="F6" s="1124"/>
      <c r="G6" s="1124"/>
      <c r="H6" s="1124"/>
      <c r="I6" s="1124"/>
      <c r="J6" s="1124"/>
      <c r="K6" s="1124"/>
      <c r="L6" s="1124"/>
      <c r="M6" s="1124"/>
      <c r="N6" s="1124"/>
      <c r="O6" s="1124"/>
      <c r="P6" s="1124"/>
      <c r="Q6" s="1124"/>
      <c r="R6" s="5"/>
    </row>
    <row r="7" spans="1:18" ht="20.100000000000001" customHeight="1">
      <c r="A7" s="5"/>
      <c r="B7" s="5"/>
      <c r="C7" s="1124"/>
      <c r="D7" s="1124"/>
      <c r="E7" s="1124"/>
      <c r="F7" s="1124"/>
      <c r="G7" s="1124"/>
      <c r="H7" s="1124"/>
      <c r="I7" s="1124"/>
      <c r="J7" s="1124"/>
      <c r="K7" s="1124"/>
      <c r="L7" s="1124"/>
      <c r="M7" s="1124"/>
      <c r="N7" s="1124"/>
      <c r="O7" s="1124"/>
      <c r="P7" s="1124"/>
      <c r="Q7" s="1124"/>
      <c r="R7" s="5"/>
    </row>
    <row r="8" spans="1:18" ht="20.100000000000001" customHeight="1">
      <c r="A8" s="5"/>
      <c r="B8" s="5"/>
      <c r="C8" s="1124"/>
      <c r="D8" s="1124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  <c r="P8" s="1124"/>
      <c r="Q8" s="1124"/>
      <c r="R8" s="5"/>
    </row>
    <row r="9" spans="1:18" ht="20.100000000000001" customHeight="1">
      <c r="A9" s="5"/>
      <c r="B9" s="5"/>
      <c r="C9" s="1124"/>
      <c r="D9" s="1124"/>
      <c r="E9" s="1124"/>
      <c r="F9" s="1124"/>
      <c r="G9" s="1124"/>
      <c r="H9" s="1124"/>
      <c r="I9" s="1124"/>
      <c r="J9" s="1124"/>
      <c r="K9" s="1124"/>
      <c r="L9" s="1124"/>
      <c r="M9" s="1124"/>
      <c r="N9" s="1124"/>
      <c r="O9" s="1124"/>
      <c r="P9" s="1124"/>
      <c r="Q9" s="1124"/>
      <c r="R9" s="5"/>
    </row>
    <row r="10" spans="1:18" ht="20.100000000000001" customHeight="1">
      <c r="A10" s="5"/>
      <c r="B10" s="5"/>
      <c r="C10" s="1124"/>
      <c r="D10" s="1124"/>
      <c r="E10" s="1124"/>
      <c r="F10" s="1124"/>
      <c r="G10" s="1124"/>
      <c r="H10" s="1124"/>
      <c r="I10" s="1124"/>
      <c r="J10" s="1124"/>
      <c r="K10" s="1124"/>
      <c r="L10" s="1124"/>
      <c r="M10" s="1124"/>
      <c r="N10" s="1124"/>
      <c r="O10" s="1124"/>
      <c r="P10" s="1124"/>
      <c r="Q10" s="1124"/>
      <c r="R10" s="5"/>
    </row>
    <row r="11" spans="1:18" ht="20.100000000000001" customHeight="1">
      <c r="A11" s="5"/>
      <c r="B11" s="5"/>
      <c r="C11" s="1124"/>
      <c r="D11" s="1124"/>
      <c r="E11" s="1124"/>
      <c r="F11" s="1124"/>
      <c r="G11" s="1124"/>
      <c r="H11" s="1124"/>
      <c r="I11" s="1124"/>
      <c r="J11" s="1124"/>
      <c r="K11" s="1124"/>
      <c r="L11" s="1124"/>
      <c r="M11" s="1124"/>
      <c r="N11" s="1124"/>
      <c r="O11" s="1124"/>
      <c r="P11" s="1124"/>
      <c r="Q11" s="1124"/>
      <c r="R11" s="5"/>
    </row>
    <row r="12" spans="1:18" ht="20.100000000000001" customHeight="1">
      <c r="A12" s="5"/>
      <c r="B12" s="5"/>
      <c r="C12" s="1124"/>
      <c r="D12" s="1124"/>
      <c r="E12" s="1124"/>
      <c r="F12" s="1124"/>
      <c r="G12" s="1124"/>
      <c r="H12" s="1124"/>
      <c r="I12" s="1124"/>
      <c r="J12" s="1124"/>
      <c r="K12" s="1124"/>
      <c r="L12" s="1124"/>
      <c r="M12" s="1124"/>
      <c r="N12" s="1124"/>
      <c r="O12" s="1124"/>
      <c r="P12" s="1124"/>
      <c r="Q12" s="1124"/>
      <c r="R12" s="5"/>
    </row>
    <row r="13" spans="1:18" ht="20.100000000000001" customHeight="1">
      <c r="A13" s="5"/>
      <c r="B13" s="5"/>
      <c r="C13" s="1124"/>
      <c r="D13" s="1124"/>
      <c r="E13" s="1124"/>
      <c r="F13" s="1124"/>
      <c r="G13" s="1124"/>
      <c r="H13" s="1124"/>
      <c r="I13" s="1124"/>
      <c r="J13" s="1124"/>
      <c r="K13" s="1124"/>
      <c r="L13" s="1124"/>
      <c r="M13" s="1124"/>
      <c r="N13" s="1124"/>
      <c r="O13" s="1124"/>
      <c r="P13" s="1124"/>
      <c r="Q13" s="1124"/>
      <c r="R13" s="5"/>
    </row>
    <row r="14" spans="1:18" ht="20.100000000000001" customHeight="1">
      <c r="A14" s="5"/>
      <c r="B14" s="5"/>
      <c r="C14" s="1142"/>
      <c r="D14" s="1142"/>
      <c r="E14" s="1142"/>
      <c r="F14" s="1142"/>
      <c r="G14" s="1142"/>
      <c r="H14" s="1142"/>
      <c r="I14" s="1142"/>
      <c r="J14" s="1142"/>
      <c r="K14" s="1142"/>
      <c r="L14" s="1142"/>
      <c r="M14" s="1142"/>
      <c r="N14" s="1142"/>
      <c r="O14" s="1142"/>
      <c r="P14" s="1142"/>
      <c r="Q14" s="1142"/>
      <c r="R14" s="5"/>
    </row>
    <row r="15" spans="1:18" ht="20.100000000000001" customHeight="1">
      <c r="A15" s="5"/>
      <c r="B15" s="5"/>
      <c r="C15" s="1124"/>
      <c r="D15" s="1124"/>
      <c r="E15" s="1124"/>
      <c r="F15" s="1124"/>
      <c r="G15" s="1124"/>
      <c r="H15" s="1124"/>
      <c r="I15" s="1124"/>
      <c r="J15" s="1124"/>
      <c r="K15" s="1124"/>
      <c r="L15" s="1124"/>
      <c r="M15" s="1124"/>
      <c r="N15" s="1124"/>
      <c r="O15" s="1124"/>
      <c r="P15" s="1124"/>
      <c r="Q15" s="1124"/>
      <c r="R15" s="5"/>
    </row>
    <row r="16" spans="1:18" ht="20.100000000000001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</row>
    <row r="17" spans="1:18" ht="15" customHeight="1">
      <c r="A17" s="5"/>
      <c r="B17" s="21"/>
      <c r="C17" s="66"/>
      <c r="D17" s="70"/>
      <c r="E17" s="1143"/>
      <c r="F17" s="1144"/>
      <c r="G17" s="1144"/>
      <c r="H17" s="1144"/>
      <c r="I17" s="1144"/>
      <c r="J17" s="67"/>
      <c r="K17" s="68"/>
      <c r="L17" s="70"/>
      <c r="M17" s="66"/>
      <c r="N17" s="70"/>
      <c r="O17" s="66"/>
      <c r="P17" s="70"/>
      <c r="Q17" s="69"/>
      <c r="R17" s="5"/>
    </row>
    <row r="18" spans="1:18" ht="15" customHeight="1">
      <c r="A18" s="5"/>
      <c r="B18" s="21"/>
      <c r="C18" s="972"/>
      <c r="D18" s="973"/>
      <c r="E18" s="1145"/>
      <c r="F18" s="1146"/>
      <c r="G18" s="1146"/>
      <c r="H18" s="1146"/>
      <c r="I18" s="1146"/>
      <c r="J18" s="974"/>
      <c r="K18" s="232"/>
      <c r="L18" s="973"/>
      <c r="M18" s="1110"/>
      <c r="N18" s="973"/>
      <c r="O18" s="1110"/>
      <c r="P18" s="973"/>
      <c r="Q18" s="1109"/>
      <c r="R18" s="5"/>
    </row>
    <row r="19" spans="1:18" s="7" customFormat="1" ht="15" customHeight="1">
      <c r="A19" s="6"/>
      <c r="B19" s="971"/>
      <c r="C19" s="972" t="s">
        <v>2319</v>
      </c>
      <c r="D19" s="973"/>
      <c r="E19" s="1135" t="s">
        <v>2372</v>
      </c>
      <c r="F19" s="1136"/>
      <c r="G19" s="1136"/>
      <c r="H19" s="1136"/>
      <c r="I19" s="1136"/>
      <c r="J19" s="974"/>
      <c r="K19" s="232">
        <v>40992</v>
      </c>
      <c r="L19" s="973"/>
      <c r="M19" s="968" t="s">
        <v>1994</v>
      </c>
      <c r="N19" s="973"/>
      <c r="O19" s="968" t="s">
        <v>2371</v>
      </c>
      <c r="P19" s="973"/>
      <c r="Q19" s="967" t="s">
        <v>16</v>
      </c>
      <c r="R19" s="6"/>
    </row>
    <row r="20" spans="1:18" s="64" customFormat="1" ht="15" customHeight="1">
      <c r="A20" s="75"/>
      <c r="B20" s="76"/>
      <c r="C20" s="959" t="s">
        <v>2252</v>
      </c>
      <c r="D20" s="70"/>
      <c r="E20" s="1135" t="s">
        <v>2253</v>
      </c>
      <c r="F20" s="1136"/>
      <c r="G20" s="1136"/>
      <c r="H20" s="1136"/>
      <c r="I20" s="1136"/>
      <c r="J20" s="67"/>
      <c r="K20" s="232">
        <v>40896</v>
      </c>
      <c r="L20" s="70"/>
      <c r="M20" s="960" t="s">
        <v>1994</v>
      </c>
      <c r="N20" s="70"/>
      <c r="O20" s="960" t="s">
        <v>69</v>
      </c>
      <c r="P20" s="70"/>
      <c r="Q20" s="961" t="s">
        <v>16</v>
      </c>
      <c r="R20" s="75"/>
    </row>
    <row r="21" spans="1:18" s="64" customFormat="1" ht="15" customHeight="1" thickBot="1">
      <c r="A21" s="75"/>
      <c r="B21" s="77"/>
      <c r="C21" s="195" t="s">
        <v>14</v>
      </c>
      <c r="D21" s="150"/>
      <c r="E21" s="1135" t="s">
        <v>15</v>
      </c>
      <c r="F21" s="1136"/>
      <c r="G21" s="1136"/>
      <c r="H21" s="1136"/>
      <c r="I21" s="1136"/>
      <c r="J21" s="169"/>
      <c r="K21" s="232">
        <v>40767</v>
      </c>
      <c r="L21" s="150"/>
      <c r="M21" s="770" t="s">
        <v>1994</v>
      </c>
      <c r="N21" s="150"/>
      <c r="O21" s="762" t="s">
        <v>69</v>
      </c>
      <c r="P21" s="150"/>
      <c r="Q21" s="65" t="s">
        <v>16</v>
      </c>
      <c r="R21" s="75"/>
    </row>
    <row r="22" spans="1:18" ht="15" customHeight="1" thickBot="1">
      <c r="A22" s="5"/>
      <c r="B22" s="23"/>
      <c r="C22" s="24" t="s">
        <v>17</v>
      </c>
      <c r="D22" s="71"/>
      <c r="E22" s="1137" t="s">
        <v>18</v>
      </c>
      <c r="F22" s="1137"/>
      <c r="G22" s="1137"/>
      <c r="H22" s="1137"/>
      <c r="I22" s="1138"/>
      <c r="J22" s="71"/>
      <c r="K22" s="24" t="s">
        <v>19</v>
      </c>
      <c r="L22" s="71"/>
      <c r="M22" s="24" t="s">
        <v>20</v>
      </c>
      <c r="N22" s="26"/>
      <c r="O22" s="24" t="s">
        <v>21</v>
      </c>
      <c r="P22" s="71"/>
      <c r="Q22" s="25" t="s">
        <v>22</v>
      </c>
      <c r="R22" s="5"/>
    </row>
    <row r="23" spans="1:18" ht="18.75" customHeight="1">
      <c r="A23" s="5"/>
      <c r="B23" s="1139"/>
      <c r="C23" s="1139"/>
      <c r="D23" s="1139"/>
      <c r="E23" s="1139"/>
      <c r="F23" s="1139"/>
      <c r="G23" s="1139"/>
      <c r="H23" s="1139"/>
      <c r="I23" s="1139"/>
      <c r="J23" s="1139"/>
      <c r="K23" s="1139"/>
      <c r="L23" s="1139"/>
      <c r="M23" s="1139"/>
      <c r="N23" s="1139"/>
      <c r="O23" s="1139"/>
      <c r="P23" s="1139"/>
      <c r="Q23" s="1139"/>
      <c r="R23" s="5"/>
    </row>
    <row r="24" spans="1:18" ht="18.75" customHeight="1">
      <c r="A24" s="5"/>
      <c r="B24" s="1140"/>
      <c r="C24" s="1140"/>
      <c r="D24" s="1140"/>
      <c r="E24" s="1140"/>
      <c r="F24" s="1140"/>
      <c r="G24" s="1140"/>
      <c r="H24" s="1140"/>
      <c r="I24" s="1140"/>
      <c r="J24" s="1140"/>
      <c r="K24" s="1140"/>
      <c r="L24" s="1140"/>
      <c r="M24" s="1140"/>
      <c r="N24" s="1140"/>
      <c r="O24" s="1140"/>
      <c r="P24" s="1140"/>
      <c r="Q24" s="1140"/>
      <c r="R24" s="5"/>
    </row>
    <row r="25" spans="1:18" ht="18.75" customHeight="1">
      <c r="A25" s="5"/>
      <c r="B25" s="1140"/>
      <c r="C25" s="1140"/>
      <c r="D25" s="1140"/>
      <c r="E25" s="1140"/>
      <c r="F25" s="1140"/>
      <c r="G25" s="1140"/>
      <c r="H25" s="1140"/>
      <c r="I25" s="1140"/>
      <c r="J25" s="1140"/>
      <c r="K25" s="1140"/>
      <c r="L25" s="1140"/>
      <c r="M25" s="1140"/>
      <c r="N25" s="1140"/>
      <c r="O25" s="1140"/>
      <c r="P25" s="1140"/>
      <c r="Q25" s="1140"/>
      <c r="R25" s="5"/>
    </row>
    <row r="26" spans="1:18" ht="18.75" customHeight="1" thickBot="1">
      <c r="A26" s="5"/>
      <c r="B26" s="1141"/>
      <c r="C26" s="1141"/>
      <c r="D26" s="1141"/>
      <c r="E26" s="1141"/>
      <c r="F26" s="1141"/>
      <c r="G26" s="1141"/>
      <c r="H26" s="1141"/>
      <c r="I26" s="1141"/>
      <c r="J26" s="1141"/>
      <c r="K26" s="1141"/>
      <c r="L26" s="1141"/>
      <c r="M26" s="1141"/>
      <c r="N26" s="1141"/>
      <c r="O26" s="1141"/>
      <c r="P26" s="1141"/>
      <c r="Q26" s="1141"/>
      <c r="R26" s="5"/>
    </row>
    <row r="27" spans="1:18" ht="15" customHeight="1">
      <c r="A27" s="5"/>
      <c r="B27" s="27"/>
      <c r="C27" s="1133" t="s">
        <v>23</v>
      </c>
      <c r="D27" s="1133"/>
      <c r="E27" s="1133"/>
      <c r="F27" s="27"/>
      <c r="G27" s="80" t="s">
        <v>51</v>
      </c>
      <c r="H27" s="27"/>
      <c r="I27" s="1133" t="s">
        <v>24</v>
      </c>
      <c r="J27" s="1133"/>
      <c r="K27" s="1133"/>
      <c r="L27" s="27"/>
      <c r="M27" s="80" t="s">
        <v>51</v>
      </c>
      <c r="N27" s="27"/>
      <c r="O27" s="29" t="s">
        <v>25</v>
      </c>
      <c r="P27" s="27"/>
      <c r="Q27" s="79" t="s">
        <v>51</v>
      </c>
      <c r="R27" s="5"/>
    </row>
    <row r="28" spans="1:18" s="74" customFormat="1" ht="15" customHeight="1">
      <c r="A28" s="73"/>
      <c r="B28" s="73"/>
      <c r="C28" s="1131" t="s">
        <v>49</v>
      </c>
      <c r="D28" s="1131"/>
      <c r="E28" s="1131"/>
      <c r="F28" s="655"/>
      <c r="G28" s="656" t="s">
        <v>60</v>
      </c>
      <c r="H28" s="655"/>
      <c r="I28" s="1131" t="s">
        <v>1652</v>
      </c>
      <c r="J28" s="1131"/>
      <c r="K28" s="1131"/>
      <c r="L28" s="655"/>
      <c r="M28" s="657" t="s">
        <v>1653</v>
      </c>
      <c r="N28" s="655"/>
      <c r="O28" s="658" t="s">
        <v>1656</v>
      </c>
      <c r="P28" s="658"/>
      <c r="Q28" s="659" t="s">
        <v>1657</v>
      </c>
      <c r="R28" s="73"/>
    </row>
    <row r="29" spans="1:18" ht="15" customHeight="1">
      <c r="A29" s="5"/>
      <c r="B29" s="31"/>
      <c r="C29" s="660"/>
      <c r="D29" s="660"/>
      <c r="E29" s="660"/>
      <c r="F29" s="660"/>
      <c r="G29" s="661"/>
      <c r="H29" s="660"/>
      <c r="I29" s="662"/>
      <c r="J29" s="663"/>
      <c r="K29" s="663"/>
      <c r="L29" s="663"/>
      <c r="M29" s="664"/>
      <c r="N29" s="663"/>
      <c r="O29" s="662"/>
      <c r="P29" s="660"/>
      <c r="Q29" s="660"/>
      <c r="R29" s="5"/>
    </row>
    <row r="30" spans="1:18" ht="15" customHeight="1">
      <c r="A30" s="5"/>
      <c r="B30" s="22"/>
      <c r="C30" s="1134" t="s">
        <v>26</v>
      </c>
      <c r="D30" s="1134"/>
      <c r="E30" s="1134"/>
      <c r="F30" s="618"/>
      <c r="G30" s="665" t="s">
        <v>51</v>
      </c>
      <c r="H30" s="666"/>
      <c r="I30" s="1119" t="s">
        <v>27</v>
      </c>
      <c r="J30" s="1119"/>
      <c r="K30" s="1119"/>
      <c r="L30" s="618"/>
      <c r="M30" s="665" t="s">
        <v>51</v>
      </c>
      <c r="N30" s="618"/>
      <c r="O30" s="65" t="s">
        <v>28</v>
      </c>
      <c r="P30" s="618"/>
      <c r="Q30" s="618"/>
      <c r="R30" s="5"/>
    </row>
    <row r="31" spans="1:18" s="74" customFormat="1" ht="15" customHeight="1">
      <c r="A31" s="73"/>
      <c r="B31" s="73"/>
      <c r="C31" s="1131" t="s">
        <v>49</v>
      </c>
      <c r="D31" s="1131"/>
      <c r="E31" s="1131"/>
      <c r="F31" s="655"/>
      <c r="G31" s="656" t="s">
        <v>60</v>
      </c>
      <c r="H31" s="655"/>
      <c r="I31" s="1131" t="s">
        <v>1654</v>
      </c>
      <c r="J31" s="1131"/>
      <c r="K31" s="1131"/>
      <c r="L31" s="655"/>
      <c r="M31" s="667" t="s">
        <v>1655</v>
      </c>
      <c r="N31" s="655"/>
      <c r="O31" s="658" t="s">
        <v>69</v>
      </c>
      <c r="P31" s="658"/>
      <c r="Q31" s="668"/>
      <c r="R31" s="73"/>
    </row>
    <row r="32" spans="1:18" ht="15" customHeight="1">
      <c r="A32" s="5"/>
      <c r="B32" s="31"/>
      <c r="C32" s="660"/>
      <c r="D32" s="660"/>
      <c r="E32" s="660"/>
      <c r="F32" s="660"/>
      <c r="G32" s="661"/>
      <c r="H32" s="660"/>
      <c r="I32" s="660"/>
      <c r="J32" s="660"/>
      <c r="K32" s="660"/>
      <c r="L32" s="660"/>
      <c r="M32" s="661"/>
      <c r="N32" s="660"/>
      <c r="O32" s="662"/>
      <c r="P32" s="660"/>
      <c r="Q32" s="660"/>
      <c r="R32" s="5"/>
    </row>
    <row r="33" spans="1:19" ht="15" customHeight="1">
      <c r="A33" s="5"/>
      <c r="B33" s="22"/>
      <c r="C33" s="1119" t="s">
        <v>29</v>
      </c>
      <c r="D33" s="1119"/>
      <c r="E33" s="1119"/>
      <c r="F33" s="618"/>
      <c r="G33" s="619"/>
      <c r="H33" s="620"/>
      <c r="I33" s="1119" t="s">
        <v>30</v>
      </c>
      <c r="J33" s="1119"/>
      <c r="K33" s="1119"/>
      <c r="L33" s="618"/>
      <c r="M33" s="665" t="s">
        <v>51</v>
      </c>
      <c r="N33" s="618"/>
      <c r="O33" s="653" t="s">
        <v>31</v>
      </c>
      <c r="P33" s="666"/>
      <c r="Q33" s="65" t="s">
        <v>32</v>
      </c>
      <c r="R33" s="5"/>
    </row>
    <row r="34" spans="1:19" s="74" customFormat="1" ht="15" customHeight="1">
      <c r="A34" s="73"/>
      <c r="B34" s="73"/>
      <c r="C34" s="1131" t="s">
        <v>1088</v>
      </c>
      <c r="D34" s="1131"/>
      <c r="E34" s="1131"/>
      <c r="F34" s="1131"/>
      <c r="G34" s="1132"/>
      <c r="H34" s="669"/>
      <c r="I34" s="1131" t="s">
        <v>1652</v>
      </c>
      <c r="J34" s="1131"/>
      <c r="K34" s="1131"/>
      <c r="L34" s="655"/>
      <c r="M34" s="657" t="s">
        <v>1653</v>
      </c>
      <c r="N34" s="655"/>
      <c r="O34" s="670" t="s">
        <v>46</v>
      </c>
      <c r="P34" s="655"/>
      <c r="Q34" s="652">
        <f>K21</f>
        <v>40767</v>
      </c>
      <c r="R34" s="38"/>
      <c r="S34" s="38"/>
    </row>
    <row r="35" spans="1:19" ht="15" customHeight="1" thickBot="1">
      <c r="A35" s="5"/>
      <c r="B35" s="39"/>
      <c r="C35" s="671"/>
      <c r="D35" s="672"/>
      <c r="E35" s="672"/>
      <c r="F35" s="672"/>
      <c r="G35" s="673"/>
      <c r="H35" s="674"/>
      <c r="I35" s="671"/>
      <c r="J35" s="672"/>
      <c r="K35" s="672"/>
      <c r="L35" s="672"/>
      <c r="M35" s="673"/>
      <c r="N35" s="672"/>
      <c r="O35" s="673"/>
      <c r="P35" s="672"/>
      <c r="Q35" s="671"/>
      <c r="R35" s="5"/>
    </row>
    <row r="36" spans="1:19" ht="14.1" customHeight="1" thickTop="1">
      <c r="A36" s="5"/>
      <c r="B36" s="57"/>
      <c r="C36" s="57"/>
      <c r="D36" s="57"/>
      <c r="E36" s="57"/>
      <c r="F36" s="57"/>
      <c r="G36" s="57"/>
      <c r="H36" s="57"/>
      <c r="I36" s="58"/>
      <c r="J36" s="40"/>
      <c r="K36" s="1126" t="s">
        <v>33</v>
      </c>
      <c r="L36" s="1126"/>
      <c r="M36" s="1126"/>
      <c r="N36" s="1126"/>
      <c r="O36" s="1126"/>
      <c r="P36" s="38"/>
      <c r="Q36" s="5"/>
      <c r="R36" s="5"/>
    </row>
    <row r="37" spans="1:19" ht="14.1" customHeight="1">
      <c r="A37" s="5"/>
      <c r="B37" s="57"/>
      <c r="C37" s="57"/>
      <c r="D37" s="57"/>
      <c r="E37" s="57"/>
      <c r="F37" s="57"/>
      <c r="G37" s="57"/>
      <c r="H37" s="57"/>
      <c r="I37" s="58"/>
      <c r="J37" s="40"/>
      <c r="K37" s="1129" t="s">
        <v>1661</v>
      </c>
      <c r="L37" s="1129"/>
      <c r="M37" s="1129"/>
      <c r="N37" s="1129"/>
      <c r="O37" s="1129"/>
      <c r="P37" s="1129"/>
      <c r="Q37" s="1129"/>
      <c r="R37" s="5"/>
    </row>
    <row r="38" spans="1:19" ht="15.75" customHeight="1">
      <c r="A38" s="5"/>
      <c r="B38" s="57"/>
      <c r="C38" s="57"/>
      <c r="D38" s="57"/>
      <c r="E38" s="57"/>
      <c r="F38" s="57"/>
      <c r="G38" s="57"/>
      <c r="H38" s="57"/>
      <c r="I38" s="58"/>
      <c r="J38" s="41"/>
      <c r="K38" s="1130"/>
      <c r="L38" s="1130"/>
      <c r="M38" s="1130"/>
      <c r="N38" s="1130"/>
      <c r="O38" s="1130"/>
      <c r="P38" s="1130"/>
      <c r="Q38" s="1130"/>
      <c r="R38" s="5"/>
    </row>
    <row r="39" spans="1:19" ht="14.1" customHeight="1">
      <c r="A39" s="5"/>
      <c r="B39" s="57"/>
      <c r="C39" s="57"/>
      <c r="D39" s="57"/>
      <c r="E39" s="57"/>
      <c r="F39" s="57"/>
      <c r="G39" s="57"/>
      <c r="H39" s="57"/>
      <c r="I39" s="58"/>
      <c r="J39" s="42"/>
      <c r="K39" s="1120" t="s">
        <v>34</v>
      </c>
      <c r="L39" s="1120"/>
      <c r="M39" s="1120"/>
      <c r="N39" s="1120"/>
      <c r="O39" s="1120"/>
      <c r="P39" s="617"/>
      <c r="Q39" s="618"/>
      <c r="R39" s="5"/>
    </row>
    <row r="40" spans="1:19" ht="14.1" customHeight="1">
      <c r="A40" s="5"/>
      <c r="B40" s="57"/>
      <c r="C40" s="61"/>
      <c r="D40" s="57"/>
      <c r="E40" s="57"/>
      <c r="F40" s="57"/>
      <c r="G40" s="57"/>
      <c r="H40" s="57"/>
      <c r="I40" s="58"/>
      <c r="J40" s="40"/>
      <c r="K40" s="1123" t="s">
        <v>1086</v>
      </c>
      <c r="L40" s="1123"/>
      <c r="M40" s="1123"/>
      <c r="N40" s="1123"/>
      <c r="O40" s="1123"/>
      <c r="P40" s="1123"/>
      <c r="Q40" s="1123"/>
      <c r="R40" s="5"/>
    </row>
    <row r="41" spans="1:19" ht="14.1" customHeight="1" thickBot="1">
      <c r="A41" s="5"/>
      <c r="B41" s="59"/>
      <c r="C41" s="59"/>
      <c r="D41" s="59"/>
      <c r="E41" s="59"/>
      <c r="F41" s="59"/>
      <c r="G41" s="59"/>
      <c r="H41" s="59"/>
      <c r="I41" s="60"/>
      <c r="J41" s="41"/>
      <c r="K41" s="1125" t="s">
        <v>1087</v>
      </c>
      <c r="L41" s="1125"/>
      <c r="M41" s="1125"/>
      <c r="N41" s="1125"/>
      <c r="O41" s="1125"/>
      <c r="P41" s="1125"/>
      <c r="Q41" s="1125"/>
      <c r="R41" s="5"/>
    </row>
    <row r="42" spans="1:19" ht="14.1" customHeight="1">
      <c r="A42" s="5"/>
      <c r="B42" s="5"/>
      <c r="C42" s="45" t="s">
        <v>31</v>
      </c>
      <c r="D42" s="5"/>
      <c r="E42" s="1127" t="s">
        <v>32</v>
      </c>
      <c r="F42" s="1128"/>
      <c r="G42" s="46" t="s">
        <v>28</v>
      </c>
      <c r="H42" s="38"/>
      <c r="I42" s="38"/>
      <c r="J42" s="42"/>
      <c r="K42" s="1120" t="s">
        <v>35</v>
      </c>
      <c r="L42" s="1120"/>
      <c r="M42" s="1120"/>
      <c r="N42" s="1120"/>
      <c r="O42" s="1120"/>
      <c r="P42" s="617"/>
      <c r="Q42" s="618"/>
      <c r="R42" s="5"/>
    </row>
    <row r="43" spans="1:19" ht="14.1" customHeight="1">
      <c r="A43" s="5"/>
      <c r="B43" s="5"/>
      <c r="C43" s="62" t="s">
        <v>46</v>
      </c>
      <c r="D43" s="5"/>
      <c r="E43" s="1121">
        <v>40767</v>
      </c>
      <c r="F43" s="1122"/>
      <c r="G43" s="151" t="s">
        <v>69</v>
      </c>
      <c r="H43" s="5"/>
      <c r="I43" s="5"/>
      <c r="J43" s="40"/>
      <c r="K43" s="1123" t="s">
        <v>1424</v>
      </c>
      <c r="L43" s="1123"/>
      <c r="M43" s="1123"/>
      <c r="N43" s="1123"/>
      <c r="O43" s="1123"/>
      <c r="P43" s="1123"/>
      <c r="Q43" s="1123"/>
      <c r="R43" s="5"/>
    </row>
    <row r="44" spans="1:19" ht="14.1" customHeight="1">
      <c r="A44" s="5"/>
      <c r="B44" s="31"/>
      <c r="C44" s="32"/>
      <c r="D44" s="72"/>
      <c r="E44" s="72"/>
      <c r="F44" s="72"/>
      <c r="G44" s="137"/>
      <c r="H44" s="31"/>
      <c r="I44" s="31"/>
      <c r="J44" s="41"/>
      <c r="K44" s="7"/>
      <c r="L44" s="7"/>
      <c r="M44" s="7"/>
      <c r="N44" s="7"/>
      <c r="O44" s="7"/>
      <c r="P44" s="7"/>
      <c r="Q44" s="7"/>
      <c r="R44" s="5"/>
    </row>
    <row r="45" spans="1:19" ht="14.1" customHeight="1">
      <c r="A45" s="5"/>
      <c r="B45" s="5"/>
      <c r="C45" s="1124" t="s">
        <v>36</v>
      </c>
      <c r="D45" s="1124"/>
      <c r="E45" s="1124"/>
      <c r="F45" s="6"/>
      <c r="G45" s="6"/>
      <c r="H45" s="618"/>
      <c r="I45" s="675" t="s">
        <v>50</v>
      </c>
      <c r="J45" s="42"/>
      <c r="K45" s="1120" t="s">
        <v>37</v>
      </c>
      <c r="L45" s="1120"/>
      <c r="M45" s="1120"/>
      <c r="N45" s="1120"/>
      <c r="O45" s="1120"/>
      <c r="P45" s="617"/>
      <c r="Q45" s="618"/>
      <c r="R45" s="5"/>
    </row>
    <row r="46" spans="1:19" ht="14.1" customHeight="1">
      <c r="A46" s="5"/>
      <c r="B46" s="5"/>
      <c r="C46" s="361" t="s">
        <v>1658</v>
      </c>
      <c r="D46" s="6"/>
      <c r="E46" s="6"/>
      <c r="F46" s="6"/>
      <c r="G46" s="6"/>
      <c r="H46" s="6"/>
      <c r="I46" s="6"/>
      <c r="J46" s="40"/>
      <c r="K46" s="1117" t="s">
        <v>52</v>
      </c>
      <c r="L46" s="1117"/>
      <c r="M46" s="1117"/>
      <c r="N46" s="1117"/>
      <c r="O46" s="1117"/>
      <c r="P46" s="1117"/>
      <c r="Q46" s="1117"/>
      <c r="R46" s="5"/>
    </row>
    <row r="47" spans="1:19" ht="14.1" customHeight="1">
      <c r="A47" s="5"/>
      <c r="B47" s="31"/>
      <c r="C47" s="676" t="s">
        <v>1659</v>
      </c>
      <c r="D47" s="660"/>
      <c r="E47" s="660"/>
      <c r="F47" s="660"/>
      <c r="G47" s="660"/>
      <c r="H47" s="660"/>
      <c r="I47" s="660"/>
      <c r="J47" s="41"/>
      <c r="K47" s="1118"/>
      <c r="L47" s="1118"/>
      <c r="M47" s="1118"/>
      <c r="N47" s="1118"/>
      <c r="O47" s="1118"/>
      <c r="P47" s="1118"/>
      <c r="Q47" s="1118"/>
      <c r="R47" s="5"/>
    </row>
    <row r="48" spans="1:19" ht="14.1" customHeight="1">
      <c r="A48" s="5"/>
      <c r="B48" s="5"/>
      <c r="C48" s="1119" t="s">
        <v>38</v>
      </c>
      <c r="D48" s="1119"/>
      <c r="E48" s="1119"/>
      <c r="F48" s="618"/>
      <c r="G48" s="677"/>
      <c r="H48" s="677"/>
      <c r="I48" s="675" t="s">
        <v>51</v>
      </c>
      <c r="J48" s="40"/>
      <c r="K48" s="361" t="s">
        <v>39</v>
      </c>
      <c r="L48" s="152"/>
      <c r="M48" s="619"/>
      <c r="N48" s="620"/>
      <c r="O48" s="1120" t="s">
        <v>40</v>
      </c>
      <c r="P48" s="1120"/>
      <c r="Q48" s="1120"/>
      <c r="R48" s="5"/>
    </row>
    <row r="49" spans="1:18" ht="14.1" customHeight="1">
      <c r="A49" s="5"/>
      <c r="B49" s="5"/>
      <c r="C49" s="658"/>
      <c r="D49" s="658"/>
      <c r="E49" s="658"/>
      <c r="F49" s="658"/>
      <c r="G49" s="658"/>
      <c r="H49" s="152"/>
      <c r="I49" s="678"/>
      <c r="J49" s="40"/>
      <c r="K49" s="140" t="s">
        <v>1428</v>
      </c>
      <c r="L49" s="48"/>
      <c r="M49" s="49"/>
      <c r="N49" s="621"/>
      <c r="O49" s="140" t="s">
        <v>1427</v>
      </c>
      <c r="P49" s="48"/>
      <c r="Q49" s="6"/>
      <c r="R49" s="5"/>
    </row>
    <row r="50" spans="1:18" ht="14.1" customHeight="1" thickBot="1">
      <c r="A50" s="5"/>
      <c r="B50" s="31"/>
      <c r="C50" s="662"/>
      <c r="D50" s="660"/>
      <c r="E50" s="660"/>
      <c r="F50" s="660"/>
      <c r="G50" s="6"/>
      <c r="H50" s="6"/>
      <c r="I50" s="6"/>
      <c r="J50" s="50"/>
      <c r="K50" s="78"/>
      <c r="L50" s="28"/>
      <c r="M50" s="51"/>
      <c r="N50" s="52"/>
      <c r="O50" s="78"/>
      <c r="P50" s="53"/>
      <c r="Q50" s="53"/>
      <c r="R50" s="5"/>
    </row>
    <row r="51" spans="1:18" ht="14.1" customHeight="1">
      <c r="A51" s="5"/>
      <c r="B51" s="5"/>
      <c r="C51" s="1119" t="s">
        <v>41</v>
      </c>
      <c r="D51" s="1119"/>
      <c r="E51" s="1119"/>
      <c r="F51" s="666"/>
      <c r="G51" s="617"/>
      <c r="H51" s="617"/>
      <c r="I51" s="675" t="s">
        <v>50</v>
      </c>
      <c r="J51" s="36"/>
      <c r="K51" s="30" t="s">
        <v>42</v>
      </c>
      <c r="L51" s="38"/>
      <c r="M51" s="37"/>
      <c r="N51" s="54"/>
      <c r="O51" s="30" t="s">
        <v>43</v>
      </c>
      <c r="P51" s="38"/>
      <c r="Q51" s="5"/>
      <c r="R51" s="5"/>
    </row>
    <row r="52" spans="1:18" ht="14.1" customHeight="1">
      <c r="A52" s="5"/>
      <c r="B52" s="5"/>
      <c r="C52" s="361" t="s">
        <v>1429</v>
      </c>
      <c r="D52" s="152"/>
      <c r="E52" s="6"/>
      <c r="F52" s="6"/>
      <c r="G52" s="6"/>
      <c r="H52" s="6"/>
      <c r="I52" s="6"/>
      <c r="J52" s="36"/>
      <c r="K52" s="63" t="s">
        <v>48</v>
      </c>
      <c r="L52" s="5"/>
      <c r="M52" s="37"/>
      <c r="N52" s="36"/>
      <c r="O52" s="63" t="s">
        <v>48</v>
      </c>
      <c r="P52" s="5"/>
      <c r="Q52" s="5"/>
      <c r="R52" s="5"/>
    </row>
    <row r="53" spans="1:18" ht="14.1" customHeight="1">
      <c r="A53" s="5"/>
      <c r="B53" s="31"/>
      <c r="C53" s="676" t="s">
        <v>1660</v>
      </c>
      <c r="D53" s="660"/>
      <c r="E53" s="660"/>
      <c r="F53" s="660"/>
      <c r="G53" s="660"/>
      <c r="H53" s="660"/>
      <c r="I53" s="679"/>
      <c r="J53" s="47"/>
      <c r="K53" s="31"/>
      <c r="L53" s="31"/>
      <c r="M53" s="32"/>
      <c r="N53" s="47"/>
      <c r="O53" s="31"/>
      <c r="P53" s="31"/>
      <c r="Q53" s="31"/>
      <c r="R53" s="5"/>
    </row>
    <row r="54" spans="1:18" ht="14.1" customHeight="1">
      <c r="A54" s="5"/>
      <c r="B54" s="5"/>
      <c r="C54" s="1119" t="s">
        <v>44</v>
      </c>
      <c r="D54" s="1119"/>
      <c r="E54" s="1119"/>
      <c r="F54" s="666"/>
      <c r="G54" s="618"/>
      <c r="H54" s="618"/>
      <c r="I54" s="680"/>
      <c r="J54" s="35"/>
      <c r="K54" s="43" t="s">
        <v>45</v>
      </c>
      <c r="L54" s="44"/>
      <c r="M54" s="22"/>
      <c r="N54" s="22"/>
      <c r="O54" s="22"/>
      <c r="P54" s="22"/>
      <c r="Q54" s="33"/>
      <c r="R54" s="5"/>
    </row>
    <row r="55" spans="1:18" ht="14.1" customHeight="1">
      <c r="A55" s="5"/>
      <c r="B55" s="5"/>
      <c r="C55" s="681" t="s">
        <v>47</v>
      </c>
      <c r="D55" s="152"/>
      <c r="E55" s="6"/>
      <c r="F55" s="6"/>
      <c r="G55" s="6"/>
      <c r="H55" s="6"/>
      <c r="I55" s="6"/>
      <c r="J55" s="1113" t="s">
        <v>2388</v>
      </c>
      <c r="K55" s="1114"/>
      <c r="L55" s="1114"/>
      <c r="M55" s="1114"/>
      <c r="N55" s="1114"/>
      <c r="O55" s="1114"/>
      <c r="P55" s="55"/>
      <c r="Q55" s="55"/>
      <c r="R55" s="5"/>
    </row>
    <row r="56" spans="1:18" ht="14.1" customHeight="1" thickBot="1">
      <c r="A56" s="5"/>
      <c r="B56" s="39"/>
      <c r="C56" s="39"/>
      <c r="D56" s="39"/>
      <c r="E56" s="39"/>
      <c r="F56" s="39"/>
      <c r="G56" s="39"/>
      <c r="H56" s="39"/>
      <c r="I56" s="39"/>
      <c r="J56" s="1115"/>
      <c r="K56" s="1116"/>
      <c r="L56" s="1116"/>
      <c r="M56" s="1116"/>
      <c r="N56" s="1116"/>
      <c r="O56" s="1116"/>
      <c r="P56" s="56"/>
      <c r="Q56" s="56"/>
      <c r="R56" s="5"/>
    </row>
    <row r="57" spans="1:18" ht="37.5" customHeight="1" thickTop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</row>
  </sheetData>
  <mergeCells count="50">
    <mergeCell ref="B2:Q2"/>
    <mergeCell ref="B3:Q4"/>
    <mergeCell ref="C5:Q5"/>
    <mergeCell ref="C6:Q6"/>
    <mergeCell ref="C7:Q7"/>
    <mergeCell ref="C8:Q8"/>
    <mergeCell ref="C9:Q9"/>
    <mergeCell ref="C10:Q10"/>
    <mergeCell ref="C11:Q11"/>
    <mergeCell ref="C12:Q12"/>
    <mergeCell ref="C13:Q13"/>
    <mergeCell ref="C14:Q14"/>
    <mergeCell ref="C15:Q15"/>
    <mergeCell ref="E17:I17"/>
    <mergeCell ref="E18:I18"/>
    <mergeCell ref="E19:I19"/>
    <mergeCell ref="E20:I20"/>
    <mergeCell ref="E21:I21"/>
    <mergeCell ref="E22:I22"/>
    <mergeCell ref="B23:Q26"/>
    <mergeCell ref="C27:E27"/>
    <mergeCell ref="I27:K27"/>
    <mergeCell ref="C28:E28"/>
    <mergeCell ref="I28:K28"/>
    <mergeCell ref="C30:E30"/>
    <mergeCell ref="I30:K30"/>
    <mergeCell ref="C31:E31"/>
    <mergeCell ref="I31:K31"/>
    <mergeCell ref="C33:E33"/>
    <mergeCell ref="I33:K33"/>
    <mergeCell ref="C34:E34"/>
    <mergeCell ref="F34:G34"/>
    <mergeCell ref="I34:K34"/>
    <mergeCell ref="K36:O36"/>
    <mergeCell ref="K39:O39"/>
    <mergeCell ref="E42:F42"/>
    <mergeCell ref="K42:O42"/>
    <mergeCell ref="K37:Q38"/>
    <mergeCell ref="E43:F43"/>
    <mergeCell ref="K40:Q40"/>
    <mergeCell ref="C45:E45"/>
    <mergeCell ref="K45:O45"/>
    <mergeCell ref="K41:Q41"/>
    <mergeCell ref="K43:Q43"/>
    <mergeCell ref="J55:O56"/>
    <mergeCell ref="K46:Q47"/>
    <mergeCell ref="C48:E48"/>
    <mergeCell ref="O48:Q48"/>
    <mergeCell ref="C51:E51"/>
    <mergeCell ref="C54:E54"/>
  </mergeCells>
  <printOptions horizontalCentered="1" verticalCentered="1"/>
  <pageMargins left="3.937007874015748E-2" right="0" top="3.937007874015748E-2" bottom="3.937007874015748E-2" header="0" footer="3.937007874015748E-2"/>
  <pageSetup paperSize="9" scale="86" orientation="portrait" r:id="rId1"/>
  <headerFooter alignWithMargins="0"/>
  <drawing r:id="rId2"/>
  <legacyDrawing r:id="rId3"/>
  <oleObjects>
    <oleObject progId="Word.Picture.8" shapeId="2055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L90"/>
  <sheetViews>
    <sheetView showGridLines="0" view="pageBreakPreview" zoomScale="80" zoomScaleNormal="100" zoomScaleSheetLayoutView="80" workbookViewId="0">
      <pane ySplit="7" topLeftCell="A8" activePane="bottomLeft" state="frozen"/>
      <selection pane="bottomLeft" activeCell="I21" sqref="I21"/>
    </sheetView>
  </sheetViews>
  <sheetFormatPr defaultRowHeight="12.75"/>
  <cols>
    <col min="1" max="1" width="3.5703125" style="85" customWidth="1"/>
    <col min="2" max="2" width="9" customWidth="1"/>
    <col min="3" max="3" width="32.7109375" style="81" customWidth="1"/>
    <col min="4" max="4" width="17.5703125" style="81" customWidth="1"/>
    <col min="5" max="5" width="16.5703125" style="81" customWidth="1"/>
    <col min="6" max="7" width="16.42578125" style="81" customWidth="1"/>
    <col min="8" max="10" width="19.5703125" style="82" customWidth="1"/>
    <col min="11" max="11" width="7.140625" customWidth="1"/>
    <col min="12" max="12" width="2" style="84" customWidth="1"/>
    <col min="13" max="16384" width="9.140625" style="85"/>
  </cols>
  <sheetData>
    <row r="1" spans="1:12" customFormat="1" ht="13.5" thickBot="1">
      <c r="A1" s="85"/>
      <c r="B1" s="81"/>
      <c r="C1" s="81"/>
      <c r="D1" s="81"/>
      <c r="E1" s="81"/>
      <c r="F1" s="81"/>
      <c r="G1" s="81"/>
      <c r="H1" s="82"/>
      <c r="I1" s="82"/>
      <c r="J1" s="82"/>
      <c r="K1" s="83"/>
      <c r="L1" s="84"/>
    </row>
    <row r="2" spans="1:12" customFormat="1" ht="55.5" customHeight="1" thickTop="1" thickBot="1">
      <c r="A2" s="12"/>
      <c r="B2" s="126"/>
      <c r="C2" s="127"/>
      <c r="D2" s="1151"/>
      <c r="E2" s="1152"/>
      <c r="F2" s="1152"/>
      <c r="G2" s="1152"/>
      <c r="H2" s="128"/>
      <c r="I2" s="128"/>
      <c r="J2" s="129"/>
      <c r="K2" s="130"/>
      <c r="L2" s="10"/>
    </row>
    <row r="3" spans="1:12" s="9" customFormat="1" ht="18.75" customHeight="1" thickTop="1">
      <c r="B3" s="1157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158"/>
      <c r="D3" s="1158"/>
      <c r="E3" s="1158"/>
      <c r="F3" s="1158"/>
      <c r="G3" s="1158"/>
      <c r="H3" s="1163" t="s">
        <v>0</v>
      </c>
      <c r="I3" s="1164"/>
      <c r="J3" s="1164" t="str">
        <f>CAPA!C34</f>
        <v>1210/00-IF-PQ-3001</v>
      </c>
      <c r="K3" s="1165" t="str">
        <f>CAPA!I34</f>
        <v>ENG. LUIZ ROBERTO PEREIRA</v>
      </c>
    </row>
    <row r="4" spans="1:12" s="9" customFormat="1" ht="18.75" customHeight="1">
      <c r="B4" s="1159"/>
      <c r="C4" s="1160"/>
      <c r="D4" s="1160"/>
      <c r="E4" s="1160"/>
      <c r="F4" s="1160"/>
      <c r="G4" s="1160"/>
      <c r="H4" s="1166" t="s">
        <v>1</v>
      </c>
      <c r="I4" s="1167"/>
      <c r="J4" s="1167" t="str">
        <f>CAPA!J55</f>
        <v>FL.01/302.88/04539/02</v>
      </c>
      <c r="K4" s="1168">
        <f>CAPA!P55</f>
        <v>0</v>
      </c>
    </row>
    <row r="5" spans="1:12" s="9" customFormat="1" ht="18.75" customHeight="1" thickBot="1">
      <c r="B5" s="1161"/>
      <c r="C5" s="1162"/>
      <c r="D5" s="1162"/>
      <c r="E5" s="1162"/>
      <c r="F5" s="1162"/>
      <c r="G5" s="1162"/>
      <c r="H5" s="1169" t="s">
        <v>2</v>
      </c>
      <c r="I5" s="1170"/>
      <c r="J5" s="1171">
        <f>CAPA!K19</f>
        <v>40992</v>
      </c>
      <c r="K5" s="1172">
        <f>CAPA!W34</f>
        <v>0</v>
      </c>
    </row>
    <row r="6" spans="1:12" s="9" customFormat="1" ht="42.75" customHeight="1" thickTop="1" thickBot="1">
      <c r="B6" s="1153" t="s">
        <v>1993</v>
      </c>
      <c r="C6" s="1154"/>
      <c r="D6" s="1154"/>
      <c r="E6" s="1154"/>
      <c r="F6" s="1154"/>
      <c r="G6" s="1154"/>
      <c r="H6" s="1154"/>
      <c r="I6" s="1154"/>
      <c r="J6" s="1154"/>
      <c r="K6" s="1155"/>
    </row>
    <row r="7" spans="1:12" s="9" customFormat="1" ht="38.25" customHeight="1" thickTop="1">
      <c r="B7" s="122"/>
      <c r="C7" s="122"/>
      <c r="D7" s="122"/>
      <c r="E7" s="122"/>
      <c r="F7" s="122"/>
      <c r="G7" s="122"/>
      <c r="H7" s="122"/>
      <c r="I7" s="122"/>
      <c r="J7" s="122"/>
      <c r="K7" s="122"/>
    </row>
    <row r="8" spans="1:12" s="86" customFormat="1" ht="37.5" customHeight="1">
      <c r="B8" s="1156" t="s">
        <v>53</v>
      </c>
      <c r="C8" s="1156"/>
      <c r="D8" s="1156"/>
      <c r="E8" s="1156"/>
      <c r="F8" s="1156"/>
      <c r="G8" s="1156"/>
      <c r="H8" s="1156"/>
      <c r="I8" s="1156"/>
      <c r="J8" s="1156"/>
      <c r="K8" s="1156"/>
      <c r="L8" s="87"/>
    </row>
    <row r="9" spans="1:12" s="86" customFormat="1" ht="19.5" customHeight="1">
      <c r="B9" s="104"/>
      <c r="C9" s="104"/>
      <c r="D9" s="104"/>
      <c r="E9" s="104"/>
      <c r="F9" s="104"/>
      <c r="G9" s="104"/>
      <c r="H9" s="104"/>
      <c r="I9" s="104"/>
      <c r="J9" s="104"/>
      <c r="K9" s="91"/>
      <c r="L9" s="87"/>
    </row>
    <row r="10" spans="1:12" s="101" customFormat="1" ht="37.5" customHeight="1">
      <c r="B10" s="100"/>
      <c r="C10" s="112" t="str">
        <f>'Pág 2'!B8</f>
        <v>1.  OBJETIVO</v>
      </c>
      <c r="D10" s="107"/>
      <c r="E10" s="107"/>
      <c r="F10" s="107"/>
      <c r="G10" s="107"/>
      <c r="H10" s="107"/>
      <c r="I10" s="103"/>
      <c r="J10" s="113">
        <v>3</v>
      </c>
      <c r="K10" s="105"/>
      <c r="L10" s="106"/>
    </row>
    <row r="11" spans="1:12" s="101" customFormat="1" ht="37.5" customHeight="1">
      <c r="B11" s="100"/>
      <c r="C11" s="112" t="str">
        <f>'Pág 2'!B12</f>
        <v>2.  DOCUMENTOS DE REFERÊNCIA</v>
      </c>
      <c r="D11" s="107"/>
      <c r="E11" s="100"/>
      <c r="F11" s="100"/>
      <c r="G11" s="100"/>
      <c r="H11" s="108"/>
      <c r="I11" s="103"/>
      <c r="J11" s="113">
        <v>3</v>
      </c>
      <c r="K11" s="109"/>
      <c r="L11" s="106"/>
    </row>
    <row r="12" spans="1:12" s="101" customFormat="1" ht="37.5" customHeight="1">
      <c r="B12" s="100"/>
      <c r="C12" s="112" t="str">
        <f>'Pág 2'!B21</f>
        <v>3.  FORMA DE MEDIÇÃO E PAGAMENTO</v>
      </c>
      <c r="D12" s="107"/>
      <c r="E12" s="100"/>
      <c r="F12" s="100"/>
      <c r="G12" s="100"/>
      <c r="H12" s="108"/>
      <c r="I12" s="103"/>
      <c r="J12" s="113">
        <v>3</v>
      </c>
      <c r="K12" s="109"/>
      <c r="L12" s="106"/>
    </row>
    <row r="13" spans="1:12" s="90" customFormat="1" ht="37.5" customHeight="1">
      <c r="B13" s="81"/>
      <c r="C13" s="112" t="str">
        <f>'MQ-INFRA'!B7</f>
        <v>4. MEMORIAL DE QUANTIFICAÇÃO - INFRAESTRUTURA</v>
      </c>
      <c r="D13" s="107"/>
      <c r="E13" s="100"/>
      <c r="F13" s="100"/>
      <c r="G13" s="100"/>
      <c r="H13" s="108"/>
      <c r="I13" s="103"/>
      <c r="J13" s="113">
        <v>4</v>
      </c>
      <c r="K13" s="83"/>
      <c r="L13" s="89"/>
    </row>
    <row r="14" spans="1:12" s="90" customFormat="1" ht="37.5" customHeight="1">
      <c r="B14" s="81"/>
      <c r="C14" s="112" t="str">
        <f>'MQ-SUPER'!B7</f>
        <v>5. MEMORIAL DE QUANTIFICAÇÃO - SUPERESTRUTURA</v>
      </c>
      <c r="D14" s="107"/>
      <c r="E14" s="100"/>
      <c r="F14" s="100"/>
      <c r="G14" s="100"/>
      <c r="H14" s="108"/>
      <c r="I14" s="103"/>
      <c r="J14" s="113">
        <v>93</v>
      </c>
      <c r="K14" s="83"/>
      <c r="L14" s="89"/>
    </row>
    <row r="15" spans="1:12" s="90" customFormat="1" ht="37.5" customHeight="1">
      <c r="B15" s="81"/>
      <c r="C15" s="1149" t="str">
        <f>'PSQ-INFRA'!B7</f>
        <v>6.  PLANILHA DE SERVIÇOS DE MATERIAIS E QUANTIDADES - INFRAESTRUTURA</v>
      </c>
      <c r="D15" s="1149"/>
      <c r="E15" s="1149"/>
      <c r="F15" s="1149"/>
      <c r="G15" s="1149"/>
      <c r="H15" s="1149"/>
      <c r="I15" s="1149"/>
      <c r="J15" s="1150">
        <v>136</v>
      </c>
      <c r="K15" s="83"/>
      <c r="L15" s="89"/>
    </row>
    <row r="16" spans="1:12" s="90" customFormat="1" ht="21.75" customHeight="1">
      <c r="B16" s="81"/>
      <c r="C16" s="1149"/>
      <c r="D16" s="1149"/>
      <c r="E16" s="1149"/>
      <c r="F16" s="1149"/>
      <c r="G16" s="1149"/>
      <c r="H16" s="1149"/>
      <c r="I16" s="1149"/>
      <c r="J16" s="1150"/>
      <c r="K16" s="83"/>
      <c r="L16" s="89"/>
    </row>
    <row r="17" spans="2:12" s="90" customFormat="1" ht="20.25" customHeight="1">
      <c r="B17" s="81"/>
      <c r="C17" s="1149" t="str">
        <f>'PSQ-SUPER'!B7</f>
        <v>7.  PLANILHA DE SERVIÇOS DE MATERIAIS E QUANTIDADES - SUPERESTRUTURA</v>
      </c>
      <c r="D17" s="1149"/>
      <c r="E17" s="1149"/>
      <c r="F17" s="1149"/>
      <c r="G17" s="1149"/>
      <c r="H17" s="1149"/>
      <c r="I17" s="1149"/>
      <c r="J17" s="1150">
        <v>139</v>
      </c>
      <c r="K17" s="83"/>
      <c r="L17" s="89"/>
    </row>
    <row r="18" spans="2:12" s="90" customFormat="1" ht="30" customHeight="1">
      <c r="B18" s="81"/>
      <c r="C18" s="1149"/>
      <c r="D18" s="1149"/>
      <c r="E18" s="1149"/>
      <c r="F18" s="1149"/>
      <c r="G18" s="1149"/>
      <c r="H18" s="1149"/>
      <c r="I18" s="1149"/>
      <c r="J18" s="1150"/>
      <c r="K18" s="83"/>
      <c r="L18" s="89"/>
    </row>
    <row r="19" spans="2:12" s="90" customFormat="1" ht="30" customHeight="1">
      <c r="B19" s="81"/>
      <c r="C19" s="1149"/>
      <c r="D19" s="1149"/>
      <c r="E19" s="1149"/>
      <c r="F19" s="1149"/>
      <c r="G19" s="1149"/>
      <c r="H19" s="1149"/>
      <c r="I19" s="1149"/>
      <c r="J19" s="94"/>
      <c r="K19" s="83"/>
      <c r="L19" s="89"/>
    </row>
    <row r="20" spans="2:12" s="90" customFormat="1" ht="30" customHeight="1">
      <c r="B20" s="81"/>
      <c r="C20" s="95"/>
      <c r="D20" s="92"/>
      <c r="E20" s="170"/>
      <c r="F20" s="93"/>
      <c r="G20" s="93"/>
      <c r="H20" s="94"/>
      <c r="I20" s="94"/>
      <c r="J20" s="94"/>
      <c r="K20" s="83"/>
      <c r="L20" s="89"/>
    </row>
    <row r="21" spans="2:12" s="90" customFormat="1" ht="30" customHeight="1">
      <c r="B21" s="81"/>
      <c r="C21" s="95"/>
      <c r="D21" s="92"/>
      <c r="E21" s="93"/>
      <c r="F21" s="93"/>
      <c r="G21" s="93"/>
      <c r="H21" s="94"/>
      <c r="I21" s="94"/>
      <c r="J21" s="94"/>
      <c r="K21" s="83"/>
      <c r="L21" s="89"/>
    </row>
    <row r="22" spans="2:12" s="90" customFormat="1" ht="30" customHeight="1">
      <c r="B22" s="81"/>
      <c r="C22" s="95"/>
      <c r="D22" s="92"/>
      <c r="E22" s="93"/>
      <c r="F22" s="93"/>
      <c r="G22" s="93"/>
      <c r="H22" s="94"/>
      <c r="I22" s="94"/>
      <c r="J22" s="94"/>
      <c r="K22" s="83"/>
      <c r="L22" s="89"/>
    </row>
    <row r="23" spans="2:12" s="90" customFormat="1" ht="30" customHeight="1">
      <c r="B23" s="81"/>
      <c r="C23" s="95"/>
      <c r="D23" s="92"/>
      <c r="E23" s="93"/>
      <c r="F23" s="93"/>
      <c r="G23" s="93"/>
      <c r="H23" s="94"/>
      <c r="I23" s="94"/>
      <c r="J23" s="94"/>
      <c r="K23" s="83"/>
      <c r="L23" s="89"/>
    </row>
    <row r="24" spans="2:12" s="90" customFormat="1" ht="30" customHeight="1">
      <c r="B24" s="81"/>
      <c r="C24" s="95"/>
      <c r="D24" s="92"/>
      <c r="E24" s="93"/>
      <c r="F24" s="93"/>
      <c r="G24" s="93"/>
      <c r="H24" s="94"/>
      <c r="I24" s="94"/>
      <c r="J24" s="94"/>
      <c r="K24" s="83"/>
      <c r="L24" s="89"/>
    </row>
    <row r="25" spans="2:12" s="90" customFormat="1" ht="30" customHeight="1">
      <c r="B25" s="81"/>
      <c r="C25" s="95"/>
      <c r="D25" s="92"/>
      <c r="E25" s="93"/>
      <c r="F25" s="93"/>
      <c r="G25" s="93"/>
      <c r="H25" s="94"/>
      <c r="I25" s="94"/>
      <c r="J25" s="94"/>
      <c r="K25" s="83"/>
      <c r="L25" s="89"/>
    </row>
    <row r="26" spans="2:12" s="90" customFormat="1" ht="30" customHeight="1">
      <c r="B26" s="81"/>
      <c r="C26" s="95"/>
      <c r="D26" s="92"/>
      <c r="E26" s="93"/>
      <c r="F26" s="93"/>
      <c r="G26" s="93"/>
      <c r="H26" s="94"/>
      <c r="I26" s="94"/>
      <c r="J26" s="94"/>
      <c r="K26" s="83"/>
      <c r="L26" s="89"/>
    </row>
    <row r="27" spans="2:12" s="90" customFormat="1" ht="30" customHeight="1">
      <c r="B27" s="81"/>
      <c r="C27" s="95"/>
      <c r="D27" s="92"/>
      <c r="E27" s="93"/>
      <c r="F27" s="93"/>
      <c r="G27" s="93"/>
      <c r="H27" s="94"/>
      <c r="I27" s="94"/>
      <c r="J27" s="94"/>
      <c r="K27" s="83"/>
      <c r="L27" s="89"/>
    </row>
    <row r="28" spans="2:12" s="90" customFormat="1" ht="30" customHeight="1">
      <c r="B28" s="81"/>
      <c r="C28" s="95"/>
      <c r="D28" s="92"/>
      <c r="E28" s="93"/>
      <c r="F28" s="93"/>
      <c r="G28" s="93"/>
      <c r="H28" s="94"/>
      <c r="I28" s="94"/>
      <c r="J28" s="94"/>
      <c r="K28" s="83"/>
      <c r="L28" s="89"/>
    </row>
    <row r="29" spans="2:12" s="90" customFormat="1" ht="30" customHeight="1">
      <c r="B29" s="81"/>
      <c r="C29" s="95"/>
      <c r="D29" s="92"/>
      <c r="E29" s="93"/>
      <c r="F29" s="93"/>
      <c r="G29" s="93"/>
      <c r="H29" s="94"/>
      <c r="I29" s="94"/>
      <c r="J29" s="94"/>
      <c r="K29" s="83"/>
      <c r="L29" s="89"/>
    </row>
    <row r="30" spans="2:12" s="90" customFormat="1" ht="30" customHeight="1">
      <c r="B30" s="81"/>
      <c r="C30" s="95"/>
      <c r="D30" s="92"/>
      <c r="E30" s="93"/>
      <c r="F30" s="93"/>
      <c r="G30" s="93"/>
      <c r="H30" s="94"/>
      <c r="I30" s="94"/>
      <c r="J30" s="94"/>
      <c r="K30" s="83"/>
      <c r="L30" s="89"/>
    </row>
    <row r="31" spans="2:12" s="90" customFormat="1" ht="30" customHeight="1">
      <c r="B31" s="81"/>
      <c r="C31" s="95"/>
      <c r="D31" s="92"/>
      <c r="E31" s="93"/>
      <c r="F31" s="93"/>
      <c r="G31" s="93"/>
      <c r="H31" s="94"/>
      <c r="I31" s="94"/>
      <c r="J31" s="94"/>
      <c r="K31" s="83"/>
      <c r="L31" s="89"/>
    </row>
    <row r="32" spans="2:12" s="90" customFormat="1" ht="30" customHeight="1">
      <c r="B32" s="81"/>
      <c r="C32" s="95"/>
      <c r="D32" s="92"/>
      <c r="E32" s="93"/>
      <c r="F32" s="93"/>
      <c r="G32" s="93"/>
      <c r="H32" s="94"/>
      <c r="I32" s="94"/>
      <c r="J32" s="94"/>
      <c r="K32" s="83"/>
      <c r="L32" s="89"/>
    </row>
    <row r="33" spans="2:12" s="90" customFormat="1" ht="30" customHeight="1">
      <c r="B33" s="81"/>
      <c r="C33" s="95"/>
      <c r="D33" s="92"/>
      <c r="E33" s="93"/>
      <c r="F33" s="93"/>
      <c r="G33" s="93"/>
      <c r="H33" s="94"/>
      <c r="I33" s="94"/>
      <c r="J33" s="94"/>
      <c r="K33" s="83"/>
      <c r="L33" s="89"/>
    </row>
    <row r="34" spans="2:12" s="90" customFormat="1" ht="30" customHeight="1">
      <c r="B34" s="81"/>
      <c r="C34" s="95"/>
      <c r="D34" s="92"/>
      <c r="E34" s="93"/>
      <c r="F34" s="93"/>
      <c r="G34" s="93"/>
      <c r="H34" s="94"/>
      <c r="I34" s="94"/>
      <c r="J34" s="94"/>
      <c r="K34" s="83"/>
      <c r="L34" s="89"/>
    </row>
    <row r="35" spans="2:12" s="90" customFormat="1" ht="30" customHeight="1">
      <c r="B35" s="81"/>
      <c r="C35" s="95"/>
      <c r="D35" s="92"/>
      <c r="E35" s="93"/>
      <c r="F35" s="93"/>
      <c r="G35" s="93"/>
      <c r="H35" s="94"/>
      <c r="I35" s="94"/>
      <c r="J35" s="94"/>
      <c r="K35" s="83"/>
      <c r="L35" s="89"/>
    </row>
    <row r="36" spans="2:12" s="90" customFormat="1" ht="30" customHeight="1">
      <c r="B36" s="81"/>
      <c r="C36" s="95"/>
      <c r="D36" s="92"/>
      <c r="E36" s="93"/>
      <c r="F36" s="93"/>
      <c r="G36" s="93"/>
      <c r="H36" s="94"/>
      <c r="I36" s="94"/>
      <c r="J36" s="94"/>
      <c r="K36" s="83"/>
      <c r="L36" s="89"/>
    </row>
    <row r="37" spans="2:12" s="90" customFormat="1" ht="30" customHeight="1">
      <c r="B37" s="81"/>
      <c r="C37" s="95"/>
      <c r="D37" s="92"/>
      <c r="E37" s="93"/>
      <c r="F37" s="93"/>
      <c r="G37" s="93"/>
      <c r="H37" s="94"/>
      <c r="I37" s="94"/>
      <c r="J37" s="94"/>
      <c r="K37" s="83"/>
      <c r="L37" s="89"/>
    </row>
    <row r="38" spans="2:12" s="90" customFormat="1" ht="30" customHeight="1">
      <c r="B38" s="81"/>
      <c r="C38" s="95"/>
      <c r="D38" s="92"/>
      <c r="E38" s="93"/>
      <c r="F38" s="93"/>
      <c r="G38" s="93"/>
      <c r="H38" s="94"/>
      <c r="I38" s="94"/>
      <c r="J38" s="94"/>
      <c r="K38" s="83"/>
      <c r="L38" s="89"/>
    </row>
    <row r="39" spans="2:12" s="90" customFormat="1" ht="30" customHeight="1">
      <c r="B39" s="81"/>
      <c r="C39" s="95"/>
      <c r="D39" s="92"/>
      <c r="E39" s="93"/>
      <c r="F39" s="93"/>
      <c r="G39" s="93"/>
      <c r="H39" s="94"/>
      <c r="I39" s="94"/>
      <c r="J39" s="94"/>
      <c r="K39" s="83"/>
      <c r="L39" s="89"/>
    </row>
    <row r="40" spans="2:12" s="90" customFormat="1" ht="30" customHeight="1">
      <c r="B40" s="81"/>
      <c r="C40" s="95"/>
      <c r="D40" s="92"/>
      <c r="E40" s="93"/>
      <c r="F40" s="93"/>
      <c r="G40" s="93"/>
      <c r="H40" s="94"/>
      <c r="I40" s="94"/>
      <c r="J40" s="94"/>
      <c r="K40" s="83"/>
      <c r="L40" s="89"/>
    </row>
    <row r="41" spans="2:12" s="90" customFormat="1" ht="30" customHeight="1">
      <c r="B41" s="81"/>
      <c r="C41" s="95"/>
      <c r="D41" s="92"/>
      <c r="E41" s="93"/>
      <c r="F41" s="93"/>
      <c r="G41" s="93"/>
      <c r="H41" s="94"/>
      <c r="I41" s="94"/>
      <c r="J41" s="94"/>
      <c r="K41" s="83"/>
      <c r="L41" s="89"/>
    </row>
    <row r="42" spans="2:12" s="90" customFormat="1" ht="30" customHeight="1">
      <c r="B42" s="81"/>
      <c r="C42" s="95"/>
      <c r="D42" s="92"/>
      <c r="E42" s="93"/>
      <c r="F42" s="93"/>
      <c r="G42" s="93"/>
      <c r="H42" s="94"/>
      <c r="I42" s="94"/>
      <c r="J42" s="94"/>
      <c r="K42" s="83"/>
      <c r="L42" s="89"/>
    </row>
    <row r="43" spans="2:12" s="90" customFormat="1" ht="30" customHeight="1">
      <c r="B43" s="81"/>
      <c r="C43" s="95"/>
      <c r="D43" s="92"/>
      <c r="E43" s="93"/>
      <c r="F43" s="93"/>
      <c r="G43" s="93"/>
      <c r="H43" s="94"/>
      <c r="I43" s="94"/>
      <c r="J43" s="94"/>
      <c r="K43" s="83"/>
      <c r="L43" s="89"/>
    </row>
    <row r="44" spans="2:12" s="90" customFormat="1" ht="30" customHeight="1">
      <c r="B44" s="81"/>
      <c r="C44" s="95"/>
      <c r="D44" s="92"/>
      <c r="E44" s="93"/>
      <c r="F44" s="93"/>
      <c r="G44" s="93"/>
      <c r="H44" s="94"/>
      <c r="I44" s="94"/>
      <c r="J44" s="94"/>
      <c r="K44" s="83"/>
      <c r="L44" s="89"/>
    </row>
    <row r="45" spans="2:12" s="90" customFormat="1" ht="30" customHeight="1">
      <c r="B45" s="81"/>
      <c r="C45" s="95"/>
      <c r="D45" s="92"/>
      <c r="E45" s="93"/>
      <c r="F45" s="93"/>
      <c r="G45" s="93"/>
      <c r="H45" s="94"/>
      <c r="I45" s="94"/>
      <c r="J45" s="94"/>
      <c r="K45" s="83"/>
      <c r="L45" s="89"/>
    </row>
    <row r="46" spans="2:12" s="90" customFormat="1" ht="30" customHeight="1">
      <c r="B46" s="81"/>
      <c r="C46" s="95"/>
      <c r="D46" s="92"/>
      <c r="E46" s="93"/>
      <c r="F46" s="93"/>
      <c r="G46" s="93"/>
      <c r="H46" s="94"/>
      <c r="I46" s="94"/>
      <c r="J46" s="94"/>
      <c r="K46" s="83"/>
      <c r="L46" s="89"/>
    </row>
    <row r="47" spans="2:12" s="90" customFormat="1" ht="30" customHeight="1">
      <c r="B47" s="81"/>
      <c r="C47" s="95"/>
      <c r="D47" s="92"/>
      <c r="E47" s="93"/>
      <c r="F47" s="93"/>
      <c r="G47" s="93"/>
      <c r="H47" s="94"/>
      <c r="I47" s="94"/>
      <c r="J47" s="94"/>
      <c r="K47" s="83"/>
      <c r="L47" s="89"/>
    </row>
    <row r="48" spans="2:12" s="90" customFormat="1" ht="30" customHeight="1">
      <c r="B48" s="81"/>
      <c r="C48" s="95"/>
      <c r="D48" s="92"/>
      <c r="E48" s="93"/>
      <c r="F48" s="93"/>
      <c r="G48" s="93"/>
      <c r="H48" s="94"/>
      <c r="I48" s="94"/>
      <c r="J48" s="94"/>
      <c r="K48" s="83"/>
      <c r="L48" s="89"/>
    </row>
    <row r="49" spans="2:12" s="90" customFormat="1" ht="30" customHeight="1">
      <c r="B49" s="81"/>
      <c r="C49" s="95"/>
      <c r="D49" s="92"/>
      <c r="E49" s="93"/>
      <c r="F49" s="93"/>
      <c r="G49" s="93"/>
      <c r="H49" s="94"/>
      <c r="I49" s="94"/>
      <c r="J49" s="94"/>
      <c r="K49" s="83"/>
      <c r="L49" s="89"/>
    </row>
    <row r="50" spans="2:12" s="90" customFormat="1" ht="30" customHeight="1">
      <c r="B50" s="81"/>
      <c r="C50" s="95"/>
      <c r="D50" s="92"/>
      <c r="E50" s="93"/>
      <c r="F50" s="93"/>
      <c r="G50" s="93"/>
      <c r="H50" s="94"/>
      <c r="I50" s="94"/>
      <c r="J50" s="94"/>
      <c r="K50" s="83"/>
      <c r="L50" s="89"/>
    </row>
    <row r="51" spans="2:12" s="90" customFormat="1" ht="30" customHeight="1">
      <c r="B51" s="81"/>
      <c r="C51" s="95"/>
      <c r="D51" s="92"/>
      <c r="E51" s="93"/>
      <c r="F51" s="93"/>
      <c r="G51" s="93"/>
      <c r="H51" s="94"/>
      <c r="I51" s="94"/>
      <c r="J51" s="94"/>
      <c r="K51" s="83"/>
      <c r="L51" s="89"/>
    </row>
    <row r="52" spans="2:12" s="124" customFormat="1" ht="30" customHeight="1">
      <c r="B52" s="81"/>
      <c r="C52" s="95"/>
      <c r="D52" s="92"/>
      <c r="E52" s="93"/>
      <c r="F52" s="93"/>
      <c r="G52" s="93"/>
      <c r="H52" s="94"/>
      <c r="I52" s="94"/>
      <c r="J52" s="94"/>
      <c r="K52" s="83"/>
      <c r="L52" s="89"/>
    </row>
    <row r="53" spans="2:12" s="125" customFormat="1" ht="19.5" customHeight="1">
      <c r="B53" s="81"/>
      <c r="C53" s="81"/>
      <c r="D53" s="81"/>
      <c r="E53" s="81"/>
      <c r="F53" s="81"/>
      <c r="G53" s="81"/>
      <c r="H53" s="82"/>
      <c r="I53" s="82"/>
      <c r="J53" s="82"/>
      <c r="K53" s="83"/>
      <c r="L53" s="84"/>
    </row>
    <row r="54" spans="2:12" s="124" customFormat="1" ht="30" customHeight="1">
      <c r="B54" s="81"/>
      <c r="C54" s="95"/>
      <c r="D54" s="92"/>
      <c r="E54" s="93"/>
      <c r="F54" s="93"/>
      <c r="G54" s="93"/>
      <c r="H54" s="94"/>
      <c r="I54" s="94"/>
      <c r="J54" s="94"/>
      <c r="K54" s="83"/>
      <c r="L54" s="89"/>
    </row>
    <row r="55" spans="2:12" ht="15" customHeight="1">
      <c r="B55" s="81"/>
      <c r="K55" s="83"/>
    </row>
    <row r="56" spans="2:12" ht="15" customHeight="1">
      <c r="B56" s="81"/>
      <c r="K56" s="83"/>
    </row>
    <row r="57" spans="2:12" ht="15" customHeight="1">
      <c r="B57" s="81"/>
      <c r="K57" s="83"/>
    </row>
    <row r="58" spans="2:12" ht="15" customHeight="1">
      <c r="B58" s="81"/>
      <c r="K58" s="83"/>
    </row>
    <row r="59" spans="2:12" ht="15" customHeight="1">
      <c r="B59" s="81"/>
      <c r="K59" s="83"/>
    </row>
    <row r="60" spans="2:12" ht="15" customHeight="1">
      <c r="B60" s="81"/>
      <c r="K60" s="83"/>
    </row>
    <row r="61" spans="2:12" ht="15" customHeight="1">
      <c r="B61" s="81"/>
      <c r="K61" s="83"/>
    </row>
    <row r="62" spans="2:12" ht="15" customHeight="1">
      <c r="B62" s="81"/>
      <c r="K62" s="83"/>
    </row>
    <row r="63" spans="2:12" ht="15" customHeight="1">
      <c r="B63" s="81"/>
      <c r="K63" s="83"/>
    </row>
    <row r="64" spans="2:12" ht="15" customHeight="1">
      <c r="B64" s="81"/>
      <c r="K64" s="83"/>
    </row>
    <row r="65" spans="1:11" ht="15" customHeight="1">
      <c r="B65" s="81"/>
      <c r="K65" s="83"/>
    </row>
    <row r="66" spans="1:11" ht="15" customHeight="1">
      <c r="B66" s="81"/>
      <c r="K66" s="83"/>
    </row>
    <row r="67" spans="1:11" s="84" customFormat="1" ht="15" customHeight="1">
      <c r="A67" s="85"/>
      <c r="B67" s="81"/>
      <c r="C67" s="81"/>
      <c r="D67" s="81"/>
      <c r="E67" s="81"/>
      <c r="F67" s="81"/>
      <c r="G67" s="81"/>
      <c r="H67" s="82"/>
      <c r="I67" s="82"/>
      <c r="J67" s="82"/>
      <c r="K67" s="83"/>
    </row>
    <row r="68" spans="1:11" s="84" customFormat="1">
      <c r="A68" s="85"/>
      <c r="B68" s="81"/>
      <c r="C68" s="81"/>
      <c r="D68" s="81"/>
      <c r="E68" s="81"/>
      <c r="F68" s="81"/>
      <c r="G68" s="81"/>
      <c r="H68" s="82"/>
      <c r="I68" s="82"/>
      <c r="J68" s="82"/>
      <c r="K68" s="5"/>
    </row>
    <row r="69" spans="1:11">
      <c r="B69" s="5"/>
      <c r="K69" s="5"/>
    </row>
    <row r="70" spans="1:11">
      <c r="B70" s="5"/>
      <c r="K70" s="5"/>
    </row>
    <row r="71" spans="1:11">
      <c r="B71" s="5"/>
      <c r="K71" s="5"/>
    </row>
    <row r="72" spans="1:11">
      <c r="B72" s="5"/>
      <c r="K72" s="5"/>
    </row>
    <row r="73" spans="1:11">
      <c r="B73" s="5"/>
      <c r="K73" s="5"/>
    </row>
    <row r="74" spans="1:11">
      <c r="B74" s="5"/>
      <c r="K74" s="5"/>
    </row>
    <row r="75" spans="1:11">
      <c r="B75" s="5"/>
      <c r="K75" s="5"/>
    </row>
    <row r="76" spans="1:11">
      <c r="B76" s="5"/>
      <c r="K76" s="5"/>
    </row>
    <row r="77" spans="1:11">
      <c r="B77" s="5"/>
      <c r="K77" s="5"/>
    </row>
    <row r="78" spans="1:11">
      <c r="B78" s="5"/>
      <c r="K78" s="5"/>
    </row>
    <row r="79" spans="1:11">
      <c r="B79" s="5"/>
      <c r="K79" s="5"/>
    </row>
    <row r="80" spans="1:11">
      <c r="B80" s="5"/>
      <c r="K80" s="5"/>
    </row>
    <row r="81" spans="2:11">
      <c r="B81" s="5"/>
      <c r="K81" s="5"/>
    </row>
    <row r="82" spans="2:11">
      <c r="B82" s="5"/>
      <c r="K82" s="5"/>
    </row>
    <row r="83" spans="2:11">
      <c r="B83" s="5"/>
      <c r="K83" s="5"/>
    </row>
    <row r="84" spans="2:11">
      <c r="B84" s="5"/>
      <c r="K84" s="5"/>
    </row>
    <row r="85" spans="2:11">
      <c r="B85" s="5"/>
      <c r="K85" s="5"/>
    </row>
    <row r="86" spans="2:11">
      <c r="B86" s="5"/>
      <c r="K86" s="5"/>
    </row>
    <row r="87" spans="2:11">
      <c r="B87" s="5"/>
      <c r="K87" s="5"/>
    </row>
    <row r="88" spans="2:11">
      <c r="B88" s="5"/>
      <c r="K88" s="5"/>
    </row>
    <row r="89" spans="2:11">
      <c r="B89" s="5"/>
      <c r="K89" s="5"/>
    </row>
    <row r="90" spans="2:11">
      <c r="B90" s="5"/>
      <c r="K90" s="5"/>
    </row>
  </sheetData>
  <mergeCells count="14">
    <mergeCell ref="C15:I16"/>
    <mergeCell ref="J15:J16"/>
    <mergeCell ref="C17:I19"/>
    <mergeCell ref="J17:J18"/>
    <mergeCell ref="D2:G2"/>
    <mergeCell ref="B6:K6"/>
    <mergeCell ref="B8:K8"/>
    <mergeCell ref="B3:G5"/>
    <mergeCell ref="H3:I3"/>
    <mergeCell ref="J3:K3"/>
    <mergeCell ref="H4:I4"/>
    <mergeCell ref="J4:K4"/>
    <mergeCell ref="H5:I5"/>
    <mergeCell ref="J5:K5"/>
  </mergeCells>
  <printOptions horizontalCentered="1"/>
  <pageMargins left="0.99555118110236229" right="0.35433070866141736" top="0.31496062992125984" bottom="0.39370078740157483" header="0.39370078740157483" footer="0.31496062992125984"/>
  <pageSetup scale="49" fitToHeight="30" orientation="portrait" r:id="rId1"/>
  <headerFooter alignWithMargins="0">
    <oddHeader xml:space="preserve">&amp;L&amp;G&amp;C&amp;"Arial,Negrito"&amp;12AEROPORTO INTERNACIONAL DE 
FLORIANÓPOLIS HERCÍLIO LUZ&amp;R&amp;G             &amp;12&amp;P / &amp;N &amp;10  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86"/>
  <sheetViews>
    <sheetView showGridLines="0" view="pageBreakPreview" zoomScale="80" zoomScaleNormal="100" zoomScaleSheetLayoutView="80" workbookViewId="0">
      <pane ySplit="7" topLeftCell="A8" activePane="bottomLeft" state="frozen"/>
      <selection pane="bottomLeft" activeCell="C18" sqref="C18"/>
    </sheetView>
  </sheetViews>
  <sheetFormatPr defaultRowHeight="12.75"/>
  <cols>
    <col min="1" max="1" width="3.5703125" customWidth="1"/>
    <col min="2" max="2" width="9" customWidth="1"/>
    <col min="3" max="3" width="32.7109375" style="81" customWidth="1"/>
    <col min="4" max="4" width="17.5703125" style="81" customWidth="1"/>
    <col min="5" max="5" width="5.7109375" style="81" customWidth="1"/>
    <col min="6" max="7" width="16.42578125" style="81" customWidth="1"/>
    <col min="8" max="10" width="19.5703125" style="82" customWidth="1"/>
    <col min="11" max="11" width="7.140625" customWidth="1"/>
    <col min="12" max="12" width="2" style="84" customWidth="1"/>
    <col min="13" max="16384" width="9.140625" style="85"/>
  </cols>
  <sheetData>
    <row r="1" spans="1:12" customFormat="1" ht="13.5" thickBot="1">
      <c r="A1" s="85"/>
      <c r="B1" s="81"/>
      <c r="C1" s="81"/>
      <c r="D1" s="81"/>
      <c r="E1" s="81"/>
      <c r="F1" s="81"/>
      <c r="G1" s="81"/>
      <c r="H1" s="82"/>
      <c r="I1" s="82"/>
      <c r="J1" s="82"/>
      <c r="K1" s="83"/>
    </row>
    <row r="2" spans="1:12" customFormat="1" ht="55.5" customHeight="1" thickTop="1" thickBot="1">
      <c r="A2" s="12"/>
      <c r="B2" s="131"/>
      <c r="C2" s="123"/>
      <c r="D2" s="1175"/>
      <c r="E2" s="1175"/>
      <c r="F2" s="1175"/>
      <c r="G2" s="1175"/>
      <c r="H2" s="132"/>
      <c r="I2" s="132"/>
      <c r="J2" s="134"/>
      <c r="K2" s="133"/>
      <c r="L2" s="10"/>
    </row>
    <row r="3" spans="1:12" s="9" customFormat="1" ht="18.75" customHeight="1" thickTop="1">
      <c r="B3" s="1157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158"/>
      <c r="D3" s="1158"/>
      <c r="E3" s="1158"/>
      <c r="F3" s="1158"/>
      <c r="G3" s="1158"/>
      <c r="H3" s="1163" t="s">
        <v>0</v>
      </c>
      <c r="I3" s="1164"/>
      <c r="J3" s="1164" t="str">
        <f>CAPA!C34</f>
        <v>1210/00-IF-PQ-3001</v>
      </c>
      <c r="K3" s="1165" t="str">
        <f>CAPA!I34</f>
        <v>ENG. LUIZ ROBERTO PEREIRA</v>
      </c>
    </row>
    <row r="4" spans="1:12" s="9" customFormat="1" ht="18.75" customHeight="1">
      <c r="B4" s="1159"/>
      <c r="C4" s="1160"/>
      <c r="D4" s="1160"/>
      <c r="E4" s="1160"/>
      <c r="F4" s="1160"/>
      <c r="G4" s="1160"/>
      <c r="H4" s="1166" t="s">
        <v>1</v>
      </c>
      <c r="I4" s="1167"/>
      <c r="J4" s="1167" t="str">
        <f>CAPA!J55</f>
        <v>FL.01/302.88/04539/02</v>
      </c>
      <c r="K4" s="1168">
        <f>CAPA!P55</f>
        <v>0</v>
      </c>
    </row>
    <row r="5" spans="1:12" s="9" customFormat="1" ht="18.75" customHeight="1" thickBot="1">
      <c r="B5" s="1161"/>
      <c r="C5" s="1162"/>
      <c r="D5" s="1162"/>
      <c r="E5" s="1162"/>
      <c r="F5" s="1162"/>
      <c r="G5" s="1162"/>
      <c r="H5" s="1169" t="s">
        <v>2</v>
      </c>
      <c r="I5" s="1170"/>
      <c r="J5" s="1171">
        <f>CAPA!K19</f>
        <v>40992</v>
      </c>
      <c r="K5" s="1172">
        <f>CAPA!W34</f>
        <v>0</v>
      </c>
    </row>
    <row r="6" spans="1:12" s="9" customFormat="1" ht="42.75" customHeight="1" thickTop="1" thickBot="1">
      <c r="B6" s="1153" t="s">
        <v>1993</v>
      </c>
      <c r="C6" s="1154"/>
      <c r="D6" s="1154"/>
      <c r="E6" s="1154"/>
      <c r="F6" s="1154"/>
      <c r="G6" s="1154"/>
      <c r="H6" s="1154"/>
      <c r="I6" s="1154"/>
      <c r="J6" s="1154"/>
      <c r="K6" s="1155"/>
    </row>
    <row r="7" spans="1:12" s="9" customFormat="1" ht="38.25" customHeight="1" thickTop="1">
      <c r="B7" s="122"/>
      <c r="C7" s="122"/>
      <c r="D7" s="122"/>
      <c r="E7" s="122"/>
      <c r="F7" s="122"/>
      <c r="G7" s="122"/>
      <c r="H7" s="122"/>
      <c r="I7" s="122"/>
      <c r="J7" s="122"/>
      <c r="K7" s="122"/>
    </row>
    <row r="8" spans="1:12" s="86" customFormat="1" ht="36.75" customHeight="1">
      <c r="B8" s="110" t="s">
        <v>54</v>
      </c>
      <c r="C8" s="121"/>
      <c r="D8" s="104"/>
      <c r="E8" s="104"/>
      <c r="F8" s="104"/>
      <c r="G8" s="104"/>
      <c r="H8" s="104"/>
      <c r="I8" s="104"/>
      <c r="J8" s="104"/>
      <c r="K8" s="91"/>
      <c r="L8" s="87"/>
    </row>
    <row r="9" spans="1:12" ht="116.25" customHeight="1">
      <c r="A9" s="85"/>
      <c r="B9" s="100"/>
      <c r="C9" s="1176" t="s">
        <v>1426</v>
      </c>
      <c r="D9" s="1176"/>
      <c r="E9" s="1176"/>
      <c r="F9" s="1176"/>
      <c r="G9" s="1176"/>
      <c r="H9" s="1176"/>
      <c r="I9" s="1176"/>
      <c r="J9" s="1176"/>
      <c r="K9" s="98"/>
      <c r="L9" s="88"/>
    </row>
    <row r="10" spans="1:12" ht="36.75" customHeight="1">
      <c r="A10" s="85"/>
      <c r="B10" s="100"/>
      <c r="C10" s="171"/>
      <c r="D10" s="170"/>
      <c r="E10" s="170"/>
      <c r="F10" s="170"/>
      <c r="G10" s="170"/>
      <c r="H10" s="170"/>
      <c r="I10" s="170"/>
      <c r="J10" s="170"/>
      <c r="K10" s="98"/>
      <c r="L10" s="88"/>
    </row>
    <row r="11" spans="1:12" s="86" customFormat="1" ht="18.75" customHeight="1">
      <c r="B11" s="104"/>
      <c r="D11" s="104"/>
      <c r="E11" s="104"/>
      <c r="F11" s="104"/>
      <c r="G11" s="104"/>
      <c r="H11" s="104"/>
      <c r="I11" s="104"/>
      <c r="J11" s="104"/>
      <c r="K11" s="91"/>
      <c r="L11" s="87"/>
    </row>
    <row r="12" spans="1:12" s="86" customFormat="1" ht="36.75" customHeight="1">
      <c r="B12" s="110" t="s">
        <v>55</v>
      </c>
      <c r="C12" s="121"/>
      <c r="D12" s="104"/>
      <c r="E12" s="104"/>
      <c r="F12" s="104"/>
      <c r="G12" s="104"/>
      <c r="H12" s="104"/>
      <c r="I12" s="104"/>
      <c r="J12" s="104"/>
      <c r="K12" s="91"/>
      <c r="L12" s="87"/>
    </row>
    <row r="13" spans="1:12" ht="70.5" customHeight="1">
      <c r="A13" s="85"/>
      <c r="B13" s="100"/>
      <c r="C13" s="1176" t="s">
        <v>58</v>
      </c>
      <c r="D13" s="1176"/>
      <c r="E13" s="1176"/>
      <c r="F13" s="1176"/>
      <c r="G13" s="1176"/>
      <c r="H13" s="1176"/>
      <c r="I13" s="1176"/>
      <c r="J13" s="1176"/>
      <c r="K13" s="98"/>
      <c r="L13" s="88"/>
    </row>
    <row r="14" spans="1:12" s="86" customFormat="1" ht="18.75" customHeight="1">
      <c r="B14" s="104"/>
      <c r="C14" s="104"/>
      <c r="D14" s="104"/>
      <c r="E14" s="104"/>
      <c r="F14" s="104"/>
      <c r="G14" s="104"/>
      <c r="H14" s="104"/>
      <c r="I14" s="104"/>
      <c r="J14" s="104"/>
      <c r="K14" s="91"/>
      <c r="L14" s="87"/>
    </row>
    <row r="15" spans="1:12" ht="20.100000000000001" customHeight="1">
      <c r="A15" s="85"/>
      <c r="B15" s="100"/>
      <c r="C15" s="161" t="s">
        <v>79</v>
      </c>
      <c r="D15" s="159"/>
      <c r="E15" s="159"/>
      <c r="F15" s="159"/>
      <c r="G15" s="159"/>
      <c r="H15" s="159"/>
      <c r="I15" s="159"/>
      <c r="J15" s="159"/>
      <c r="K15" s="98"/>
      <c r="L15" s="88"/>
    </row>
    <row r="16" spans="1:12" ht="20.100000000000001" customHeight="1">
      <c r="A16" s="85"/>
      <c r="B16" s="100"/>
      <c r="C16" s="161"/>
      <c r="D16" s="159"/>
      <c r="E16" s="159"/>
      <c r="F16" s="159"/>
      <c r="G16" s="159"/>
      <c r="H16" s="159"/>
      <c r="I16" s="159"/>
      <c r="J16" s="159"/>
      <c r="K16" s="98"/>
      <c r="L16" s="88"/>
    </row>
    <row r="17" spans="1:12" ht="24.95" customHeight="1">
      <c r="A17" s="85"/>
      <c r="B17" s="100"/>
      <c r="C17" s="161" t="s">
        <v>1804</v>
      </c>
      <c r="D17" s="159"/>
      <c r="E17" s="159"/>
      <c r="F17" s="159"/>
      <c r="G17" s="159"/>
      <c r="H17" s="159"/>
      <c r="I17" s="159"/>
      <c r="J17" s="159"/>
      <c r="K17" s="98"/>
      <c r="L17" s="88"/>
    </row>
    <row r="18" spans="1:12" ht="24.95" customHeight="1">
      <c r="A18" s="85"/>
      <c r="B18" s="100"/>
      <c r="C18" s="682" t="s">
        <v>1084</v>
      </c>
      <c r="D18" s="683"/>
      <c r="E18" s="683"/>
      <c r="F18" s="683"/>
      <c r="G18" s="683"/>
      <c r="H18" s="683"/>
      <c r="I18" s="683"/>
      <c r="J18" s="159"/>
      <c r="K18" s="98"/>
      <c r="L18" s="88"/>
    </row>
    <row r="19" spans="1:12" s="86" customFormat="1" ht="18.75" customHeight="1">
      <c r="B19" s="104"/>
      <c r="C19" s="160"/>
      <c r="D19" s="160"/>
      <c r="E19" s="160"/>
      <c r="F19" s="160"/>
      <c r="G19" s="160"/>
      <c r="H19" s="160"/>
      <c r="I19" s="160"/>
      <c r="J19" s="160"/>
      <c r="K19" s="91"/>
      <c r="L19" s="87"/>
    </row>
    <row r="20" spans="1:12" s="86" customFormat="1" ht="18.75" customHeight="1">
      <c r="B20" s="104"/>
      <c r="C20" s="104"/>
      <c r="D20" s="104"/>
      <c r="E20" s="104"/>
      <c r="F20" s="104"/>
      <c r="G20" s="104"/>
      <c r="H20" s="104"/>
      <c r="I20" s="104"/>
      <c r="J20" s="104"/>
      <c r="K20" s="91"/>
      <c r="L20" s="87"/>
    </row>
    <row r="21" spans="1:12" s="86" customFormat="1" ht="36.75" customHeight="1">
      <c r="B21" s="110" t="s">
        <v>56</v>
      </c>
      <c r="C21" s="121"/>
      <c r="D21" s="104"/>
      <c r="E21" s="104"/>
      <c r="F21" s="104"/>
      <c r="G21" s="104"/>
      <c r="H21" s="104"/>
      <c r="I21" s="104"/>
      <c r="J21" s="104"/>
      <c r="K21" s="91"/>
      <c r="L21" s="87"/>
    </row>
    <row r="22" spans="1:12" ht="75" customHeight="1">
      <c r="A22" s="85"/>
      <c r="B22" s="100"/>
      <c r="C22" s="1176" t="s">
        <v>59</v>
      </c>
      <c r="D22" s="1176"/>
      <c r="E22" s="1176"/>
      <c r="F22" s="1176"/>
      <c r="G22" s="1176"/>
      <c r="H22" s="1176"/>
      <c r="I22" s="1176"/>
      <c r="J22" s="1176"/>
      <c r="K22" s="98"/>
      <c r="L22" s="88"/>
    </row>
    <row r="23" spans="1:12" ht="60" customHeight="1">
      <c r="A23" s="85"/>
      <c r="B23" s="100"/>
      <c r="C23" s="1174" t="s">
        <v>80</v>
      </c>
      <c r="D23" s="1174"/>
      <c r="E23" s="1174"/>
      <c r="F23" s="1174"/>
      <c r="G23" s="1174"/>
      <c r="H23" s="1174"/>
      <c r="I23" s="1174"/>
      <c r="J23" s="1174"/>
      <c r="K23" s="98"/>
      <c r="L23" s="88"/>
    </row>
    <row r="24" spans="1:12" ht="24.95" customHeight="1">
      <c r="A24" s="85"/>
      <c r="B24" s="100"/>
      <c r="C24" s="161" t="s">
        <v>1805</v>
      </c>
      <c r="D24" s="159"/>
      <c r="E24" s="159"/>
      <c r="F24" s="159"/>
      <c r="G24" s="159"/>
      <c r="H24" s="159"/>
      <c r="I24" s="159"/>
      <c r="J24" s="158"/>
      <c r="K24" s="98"/>
      <c r="L24" s="88"/>
    </row>
    <row r="25" spans="1:12" ht="24.95" customHeight="1">
      <c r="A25" s="85"/>
      <c r="B25" s="100"/>
      <c r="C25" s="682" t="s">
        <v>1085</v>
      </c>
      <c r="D25" s="683"/>
      <c r="E25" s="683"/>
      <c r="F25" s="683"/>
      <c r="G25" s="683"/>
      <c r="H25" s="683"/>
      <c r="I25" s="159"/>
      <c r="J25" s="531"/>
      <c r="K25" s="98"/>
      <c r="L25" s="88"/>
    </row>
    <row r="26" spans="1:12" ht="18.399999999999999" customHeight="1">
      <c r="A26" s="85"/>
      <c r="B26" s="100"/>
      <c r="C26" s="161"/>
      <c r="D26" s="159"/>
      <c r="E26" s="159"/>
      <c r="F26" s="159"/>
      <c r="G26" s="159"/>
      <c r="H26" s="159"/>
      <c r="I26" s="159"/>
      <c r="J26" s="158"/>
      <c r="K26" s="98"/>
      <c r="L26" s="88"/>
    </row>
    <row r="27" spans="1:12" ht="18.399999999999999" customHeight="1">
      <c r="A27" s="85"/>
      <c r="B27" s="100"/>
      <c r="C27" s="705" t="s">
        <v>1795</v>
      </c>
      <c r="D27" s="706"/>
      <c r="E27" s="706"/>
      <c r="F27" s="707"/>
      <c r="G27" s="707"/>
      <c r="H27" s="707"/>
      <c r="I27" s="707"/>
      <c r="J27" s="708"/>
      <c r="K27" s="98"/>
      <c r="L27" s="88"/>
    </row>
    <row r="28" spans="1:12" ht="24.75" customHeight="1">
      <c r="A28" s="85"/>
      <c r="B28" s="100"/>
      <c r="C28" s="709"/>
      <c r="D28" s="707"/>
      <c r="E28" s="707"/>
      <c r="F28" s="707"/>
      <c r="G28" s="707"/>
      <c r="H28" s="707"/>
      <c r="I28" s="707"/>
      <c r="J28" s="708"/>
      <c r="K28" s="98"/>
      <c r="L28" s="88"/>
    </row>
    <row r="29" spans="1:12" ht="18.399999999999999" customHeight="1">
      <c r="A29" s="85"/>
      <c r="B29" s="100"/>
      <c r="C29" s="1177" t="s">
        <v>1796</v>
      </c>
      <c r="D29" s="1178"/>
      <c r="E29" s="1178"/>
      <c r="F29" s="1178"/>
      <c r="G29" s="1178"/>
      <c r="H29" s="1178"/>
      <c r="I29" s="1178"/>
      <c r="J29" s="1178"/>
      <c r="K29" s="98"/>
      <c r="L29" s="88"/>
    </row>
    <row r="30" spans="1:12" ht="21.95" customHeight="1">
      <c r="A30" s="85"/>
      <c r="B30" s="100"/>
      <c r="C30" s="1178"/>
      <c r="D30" s="1178"/>
      <c r="E30" s="1178"/>
      <c r="F30" s="1178"/>
      <c r="G30" s="1178"/>
      <c r="H30" s="1178"/>
      <c r="I30" s="1178"/>
      <c r="J30" s="1178"/>
      <c r="K30" s="98"/>
      <c r="L30" s="88"/>
    </row>
    <row r="31" spans="1:12" ht="23.25" customHeight="1">
      <c r="A31" s="85"/>
      <c r="B31" s="100"/>
      <c r="C31" s="1178"/>
      <c r="D31" s="1178"/>
      <c r="E31" s="1178"/>
      <c r="F31" s="1178"/>
      <c r="G31" s="1178"/>
      <c r="H31" s="1178"/>
      <c r="I31" s="1178"/>
      <c r="J31" s="1178"/>
      <c r="K31" s="98"/>
      <c r="L31" s="88"/>
    </row>
    <row r="32" spans="1:12" ht="18.399999999999999" customHeight="1">
      <c r="A32" s="85"/>
      <c r="B32" s="100"/>
      <c r="C32" s="1178"/>
      <c r="D32" s="1178"/>
      <c r="E32" s="1178"/>
      <c r="F32" s="1178"/>
      <c r="G32" s="1178"/>
      <c r="H32" s="1178"/>
      <c r="I32" s="1178"/>
      <c r="J32" s="1178"/>
      <c r="K32" s="98"/>
      <c r="L32" s="88"/>
    </row>
    <row r="33" spans="1:12" s="97" customFormat="1" ht="18.399999999999999" customHeight="1">
      <c r="B33" s="102"/>
      <c r="C33" s="709" t="s">
        <v>1797</v>
      </c>
      <c r="D33" s="707"/>
      <c r="E33" s="707"/>
      <c r="F33" s="707"/>
      <c r="G33" s="707"/>
      <c r="H33" s="707"/>
      <c r="I33" s="707"/>
      <c r="J33" s="708"/>
      <c r="K33" s="99"/>
      <c r="L33" s="96"/>
    </row>
    <row r="34" spans="1:12" ht="18.399999999999999" customHeight="1">
      <c r="A34" s="85"/>
      <c r="B34" s="100"/>
      <c r="C34" s="709"/>
      <c r="D34" s="707"/>
      <c r="E34" s="707"/>
      <c r="F34" s="707"/>
      <c r="G34" s="707"/>
      <c r="H34" s="707"/>
      <c r="I34" s="707"/>
      <c r="J34" s="708"/>
      <c r="K34" s="83"/>
    </row>
    <row r="35" spans="1:12" ht="18.399999999999999" customHeight="1">
      <c r="A35" s="85"/>
      <c r="B35" s="100"/>
      <c r="C35" s="102"/>
      <c r="D35" s="120"/>
      <c r="E35" s="102"/>
      <c r="F35" s="102"/>
      <c r="G35" s="102"/>
      <c r="H35" s="111"/>
      <c r="I35" s="111"/>
      <c r="J35" s="108"/>
      <c r="K35" s="83"/>
    </row>
    <row r="36" spans="1:12" s="97" customFormat="1" ht="18.399999999999999" customHeight="1">
      <c r="B36" s="102"/>
      <c r="C36" s="1173" t="s">
        <v>2350</v>
      </c>
      <c r="D36" s="1173"/>
      <c r="E36" s="1173"/>
      <c r="F36" s="1173"/>
      <c r="G36" s="1173"/>
      <c r="H36" s="1173"/>
      <c r="I36" s="1173"/>
      <c r="J36" s="1173"/>
      <c r="K36" s="99"/>
      <c r="L36" s="96"/>
    </row>
    <row r="37" spans="1:12" ht="18.399999999999999" customHeight="1">
      <c r="A37" s="85"/>
      <c r="B37" s="100"/>
      <c r="C37" s="1173"/>
      <c r="D37" s="1173"/>
      <c r="E37" s="1173"/>
      <c r="F37" s="1173"/>
      <c r="G37" s="1173"/>
      <c r="H37" s="1173"/>
      <c r="I37" s="1173"/>
      <c r="J37" s="1173"/>
      <c r="K37" s="83"/>
    </row>
    <row r="38" spans="1:12" ht="18" customHeight="1">
      <c r="A38" s="85"/>
      <c r="B38" s="100"/>
      <c r="C38" s="1173"/>
      <c r="D38" s="1173"/>
      <c r="E38" s="1173"/>
      <c r="F38" s="1173"/>
      <c r="G38" s="1173"/>
      <c r="H38" s="1173"/>
      <c r="I38" s="1173"/>
      <c r="J38" s="1173"/>
      <c r="K38" s="83"/>
    </row>
    <row r="39" spans="1:12" ht="18.399999999999999" customHeight="1">
      <c r="A39" s="85"/>
      <c r="B39" s="100"/>
      <c r="C39" s="1173"/>
      <c r="D39" s="1173"/>
      <c r="E39" s="1173"/>
      <c r="F39" s="1173"/>
      <c r="G39" s="1173"/>
      <c r="H39" s="1173"/>
      <c r="I39" s="1173"/>
      <c r="J39" s="1173"/>
      <c r="K39" s="83"/>
    </row>
    <row r="40" spans="1:12" ht="18.399999999999999" customHeight="1">
      <c r="A40" s="85"/>
      <c r="B40" s="100"/>
      <c r="C40" s="100"/>
      <c r="D40" s="100"/>
      <c r="E40" s="100"/>
      <c r="F40" s="100"/>
      <c r="G40" s="100"/>
      <c r="H40" s="108"/>
      <c r="I40" s="108"/>
      <c r="J40" s="108"/>
      <c r="K40" s="83"/>
    </row>
    <row r="41" spans="1:12" ht="18.399999999999999" customHeight="1">
      <c r="A41" s="85"/>
      <c r="B41" s="100"/>
      <c r="C41" s="100"/>
      <c r="D41" s="100"/>
      <c r="E41" s="100"/>
      <c r="F41" s="100"/>
      <c r="G41" s="100"/>
      <c r="H41" s="108"/>
      <c r="I41" s="108"/>
      <c r="J41" s="108"/>
      <c r="K41" s="83"/>
    </row>
    <row r="42" spans="1:12" ht="18.399999999999999" customHeight="1">
      <c r="A42" s="85"/>
      <c r="B42" s="100"/>
      <c r="C42" s="100"/>
      <c r="D42" s="100"/>
      <c r="E42" s="100"/>
      <c r="F42" s="100"/>
      <c r="G42" s="100"/>
      <c r="H42" s="108"/>
      <c r="I42" s="108"/>
      <c r="J42" s="108"/>
      <c r="K42" s="83"/>
    </row>
    <row r="43" spans="1:12" ht="18.399999999999999" customHeight="1">
      <c r="A43" s="85"/>
      <c r="B43" s="100"/>
      <c r="C43" s="100"/>
      <c r="D43" s="100"/>
      <c r="E43" s="100"/>
      <c r="F43" s="100"/>
      <c r="G43" s="100"/>
      <c r="H43" s="108"/>
      <c r="I43" s="108"/>
      <c r="J43" s="108"/>
      <c r="K43" s="83"/>
    </row>
    <row r="44" spans="1:12" ht="18.399999999999999" customHeight="1">
      <c r="A44" s="85"/>
      <c r="B44" s="100"/>
      <c r="C44" s="100"/>
      <c r="D44" s="100"/>
      <c r="E44" s="100"/>
      <c r="F44" s="100"/>
      <c r="G44" s="100"/>
      <c r="H44" s="108"/>
      <c r="I44" s="108"/>
      <c r="J44" s="108"/>
      <c r="K44" s="83"/>
    </row>
    <row r="45" spans="1:12" ht="18.399999999999999" customHeight="1">
      <c r="A45" s="85"/>
      <c r="B45" s="100"/>
      <c r="C45" s="100"/>
      <c r="D45" s="100"/>
      <c r="E45" s="100"/>
      <c r="F45" s="100"/>
      <c r="G45" s="100"/>
      <c r="H45" s="108"/>
      <c r="I45" s="108"/>
      <c r="J45" s="108"/>
      <c r="K45" s="83"/>
    </row>
    <row r="46" spans="1:12" ht="18.399999999999999" customHeight="1">
      <c r="A46" s="85"/>
      <c r="B46" s="100"/>
      <c r="C46" s="100"/>
      <c r="D46" s="100"/>
      <c r="E46" s="100"/>
      <c r="F46" s="100"/>
      <c r="G46" s="100"/>
      <c r="H46" s="108"/>
      <c r="I46" s="108"/>
      <c r="J46" s="108"/>
      <c r="K46" s="83"/>
    </row>
    <row r="47" spans="1:12" ht="18.399999999999999" customHeight="1">
      <c r="A47" s="85"/>
      <c r="B47" s="100"/>
      <c r="C47" s="100"/>
      <c r="D47" s="100"/>
      <c r="E47" s="100"/>
      <c r="F47" s="100"/>
      <c r="G47" s="100"/>
      <c r="H47" s="108"/>
      <c r="I47" s="108"/>
      <c r="J47" s="108"/>
      <c r="K47" s="83"/>
    </row>
    <row r="48" spans="1:12" ht="18.399999999999999" customHeight="1">
      <c r="A48" s="85"/>
      <c r="B48" s="81"/>
      <c r="C48" s="100"/>
      <c r="D48" s="100"/>
      <c r="E48" s="100"/>
      <c r="F48" s="100"/>
      <c r="G48" s="100"/>
      <c r="H48" s="108"/>
      <c r="I48" s="108"/>
      <c r="K48" s="83"/>
    </row>
    <row r="49" spans="1:11" ht="19.5" customHeight="1">
      <c r="B49" s="81"/>
      <c r="C49" s="100"/>
      <c r="D49" s="100"/>
      <c r="E49" s="100"/>
      <c r="F49" s="100"/>
      <c r="G49" s="100"/>
      <c r="H49" s="108"/>
      <c r="I49" s="108"/>
      <c r="K49" s="83"/>
    </row>
    <row r="50" spans="1:11" ht="19.5" customHeight="1">
      <c r="B50" s="81"/>
      <c r="K50" s="83"/>
    </row>
    <row r="51" spans="1:11" ht="15" customHeight="1">
      <c r="B51" s="81"/>
      <c r="K51" s="83"/>
    </row>
    <row r="52" spans="1:11" ht="15" customHeight="1">
      <c r="B52" s="81"/>
      <c r="K52" s="83"/>
    </row>
    <row r="53" spans="1:11" ht="15" customHeight="1">
      <c r="B53" s="81"/>
      <c r="K53" s="83"/>
    </row>
    <row r="54" spans="1:11" ht="15" customHeight="1">
      <c r="B54" s="81"/>
      <c r="K54" s="83"/>
    </row>
    <row r="55" spans="1:11" ht="15" customHeight="1">
      <c r="B55" s="81"/>
      <c r="K55" s="83"/>
    </row>
    <row r="56" spans="1:11" ht="15" customHeight="1">
      <c r="B56" s="81"/>
      <c r="K56" s="83"/>
    </row>
    <row r="57" spans="1:11" ht="15" customHeight="1">
      <c r="B57" s="81"/>
      <c r="K57" s="83"/>
    </row>
    <row r="58" spans="1:11" ht="15" customHeight="1">
      <c r="B58" s="81"/>
      <c r="K58" s="83"/>
    </row>
    <row r="59" spans="1:11" ht="15" customHeight="1">
      <c r="B59" s="81"/>
      <c r="K59" s="83"/>
    </row>
    <row r="60" spans="1:11" ht="15" customHeight="1">
      <c r="B60" s="81"/>
      <c r="K60" s="83"/>
    </row>
    <row r="61" spans="1:11" ht="15" customHeight="1">
      <c r="B61" s="81"/>
      <c r="K61" s="83"/>
    </row>
    <row r="62" spans="1:11" ht="15" customHeight="1">
      <c r="B62" s="81"/>
      <c r="K62" s="83"/>
    </row>
    <row r="63" spans="1:11" s="84" customFormat="1" ht="15" customHeight="1">
      <c r="A63"/>
      <c r="B63" s="81"/>
      <c r="C63" s="81"/>
      <c r="D63" s="81"/>
      <c r="E63" s="81"/>
      <c r="F63" s="81"/>
      <c r="G63" s="81"/>
      <c r="H63" s="82"/>
      <c r="I63" s="82"/>
      <c r="J63" s="82"/>
      <c r="K63" s="83"/>
    </row>
    <row r="64" spans="1:11" s="84" customFormat="1">
      <c r="A64"/>
      <c r="B64" s="81"/>
      <c r="C64" s="81"/>
      <c r="D64" s="81"/>
      <c r="E64" s="81"/>
      <c r="F64" s="81"/>
      <c r="G64" s="81"/>
      <c r="H64" s="82"/>
      <c r="I64" s="82"/>
      <c r="J64" s="82"/>
      <c r="K64" s="5"/>
    </row>
    <row r="65" spans="2:11">
      <c r="B65" s="5"/>
      <c r="K65" s="5"/>
    </row>
    <row r="66" spans="2:11">
      <c r="B66" s="5"/>
      <c r="K66" s="5"/>
    </row>
    <row r="67" spans="2:11">
      <c r="B67" s="5"/>
      <c r="K67" s="5"/>
    </row>
    <row r="68" spans="2:11">
      <c r="B68" s="5"/>
      <c r="K68" s="5"/>
    </row>
    <row r="69" spans="2:11">
      <c r="B69" s="5"/>
      <c r="K69" s="5"/>
    </row>
    <row r="70" spans="2:11">
      <c r="B70" s="5"/>
      <c r="K70" s="5"/>
    </row>
    <row r="71" spans="2:11">
      <c r="B71" s="5"/>
      <c r="K71" s="5"/>
    </row>
    <row r="72" spans="2:11">
      <c r="B72" s="5"/>
      <c r="K72" s="5"/>
    </row>
    <row r="73" spans="2:11">
      <c r="B73" s="5"/>
      <c r="K73" s="5"/>
    </row>
    <row r="74" spans="2:11">
      <c r="B74" s="5"/>
      <c r="K74" s="5"/>
    </row>
    <row r="75" spans="2:11">
      <c r="B75" s="5"/>
      <c r="K75" s="5"/>
    </row>
    <row r="76" spans="2:11">
      <c r="B76" s="5"/>
      <c r="K76" s="5"/>
    </row>
    <row r="77" spans="2:11">
      <c r="B77" s="5"/>
      <c r="K77" s="5"/>
    </row>
    <row r="78" spans="2:11">
      <c r="B78" s="5"/>
      <c r="K78" s="5"/>
    </row>
    <row r="79" spans="2:11">
      <c r="B79" s="5"/>
      <c r="K79" s="5"/>
    </row>
    <row r="80" spans="2:11">
      <c r="B80" s="5"/>
      <c r="K80" s="5"/>
    </row>
    <row r="81" spans="2:11">
      <c r="B81" s="5"/>
      <c r="K81" s="5"/>
    </row>
    <row r="82" spans="2:11">
      <c r="B82" s="5"/>
      <c r="K82" s="5"/>
    </row>
    <row r="83" spans="2:11">
      <c r="B83" s="5"/>
      <c r="K83" s="5"/>
    </row>
    <row r="84" spans="2:11">
      <c r="B84" s="5"/>
      <c r="K84" s="5"/>
    </row>
    <row r="85" spans="2:11">
      <c r="B85" s="5"/>
      <c r="K85" s="5"/>
    </row>
    <row r="86" spans="2:11">
      <c r="B86" s="5"/>
      <c r="K86" s="5"/>
    </row>
  </sheetData>
  <mergeCells count="15">
    <mergeCell ref="C36:J39"/>
    <mergeCell ref="C23:J23"/>
    <mergeCell ref="D2:G2"/>
    <mergeCell ref="B3:G5"/>
    <mergeCell ref="H3:I3"/>
    <mergeCell ref="J3:K3"/>
    <mergeCell ref="H4:I4"/>
    <mergeCell ref="J4:K4"/>
    <mergeCell ref="H5:I5"/>
    <mergeCell ref="J5:K5"/>
    <mergeCell ref="C22:J22"/>
    <mergeCell ref="B6:K6"/>
    <mergeCell ref="C9:J9"/>
    <mergeCell ref="C13:J13"/>
    <mergeCell ref="C29:J32"/>
  </mergeCells>
  <printOptions horizontalCentered="1"/>
  <pageMargins left="0.59055118110236227" right="0.39370078740157483" top="0.39370078740157483" bottom="0.39370078740157483" header="0.47244094488188981" footer="0.31496062992125984"/>
  <pageSetup scale="59" fitToHeight="30" orientation="portrait" r:id="rId1"/>
  <headerFooter alignWithMargins="0">
    <oddHeader xml:space="preserve">&amp;L&amp;G&amp;C&amp;"Arial,Negrito"&amp;12AEROPORTO INTERNACIONAL DE 
FLORIANÓPOLIS HERCÍLIO LUZ&amp;R&amp;G             &amp;12&amp;P / &amp;N   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D7400"/>
  <sheetViews>
    <sheetView tabSelected="1" view="pageBreakPreview" zoomScale="80" zoomScaleNormal="100" zoomScaleSheetLayoutView="80" workbookViewId="0">
      <selection activeCell="J1112" sqref="J1112"/>
    </sheetView>
  </sheetViews>
  <sheetFormatPr defaultRowHeight="15.75"/>
  <cols>
    <col min="1" max="1" width="3.5703125" style="118" customWidth="1"/>
    <col min="2" max="2" width="22.7109375" style="119" customWidth="1"/>
    <col min="3" max="3" width="20.7109375" style="119" customWidth="1"/>
    <col min="4" max="4" width="24.7109375" style="119" customWidth="1"/>
    <col min="5" max="5" width="21.5703125" style="119" customWidth="1"/>
    <col min="6" max="6" width="18.140625" style="119" customWidth="1"/>
    <col min="7" max="7" width="20.7109375" style="119" customWidth="1"/>
    <col min="8" max="8" width="14.85546875" style="119" customWidth="1"/>
    <col min="9" max="9" width="16.28515625" style="119" customWidth="1"/>
    <col min="10" max="10" width="28.28515625" style="119" customWidth="1"/>
    <col min="11" max="56" width="9.140625" style="114"/>
    <col min="57" max="16384" width="9.140625" style="117"/>
  </cols>
  <sheetData>
    <row r="1" spans="1:56" s="116" customFormat="1" ht="13.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</row>
    <row r="2" spans="1:56" ht="55.5" customHeight="1" thickBot="1">
      <c r="A2" s="114"/>
      <c r="B2" s="532"/>
      <c r="C2" s="532"/>
      <c r="D2" s="532"/>
      <c r="E2" s="532"/>
      <c r="F2" s="1227"/>
      <c r="G2" s="1228"/>
      <c r="H2" s="532"/>
      <c r="I2" s="532"/>
      <c r="J2" s="532"/>
    </row>
    <row r="3" spans="1:56" ht="18.75" customHeight="1" thickTop="1">
      <c r="A3" s="114"/>
      <c r="B3" s="1158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229"/>
      <c r="D3" s="1229"/>
      <c r="E3" s="1229"/>
      <c r="F3" s="1229"/>
      <c r="G3" s="1230"/>
      <c r="H3" s="1235" t="s">
        <v>0</v>
      </c>
      <c r="I3" s="1236"/>
      <c r="J3" s="533" t="str">
        <f>CAPA!C34</f>
        <v>1210/00-IF-PQ-3001</v>
      </c>
    </row>
    <row r="4" spans="1:56" ht="22.5" customHeight="1">
      <c r="A4" s="114"/>
      <c r="B4" s="1231"/>
      <c r="C4" s="1231"/>
      <c r="D4" s="1231"/>
      <c r="E4" s="1231"/>
      <c r="F4" s="1231"/>
      <c r="G4" s="1232"/>
      <c r="H4" s="1237" t="s">
        <v>1</v>
      </c>
      <c r="I4" s="1238"/>
      <c r="J4" s="534" t="str">
        <f>CAPA!J55</f>
        <v>FL.01/302.88/04539/02</v>
      </c>
    </row>
    <row r="5" spans="1:56" ht="16.5" customHeight="1" thickBot="1">
      <c r="A5" s="114"/>
      <c r="B5" s="1233"/>
      <c r="C5" s="1233"/>
      <c r="D5" s="1233"/>
      <c r="E5" s="1233"/>
      <c r="F5" s="1233"/>
      <c r="G5" s="1234"/>
      <c r="H5" s="1239" t="s">
        <v>2</v>
      </c>
      <c r="I5" s="1240"/>
      <c r="J5" s="535">
        <f>CAPA!K19</f>
        <v>40992</v>
      </c>
    </row>
    <row r="6" spans="1:56" ht="42" customHeight="1" thickTop="1" thickBot="1">
      <c r="A6" s="114"/>
      <c r="B6" s="1154" t="s">
        <v>1993</v>
      </c>
      <c r="C6" s="1154"/>
      <c r="D6" s="1154"/>
      <c r="E6" s="1154"/>
      <c r="F6" s="1154"/>
      <c r="G6" s="1154"/>
      <c r="H6" s="1154"/>
      <c r="I6" s="1154"/>
      <c r="J6" s="1154"/>
    </row>
    <row r="7" spans="1:56" s="367" customFormat="1" ht="42" customHeight="1" thickTop="1" thickBot="1">
      <c r="B7" s="536" t="s">
        <v>1420</v>
      </c>
      <c r="C7" s="368"/>
      <c r="D7" s="369"/>
      <c r="E7" s="369"/>
      <c r="F7" s="368"/>
      <c r="G7" s="370"/>
      <c r="H7" s="370"/>
      <c r="I7" s="370"/>
      <c r="J7" s="537"/>
    </row>
    <row r="8" spans="1:56" s="367" customFormat="1" ht="21" customHeight="1" thickTop="1">
      <c r="B8" s="538"/>
      <c r="C8" s="371"/>
      <c r="D8" s="372"/>
      <c r="E8" s="372"/>
      <c r="F8" s="371"/>
      <c r="J8" s="539"/>
    </row>
    <row r="9" spans="1:56" s="367" customFormat="1" ht="21" customHeight="1">
      <c r="B9" s="540" t="s">
        <v>1107</v>
      </c>
      <c r="C9" s="371"/>
      <c r="D9" s="372"/>
      <c r="E9" s="372"/>
      <c r="F9" s="371"/>
      <c r="J9" s="539"/>
    </row>
    <row r="10" spans="1:56" s="367" customFormat="1" ht="21" customHeight="1" thickBot="1">
      <c r="B10" s="538"/>
      <c r="C10" s="371"/>
      <c r="D10" s="372"/>
      <c r="E10" s="372"/>
      <c r="F10" s="371"/>
      <c r="J10" s="539"/>
    </row>
    <row r="11" spans="1:56" thickTop="1">
      <c r="A11" s="114"/>
      <c r="B11" s="1211" t="s">
        <v>57</v>
      </c>
      <c r="C11" s="1211"/>
      <c r="D11" s="1211"/>
      <c r="E11" s="1211"/>
      <c r="F11" s="1211"/>
      <c r="G11" s="1211"/>
      <c r="H11" s="1211"/>
      <c r="I11" s="1211"/>
      <c r="J11" s="1212"/>
    </row>
    <row r="12" spans="1:56" ht="44.25" customHeight="1">
      <c r="A12" s="114"/>
      <c r="B12" s="1213" t="str">
        <f>'PSQ-INFRA'!C18</f>
        <v>Escavação Mecanizada</v>
      </c>
      <c r="C12" s="1213"/>
      <c r="D12" s="1213"/>
      <c r="E12" s="1213"/>
      <c r="F12" s="1213"/>
      <c r="G12" s="1213"/>
      <c r="H12" s="1213"/>
      <c r="I12" s="1213"/>
      <c r="J12" s="541"/>
    </row>
    <row r="13" spans="1:56" ht="15" customHeight="1">
      <c r="A13" s="114"/>
      <c r="B13" s="1214" t="s">
        <v>7</v>
      </c>
      <c r="C13" s="1215"/>
      <c r="D13" s="1220" t="s">
        <v>70</v>
      </c>
      <c r="E13" s="1221"/>
      <c r="F13" s="1221"/>
      <c r="G13" s="1222"/>
      <c r="H13" s="1223" t="s">
        <v>4</v>
      </c>
      <c r="I13" s="1224"/>
      <c r="J13" s="365" t="s">
        <v>71</v>
      </c>
    </row>
    <row r="14" spans="1:56" ht="56.25" customHeight="1" thickBot="1">
      <c r="A14" s="114"/>
      <c r="B14" s="1225" t="str">
        <f>'PSQ-INFRA'!B18</f>
        <v>04.01.100.02</v>
      </c>
      <c r="C14" s="1226"/>
      <c r="D14" s="1218" t="str">
        <f>B12</f>
        <v>Escavação Mecanizada</v>
      </c>
      <c r="E14" s="1219"/>
      <c r="F14" s="1219"/>
      <c r="G14" s="1195"/>
      <c r="H14" s="1184" t="str">
        <f>'PSQ-INFRA'!D18</f>
        <v>m³</v>
      </c>
      <c r="I14" s="1185"/>
      <c r="J14" s="542">
        <f>J23</f>
        <v>3820.9317133806503</v>
      </c>
    </row>
    <row r="15" spans="1:56" ht="15">
      <c r="A15" s="114"/>
      <c r="B15" s="1186" t="s">
        <v>72</v>
      </c>
      <c r="C15" s="1186"/>
      <c r="D15" s="1186"/>
      <c r="E15" s="1186"/>
      <c r="F15" s="1186"/>
      <c r="G15" s="1186"/>
      <c r="H15" s="1186"/>
      <c r="I15" s="1186"/>
      <c r="J15" s="543"/>
    </row>
    <row r="16" spans="1:56" ht="15" customHeight="1">
      <c r="A16" s="114"/>
      <c r="B16" s="162" t="s">
        <v>80</v>
      </c>
      <c r="C16" s="168"/>
      <c r="D16" s="168"/>
      <c r="E16" s="168"/>
      <c r="F16" s="168"/>
      <c r="G16" s="168"/>
      <c r="H16" s="162" t="str">
        <f>'Pág 2'!C25</f>
        <v>FL.01/302.92/04538 - Especificação Técnica - Concreto</v>
      </c>
      <c r="I16" s="168"/>
      <c r="J16" s="168"/>
    </row>
    <row r="17" spans="1:11" ht="15" customHeight="1">
      <c r="A17" s="114"/>
      <c r="B17" s="163" t="s">
        <v>79</v>
      </c>
      <c r="C17" s="164"/>
      <c r="D17" s="164"/>
      <c r="E17" s="163" t="str">
        <f>'Pág 2'!C18</f>
        <v>FL.01/302.76/04537 - Memorial de Cálculo e Dimensionamento - Concreto.</v>
      </c>
      <c r="F17" s="114"/>
      <c r="G17" s="164"/>
      <c r="H17" s="164"/>
      <c r="I17" s="164"/>
      <c r="J17" s="164"/>
    </row>
    <row r="18" spans="1:11" ht="15" customHeight="1">
      <c r="A18" s="114"/>
      <c r="B18" s="163" t="s">
        <v>73</v>
      </c>
      <c r="C18" s="153"/>
      <c r="D18" s="153"/>
      <c r="E18" s="163"/>
      <c r="F18" s="114"/>
      <c r="G18" s="164"/>
      <c r="H18" s="164"/>
      <c r="I18" s="164"/>
      <c r="J18" s="544"/>
    </row>
    <row r="19" spans="1:11" thickBot="1">
      <c r="A19" s="114"/>
      <c r="B19" s="165"/>
      <c r="C19" s="165"/>
      <c r="D19" s="165"/>
      <c r="E19" s="153"/>
      <c r="F19" s="153"/>
      <c r="G19" s="153"/>
      <c r="H19" s="153"/>
      <c r="I19" s="153"/>
      <c r="J19" s="545"/>
    </row>
    <row r="20" spans="1:11" ht="15">
      <c r="A20" s="114"/>
      <c r="B20" s="1187" t="s">
        <v>74</v>
      </c>
      <c r="C20" s="1187"/>
      <c r="D20" s="1187"/>
      <c r="E20" s="1187"/>
      <c r="F20" s="1187"/>
      <c r="G20" s="1187"/>
      <c r="H20" s="1188"/>
      <c r="I20" s="1189"/>
      <c r="J20" s="546" t="s">
        <v>75</v>
      </c>
    </row>
    <row r="21" spans="1:11" ht="15">
      <c r="A21" s="114"/>
      <c r="B21" s="1181" t="str">
        <f>TIT.401</f>
        <v xml:space="preserve">FL.17/304.13/04693 - EDIFICAÇÕES DE APOIO </v>
      </c>
      <c r="C21" s="1181"/>
      <c r="D21" s="1181"/>
      <c r="E21" s="1181"/>
      <c r="F21" s="1181"/>
      <c r="G21" s="1181"/>
      <c r="H21" s="1182"/>
      <c r="I21" s="1183"/>
      <c r="J21" s="547">
        <f>EM.401</f>
        <v>3820.9317133806503</v>
      </c>
    </row>
    <row r="22" spans="1:11" ht="15" customHeight="1">
      <c r="A22" s="114"/>
      <c r="B22" s="1181"/>
      <c r="C22" s="1181"/>
      <c r="D22" s="1181"/>
      <c r="E22" s="1181"/>
      <c r="F22" s="1181"/>
      <c r="G22" s="1181"/>
      <c r="H22" s="1182"/>
      <c r="I22" s="1183"/>
      <c r="J22" s="548"/>
    </row>
    <row r="23" spans="1:11" thickBot="1">
      <c r="A23" s="114"/>
      <c r="B23" s="1193" t="s">
        <v>76</v>
      </c>
      <c r="C23" s="1193"/>
      <c r="D23" s="1193"/>
      <c r="E23" s="1193"/>
      <c r="F23" s="1193"/>
      <c r="G23" s="1193"/>
      <c r="H23" s="1194"/>
      <c r="I23" s="1195"/>
      <c r="J23" s="549">
        <f>SUM(J21:J21)</f>
        <v>3820.9317133806503</v>
      </c>
    </row>
    <row r="24" spans="1:11" thickBot="1">
      <c r="A24" s="114"/>
      <c r="B24" s="1196" t="s">
        <v>77</v>
      </c>
      <c r="C24" s="1196"/>
      <c r="D24" s="1196"/>
      <c r="E24" s="1196"/>
      <c r="F24" s="1196"/>
      <c r="G24" s="1196"/>
      <c r="H24" s="1196"/>
      <c r="I24" s="1196"/>
      <c r="J24" s="550"/>
    </row>
    <row r="25" spans="1:11" ht="15">
      <c r="A25" s="114"/>
      <c r="B25" s="551" t="s">
        <v>78</v>
      </c>
      <c r="C25" s="154"/>
      <c r="D25" s="154"/>
      <c r="E25" s="154"/>
      <c r="F25" s="154"/>
      <c r="G25" s="154"/>
      <c r="H25" s="154"/>
      <c r="I25" s="154"/>
      <c r="J25" s="545"/>
    </row>
    <row r="26" spans="1:11" thickBot="1">
      <c r="A26" s="114"/>
      <c r="B26" s="155"/>
      <c r="C26" s="155"/>
      <c r="D26" s="155"/>
      <c r="E26" s="155"/>
      <c r="F26" s="155"/>
      <c r="G26" s="155"/>
      <c r="H26" s="155"/>
      <c r="I26" s="155"/>
      <c r="J26" s="552"/>
    </row>
    <row r="27" spans="1:11" thickTop="1">
      <c r="A27" s="114"/>
      <c r="B27" s="1211" t="s">
        <v>57</v>
      </c>
      <c r="C27" s="1211"/>
      <c r="D27" s="1211"/>
      <c r="E27" s="1211"/>
      <c r="F27" s="1211"/>
      <c r="G27" s="1211"/>
      <c r="H27" s="1211"/>
      <c r="I27" s="1211"/>
      <c r="J27" s="1212"/>
    </row>
    <row r="28" spans="1:11" ht="44.25" customHeight="1">
      <c r="A28" s="114"/>
      <c r="B28" s="1213" t="str">
        <f>'PSQ-INFRA'!C20</f>
        <v>Regularização e Apiloamento de fundo de vala</v>
      </c>
      <c r="C28" s="1213"/>
      <c r="D28" s="1213"/>
      <c r="E28" s="1213"/>
      <c r="F28" s="1213"/>
      <c r="G28" s="1213"/>
      <c r="H28" s="1213"/>
      <c r="I28" s="1213"/>
      <c r="J28" s="541"/>
    </row>
    <row r="29" spans="1:11" ht="15">
      <c r="A29" s="114"/>
      <c r="B29" s="1214" t="s">
        <v>7</v>
      </c>
      <c r="C29" s="1215"/>
      <c r="D29" s="1220" t="s">
        <v>70</v>
      </c>
      <c r="E29" s="1221"/>
      <c r="F29" s="1221"/>
      <c r="G29" s="1222"/>
      <c r="H29" s="1223" t="s">
        <v>4</v>
      </c>
      <c r="I29" s="1224"/>
      <c r="J29" s="365" t="s">
        <v>71</v>
      </c>
      <c r="K29" s="373"/>
    </row>
    <row r="30" spans="1:11" ht="56.25" customHeight="1" thickBot="1">
      <c r="A30" s="114"/>
      <c r="B30" s="1241" t="str">
        <f>'PSQ-INFRA'!B20</f>
        <v>04.01.100.04</v>
      </c>
      <c r="C30" s="1242"/>
      <c r="D30" s="1218" t="str">
        <f>B28</f>
        <v>Regularização e Apiloamento de fundo de vala</v>
      </c>
      <c r="E30" s="1219"/>
      <c r="F30" s="1219"/>
      <c r="G30" s="1195"/>
      <c r="H30" s="1184" t="str">
        <f>'PSQ-INFRA'!D20</f>
        <v>m²</v>
      </c>
      <c r="I30" s="1185"/>
      <c r="J30" s="542">
        <f>J39</f>
        <v>405.75799999999992</v>
      </c>
    </row>
    <row r="31" spans="1:11" ht="15">
      <c r="A31" s="114"/>
      <c r="B31" s="1186" t="s">
        <v>72</v>
      </c>
      <c r="C31" s="1186"/>
      <c r="D31" s="1186"/>
      <c r="E31" s="1186"/>
      <c r="F31" s="1186"/>
      <c r="G31" s="1186"/>
      <c r="H31" s="1186"/>
      <c r="I31" s="1186"/>
      <c r="J31" s="543"/>
    </row>
    <row r="32" spans="1:11" ht="15" customHeight="1">
      <c r="A32" s="114"/>
      <c r="B32" s="162" t="s">
        <v>80</v>
      </c>
      <c r="C32" s="168"/>
      <c r="D32" s="168"/>
      <c r="E32" s="168"/>
      <c r="F32" s="168"/>
      <c r="G32" s="168"/>
      <c r="H32" s="162" t="str">
        <f>'Pág 2'!C25</f>
        <v>FL.01/302.92/04538 - Especificação Técnica - Concreto</v>
      </c>
      <c r="I32" s="168"/>
      <c r="J32" s="168"/>
    </row>
    <row r="33" spans="1:10" ht="15" customHeight="1">
      <c r="A33" s="114"/>
      <c r="B33" s="163" t="s">
        <v>79</v>
      </c>
      <c r="C33" s="164"/>
      <c r="D33" s="164"/>
      <c r="E33" s="163" t="str">
        <f>'Pág 2'!C18</f>
        <v>FL.01/302.76/04537 - Memorial de Cálculo e Dimensionamento - Concreto.</v>
      </c>
      <c r="F33" s="114"/>
      <c r="G33" s="164"/>
      <c r="H33" s="164"/>
      <c r="I33" s="164"/>
      <c r="J33" s="164"/>
    </row>
    <row r="34" spans="1:10" ht="15" customHeight="1">
      <c r="A34" s="114"/>
      <c r="B34" s="163" t="s">
        <v>73</v>
      </c>
      <c r="C34" s="153"/>
      <c r="D34" s="153"/>
      <c r="E34" s="163"/>
      <c r="F34" s="114"/>
      <c r="G34" s="164"/>
      <c r="H34" s="164"/>
      <c r="I34" s="164"/>
      <c r="J34" s="544"/>
    </row>
    <row r="35" spans="1:10" thickBot="1">
      <c r="A35" s="114"/>
      <c r="B35" s="165"/>
      <c r="C35" s="165"/>
      <c r="D35" s="165"/>
      <c r="E35" s="153"/>
      <c r="F35" s="153"/>
      <c r="G35" s="153"/>
      <c r="H35" s="153"/>
      <c r="I35" s="153"/>
      <c r="J35" s="545"/>
    </row>
    <row r="36" spans="1:10" ht="15">
      <c r="A36" s="114"/>
      <c r="B36" s="1187" t="s">
        <v>74</v>
      </c>
      <c r="C36" s="1187"/>
      <c r="D36" s="1187"/>
      <c r="E36" s="1187"/>
      <c r="F36" s="1187"/>
      <c r="G36" s="1187"/>
      <c r="H36" s="1187"/>
      <c r="I36" s="1210"/>
      <c r="J36" s="546" t="s">
        <v>75</v>
      </c>
    </row>
    <row r="37" spans="1:10" ht="15" customHeight="1">
      <c r="A37" s="114"/>
      <c r="B37" s="1181" t="str">
        <f>TIT.401</f>
        <v xml:space="preserve">FL.17/304.13/04693 - EDIFICAÇÕES DE APOIO </v>
      </c>
      <c r="C37" s="1181"/>
      <c r="D37" s="1181"/>
      <c r="E37" s="1181"/>
      <c r="F37" s="1181"/>
      <c r="G37" s="1181"/>
      <c r="H37" s="1182"/>
      <c r="I37" s="1183"/>
      <c r="J37" s="547">
        <f>RA.401</f>
        <v>405.75799999999992</v>
      </c>
    </row>
    <row r="38" spans="1:10" ht="15" customHeight="1">
      <c r="A38" s="114"/>
      <c r="B38" s="1181"/>
      <c r="C38" s="1181"/>
      <c r="D38" s="1181"/>
      <c r="E38" s="1181"/>
      <c r="F38" s="1181"/>
      <c r="G38" s="1181"/>
      <c r="H38" s="1182"/>
      <c r="I38" s="1183"/>
      <c r="J38" s="548"/>
    </row>
    <row r="39" spans="1:10" ht="15" customHeight="1" thickBot="1">
      <c r="A39" s="114"/>
      <c r="B39" s="1193" t="s">
        <v>76</v>
      </c>
      <c r="C39" s="1193"/>
      <c r="D39" s="1193"/>
      <c r="E39" s="1193"/>
      <c r="F39" s="1193"/>
      <c r="G39" s="1193"/>
      <c r="H39" s="1194"/>
      <c r="I39" s="1195"/>
      <c r="J39" s="549">
        <f>SUM(J37:J37)</f>
        <v>405.75799999999992</v>
      </c>
    </row>
    <row r="40" spans="1:10" thickBot="1">
      <c r="A40" s="114"/>
      <c r="B40" s="1196" t="s">
        <v>77</v>
      </c>
      <c r="C40" s="1196"/>
      <c r="D40" s="1196"/>
      <c r="E40" s="1196"/>
      <c r="F40" s="1196"/>
      <c r="G40" s="1196"/>
      <c r="H40" s="1196"/>
      <c r="I40" s="1196"/>
      <c r="J40" s="550"/>
    </row>
    <row r="41" spans="1:10" ht="15">
      <c r="A41" s="114"/>
      <c r="B41" s="551" t="s">
        <v>78</v>
      </c>
      <c r="C41" s="154"/>
      <c r="D41" s="154"/>
      <c r="E41" s="154"/>
      <c r="F41" s="154"/>
      <c r="G41" s="154"/>
      <c r="H41" s="154"/>
      <c r="I41" s="154"/>
      <c r="J41" s="545"/>
    </row>
    <row r="42" spans="1:10" thickBot="1">
      <c r="A42" s="114"/>
      <c r="B42" s="155"/>
      <c r="C42" s="155"/>
      <c r="D42" s="155"/>
      <c r="E42" s="155"/>
      <c r="F42" s="155"/>
      <c r="G42" s="155"/>
      <c r="H42" s="155"/>
      <c r="I42" s="155"/>
      <c r="J42" s="552"/>
    </row>
    <row r="43" spans="1:10" thickTop="1">
      <c r="A43" s="114"/>
      <c r="B43" s="1211" t="s">
        <v>57</v>
      </c>
      <c r="C43" s="1211"/>
      <c r="D43" s="1211"/>
      <c r="E43" s="1211"/>
      <c r="F43" s="1211"/>
      <c r="G43" s="1211"/>
      <c r="H43" s="1211"/>
      <c r="I43" s="1211"/>
      <c r="J43" s="1211"/>
    </row>
    <row r="44" spans="1:10" ht="44.25" customHeight="1">
      <c r="A44" s="114"/>
      <c r="B44" s="1213" t="str">
        <f>'PSQ-INFRA'!C19</f>
        <v>Reaterro Compactado</v>
      </c>
      <c r="C44" s="1213"/>
      <c r="D44" s="1213"/>
      <c r="E44" s="1213"/>
      <c r="F44" s="1213"/>
      <c r="G44" s="1213"/>
      <c r="H44" s="1213"/>
      <c r="I44" s="1213"/>
      <c r="J44" s="541"/>
    </row>
    <row r="45" spans="1:10" ht="15" customHeight="1">
      <c r="A45" s="114"/>
      <c r="B45" s="1214" t="s">
        <v>7</v>
      </c>
      <c r="C45" s="1215"/>
      <c r="D45" s="1220" t="s">
        <v>70</v>
      </c>
      <c r="E45" s="1221"/>
      <c r="F45" s="1221"/>
      <c r="G45" s="1222"/>
      <c r="H45" s="1223" t="s">
        <v>4</v>
      </c>
      <c r="I45" s="1224"/>
      <c r="J45" s="365" t="s">
        <v>71</v>
      </c>
    </row>
    <row r="46" spans="1:10" ht="56.25" customHeight="1" thickBot="1">
      <c r="A46" s="114"/>
      <c r="B46" s="1225" t="str">
        <f>'PSQ-INFRA'!B19</f>
        <v>04.01.100.03</v>
      </c>
      <c r="C46" s="1226"/>
      <c r="D46" s="1218" t="str">
        <f>B44</f>
        <v>Reaterro Compactado</v>
      </c>
      <c r="E46" s="1219"/>
      <c r="F46" s="1219"/>
      <c r="G46" s="1195"/>
      <c r="H46" s="1184" t="str">
        <f>'PSQ-INFRA'!D19</f>
        <v>m³</v>
      </c>
      <c r="I46" s="1185"/>
      <c r="J46" s="542">
        <f>J55</f>
        <v>3564.2690503806502</v>
      </c>
    </row>
    <row r="47" spans="1:10" ht="15">
      <c r="A47" s="114"/>
      <c r="B47" s="1186" t="s">
        <v>72</v>
      </c>
      <c r="C47" s="1186"/>
      <c r="D47" s="1186"/>
      <c r="E47" s="1186"/>
      <c r="F47" s="1186"/>
      <c r="G47" s="1186"/>
      <c r="H47" s="1186"/>
      <c r="I47" s="1186"/>
      <c r="J47" s="543"/>
    </row>
    <row r="48" spans="1:10" ht="15" customHeight="1">
      <c r="A48" s="114"/>
      <c r="B48" s="162" t="s">
        <v>80</v>
      </c>
      <c r="C48" s="168"/>
      <c r="D48" s="168"/>
      <c r="E48" s="168"/>
      <c r="F48" s="168"/>
      <c r="G48" s="168"/>
      <c r="H48" s="162" t="str">
        <f>'Pág 2'!C25</f>
        <v>FL.01/302.92/04538 - Especificação Técnica - Concreto</v>
      </c>
      <c r="I48" s="168"/>
      <c r="J48" s="168"/>
    </row>
    <row r="49" spans="1:10" ht="15" customHeight="1">
      <c r="A49" s="114"/>
      <c r="B49" s="163" t="s">
        <v>79</v>
      </c>
      <c r="C49" s="164"/>
      <c r="D49" s="164"/>
      <c r="E49" s="163" t="str">
        <f>'Pág 2'!C18</f>
        <v>FL.01/302.76/04537 - Memorial de Cálculo e Dimensionamento - Concreto.</v>
      </c>
      <c r="F49" s="114"/>
      <c r="G49" s="164"/>
      <c r="H49" s="164"/>
      <c r="I49" s="164"/>
      <c r="J49" s="164"/>
    </row>
    <row r="50" spans="1:10" ht="15" customHeight="1">
      <c r="A50" s="114"/>
      <c r="B50" s="163" t="s">
        <v>73</v>
      </c>
      <c r="C50" s="153"/>
      <c r="D50" s="153"/>
      <c r="E50" s="163"/>
      <c r="F50" s="114"/>
      <c r="G50" s="164"/>
      <c r="H50" s="164"/>
      <c r="I50" s="164"/>
      <c r="J50" s="544"/>
    </row>
    <row r="51" spans="1:10" thickBot="1">
      <c r="A51" s="114"/>
      <c r="B51" s="165"/>
      <c r="C51" s="165"/>
      <c r="D51" s="165"/>
      <c r="E51" s="153"/>
      <c r="F51" s="153"/>
      <c r="G51" s="153"/>
      <c r="H51" s="153"/>
      <c r="I51" s="153"/>
      <c r="J51" s="545"/>
    </row>
    <row r="52" spans="1:10" ht="15">
      <c r="A52" s="114"/>
      <c r="B52" s="1187" t="s">
        <v>74</v>
      </c>
      <c r="C52" s="1187"/>
      <c r="D52" s="1187"/>
      <c r="E52" s="1187"/>
      <c r="F52" s="1187"/>
      <c r="G52" s="1187"/>
      <c r="H52" s="1188"/>
      <c r="I52" s="1189"/>
      <c r="J52" s="546" t="s">
        <v>75</v>
      </c>
    </row>
    <row r="53" spans="1:10" ht="15" customHeight="1">
      <c r="A53" s="114"/>
      <c r="B53" s="1181" t="str">
        <f>TIT.401</f>
        <v xml:space="preserve">FL.17/304.13/04693 - EDIFICAÇÕES DE APOIO </v>
      </c>
      <c r="C53" s="1181"/>
      <c r="D53" s="1181"/>
      <c r="E53" s="1181"/>
      <c r="F53" s="1181"/>
      <c r="G53" s="1181"/>
      <c r="H53" s="1182"/>
      <c r="I53" s="1183"/>
      <c r="J53" s="547">
        <f>R.401</f>
        <v>3564.2690503806502</v>
      </c>
    </row>
    <row r="54" spans="1:10" ht="15" customHeight="1">
      <c r="A54" s="114"/>
      <c r="B54" s="1181"/>
      <c r="C54" s="1181"/>
      <c r="D54" s="1181"/>
      <c r="E54" s="1181"/>
      <c r="F54" s="1181"/>
      <c r="G54" s="1181"/>
      <c r="H54" s="1182"/>
      <c r="I54" s="1183"/>
      <c r="J54" s="548"/>
    </row>
    <row r="55" spans="1:10" ht="15" customHeight="1" thickBot="1">
      <c r="A55" s="114"/>
      <c r="B55" s="1193" t="s">
        <v>76</v>
      </c>
      <c r="C55" s="1193"/>
      <c r="D55" s="1193"/>
      <c r="E55" s="1193"/>
      <c r="F55" s="1193"/>
      <c r="G55" s="1193"/>
      <c r="H55" s="1194"/>
      <c r="I55" s="1195"/>
      <c r="J55" s="549">
        <f>SUM(J53:J53)</f>
        <v>3564.2690503806502</v>
      </c>
    </row>
    <row r="56" spans="1:10" thickBot="1">
      <c r="A56" s="114"/>
      <c r="B56" s="1196" t="s">
        <v>77</v>
      </c>
      <c r="C56" s="1196"/>
      <c r="D56" s="1196"/>
      <c r="E56" s="1196"/>
      <c r="F56" s="1196"/>
      <c r="G56" s="1196"/>
      <c r="H56" s="1196"/>
      <c r="I56" s="1196"/>
      <c r="J56" s="550"/>
    </row>
    <row r="57" spans="1:10" ht="15">
      <c r="A57" s="114"/>
      <c r="B57" s="551" t="s">
        <v>78</v>
      </c>
      <c r="C57" s="154"/>
      <c r="D57" s="154"/>
      <c r="E57" s="154"/>
      <c r="F57" s="154"/>
      <c r="G57" s="154"/>
      <c r="H57" s="154"/>
      <c r="I57" s="154"/>
      <c r="J57" s="545"/>
    </row>
    <row r="58" spans="1:10" thickBot="1">
      <c r="A58" s="114"/>
      <c r="B58" s="155"/>
      <c r="C58" s="155"/>
      <c r="D58" s="155"/>
      <c r="E58" s="155"/>
      <c r="F58" s="155"/>
      <c r="G58" s="155"/>
      <c r="H58" s="155"/>
      <c r="I58" s="155"/>
      <c r="J58" s="552"/>
    </row>
    <row r="59" spans="1:10" thickTop="1">
      <c r="A59" s="114"/>
      <c r="B59" s="1211" t="s">
        <v>57</v>
      </c>
      <c r="C59" s="1211"/>
      <c r="D59" s="1211"/>
      <c r="E59" s="1211"/>
      <c r="F59" s="1211"/>
      <c r="G59" s="1211"/>
      <c r="H59" s="1211"/>
      <c r="I59" s="1211"/>
      <c r="J59" s="1211"/>
    </row>
    <row r="60" spans="1:10" ht="44.25" customHeight="1">
      <c r="A60" s="114"/>
      <c r="B60" s="1213" t="str">
        <f>'PSQ-INFRA'!C44</f>
        <v xml:space="preserve">Estaca Hélice Contínua com diâmetro de 250 mm </v>
      </c>
      <c r="C60" s="1213"/>
      <c r="D60" s="1213"/>
      <c r="E60" s="1213"/>
      <c r="F60" s="1213"/>
      <c r="G60" s="1213"/>
      <c r="H60" s="1213"/>
      <c r="I60" s="1213"/>
      <c r="J60" s="541"/>
    </row>
    <row r="61" spans="1:10" ht="15">
      <c r="A61" s="114"/>
      <c r="B61" s="1214" t="s">
        <v>7</v>
      </c>
      <c r="C61" s="1215"/>
      <c r="D61" s="1220" t="s">
        <v>70</v>
      </c>
      <c r="E61" s="1221"/>
      <c r="F61" s="1221"/>
      <c r="G61" s="1222"/>
      <c r="H61" s="1223" t="s">
        <v>4</v>
      </c>
      <c r="I61" s="1224"/>
      <c r="J61" s="365" t="s">
        <v>71</v>
      </c>
    </row>
    <row r="62" spans="1:10" ht="56.25" customHeight="1" thickBot="1">
      <c r="A62" s="114"/>
      <c r="B62" s="1225" t="str">
        <f>'PSQ-INFRA'!B44</f>
        <v>04.02.170.01</v>
      </c>
      <c r="C62" s="1226"/>
      <c r="D62" s="1218" t="str">
        <f>B60</f>
        <v xml:space="preserve">Estaca Hélice Contínua com diâmetro de 250 mm </v>
      </c>
      <c r="E62" s="1219"/>
      <c r="F62" s="1219"/>
      <c r="G62" s="1195"/>
      <c r="H62" s="1184" t="str">
        <f>'PSQ-INFRA'!D44</f>
        <v>m</v>
      </c>
      <c r="I62" s="1185"/>
      <c r="J62" s="542">
        <f>J71</f>
        <v>204</v>
      </c>
    </row>
    <row r="63" spans="1:10" ht="15">
      <c r="A63" s="114"/>
      <c r="B63" s="1186" t="s">
        <v>72</v>
      </c>
      <c r="C63" s="1186"/>
      <c r="D63" s="1186"/>
      <c r="E63" s="1186"/>
      <c r="F63" s="1186"/>
      <c r="G63" s="1186"/>
      <c r="H63" s="1186"/>
      <c r="I63" s="1186"/>
      <c r="J63" s="543"/>
    </row>
    <row r="64" spans="1:10" ht="15" customHeight="1">
      <c r="A64" s="114"/>
      <c r="B64" s="162" t="s">
        <v>80</v>
      </c>
      <c r="C64" s="168"/>
      <c r="D64" s="168"/>
      <c r="E64" s="168"/>
      <c r="F64" s="168"/>
      <c r="G64" s="168"/>
      <c r="H64" s="162" t="str">
        <f>'Pág 2'!C25</f>
        <v>FL.01/302.92/04538 - Especificação Técnica - Concreto</v>
      </c>
      <c r="I64" s="168"/>
      <c r="J64" s="168"/>
    </row>
    <row r="65" spans="1:10" ht="15" customHeight="1">
      <c r="A65" s="114"/>
      <c r="B65" s="163" t="s">
        <v>79</v>
      </c>
      <c r="C65" s="164"/>
      <c r="D65" s="164"/>
      <c r="E65" s="163" t="str">
        <f>'Pág 2'!C18</f>
        <v>FL.01/302.76/04537 - Memorial de Cálculo e Dimensionamento - Concreto.</v>
      </c>
      <c r="F65" s="114"/>
      <c r="G65" s="164"/>
      <c r="H65" s="164"/>
      <c r="I65" s="164"/>
      <c r="J65" s="164"/>
    </row>
    <row r="66" spans="1:10" ht="15" customHeight="1">
      <c r="A66" s="114"/>
      <c r="B66" s="163" t="s">
        <v>73</v>
      </c>
      <c r="C66" s="153"/>
      <c r="D66" s="153"/>
      <c r="E66" s="163"/>
      <c r="F66" s="114"/>
      <c r="G66" s="164"/>
      <c r="H66" s="164"/>
      <c r="I66" s="164"/>
      <c r="J66" s="544"/>
    </row>
    <row r="67" spans="1:10" thickBot="1">
      <c r="A67" s="114"/>
      <c r="B67" s="165"/>
      <c r="C67" s="165"/>
      <c r="D67" s="165"/>
      <c r="E67" s="153"/>
      <c r="F67" s="153"/>
      <c r="G67" s="153"/>
      <c r="H67" s="153"/>
      <c r="I67" s="153"/>
      <c r="J67" s="545"/>
    </row>
    <row r="68" spans="1:10" ht="15">
      <c r="A68" s="114"/>
      <c r="B68" s="1187" t="s">
        <v>74</v>
      </c>
      <c r="C68" s="1187"/>
      <c r="D68" s="1187"/>
      <c r="E68" s="1187"/>
      <c r="F68" s="1187"/>
      <c r="G68" s="1187"/>
      <c r="H68" s="1188"/>
      <c r="I68" s="1189"/>
      <c r="J68" s="546" t="s">
        <v>75</v>
      </c>
    </row>
    <row r="69" spans="1:10" ht="15" customHeight="1">
      <c r="A69" s="114"/>
      <c r="B69" s="1181" t="str">
        <f>TIT.401</f>
        <v xml:space="preserve">FL.17/304.13/04693 - EDIFICAÇÕES DE APOIO </v>
      </c>
      <c r="C69" s="1181"/>
      <c r="D69" s="1181"/>
      <c r="E69" s="1181"/>
      <c r="F69" s="1181"/>
      <c r="G69" s="1181"/>
      <c r="H69" s="1182"/>
      <c r="I69" s="1183"/>
      <c r="J69" s="553">
        <f>E25.401</f>
        <v>204</v>
      </c>
    </row>
    <row r="70" spans="1:10" ht="15" customHeight="1">
      <c r="A70" s="114"/>
      <c r="B70" s="1181"/>
      <c r="C70" s="1181"/>
      <c r="D70" s="1181"/>
      <c r="E70" s="1181"/>
      <c r="F70" s="1181"/>
      <c r="G70" s="1181"/>
      <c r="H70" s="1182"/>
      <c r="I70" s="1183"/>
      <c r="J70" s="548"/>
    </row>
    <row r="71" spans="1:10" ht="15" customHeight="1" thickBot="1">
      <c r="A71" s="114"/>
      <c r="B71" s="1193" t="s">
        <v>76</v>
      </c>
      <c r="C71" s="1193"/>
      <c r="D71" s="1193"/>
      <c r="E71" s="1193"/>
      <c r="F71" s="1193"/>
      <c r="G71" s="1193"/>
      <c r="H71" s="1194"/>
      <c r="I71" s="1195"/>
      <c r="J71" s="549">
        <f>SUM(J69:J69)</f>
        <v>204</v>
      </c>
    </row>
    <row r="72" spans="1:10" ht="15" customHeight="1" thickBot="1">
      <c r="A72" s="114"/>
      <c r="B72" s="1196" t="s">
        <v>77</v>
      </c>
      <c r="C72" s="1196"/>
      <c r="D72" s="1196"/>
      <c r="E72" s="1196"/>
      <c r="F72" s="1196"/>
      <c r="G72" s="1196"/>
      <c r="H72" s="1196"/>
      <c r="I72" s="1196"/>
      <c r="J72" s="550"/>
    </row>
    <row r="73" spans="1:10" ht="15" customHeight="1">
      <c r="A73" s="114"/>
      <c r="B73" s="551" t="s">
        <v>78</v>
      </c>
      <c r="C73" s="154"/>
      <c r="D73" s="154"/>
      <c r="E73" s="154"/>
      <c r="F73" s="154"/>
      <c r="G73" s="154"/>
      <c r="H73" s="154"/>
      <c r="I73" s="154"/>
      <c r="J73" s="545"/>
    </row>
    <row r="74" spans="1:10" ht="15" customHeight="1" thickBot="1">
      <c r="A74" s="114"/>
      <c r="B74" s="155"/>
      <c r="C74" s="155"/>
      <c r="D74" s="155"/>
      <c r="E74" s="155"/>
      <c r="F74" s="155"/>
      <c r="G74" s="155"/>
      <c r="H74" s="155"/>
      <c r="I74" s="155"/>
      <c r="J74" s="552"/>
    </row>
    <row r="75" spans="1:10" thickTop="1">
      <c r="A75" s="114"/>
      <c r="B75" s="1211" t="s">
        <v>57</v>
      </c>
      <c r="C75" s="1211"/>
      <c r="D75" s="1211"/>
      <c r="E75" s="1211"/>
      <c r="F75" s="1211"/>
      <c r="G75" s="1211"/>
      <c r="H75" s="1211"/>
      <c r="I75" s="1211"/>
      <c r="J75" s="1211"/>
    </row>
    <row r="76" spans="1:10" ht="44.25" customHeight="1">
      <c r="A76" s="114"/>
      <c r="B76" s="1213" t="str">
        <f>'PSQ-INFRA'!C45</f>
        <v>Estaca Hélice Contínua com diâmetro de 350 mm</v>
      </c>
      <c r="C76" s="1213"/>
      <c r="D76" s="1213"/>
      <c r="E76" s="1213"/>
      <c r="F76" s="1213"/>
      <c r="G76" s="1213"/>
      <c r="H76" s="1213"/>
      <c r="I76" s="1213"/>
      <c r="J76" s="541"/>
    </row>
    <row r="77" spans="1:10" ht="15">
      <c r="A77" s="114"/>
      <c r="B77" s="1214" t="s">
        <v>7</v>
      </c>
      <c r="C77" s="1243"/>
      <c r="D77" s="1220" t="s">
        <v>70</v>
      </c>
      <c r="E77" s="1244"/>
      <c r="F77" s="1244"/>
      <c r="G77" s="1245"/>
      <c r="H77" s="1223" t="s">
        <v>4</v>
      </c>
      <c r="I77" s="1243"/>
      <c r="J77" s="365" t="s">
        <v>71</v>
      </c>
    </row>
    <row r="78" spans="1:10" ht="56.25" customHeight="1" thickBot="1">
      <c r="A78" s="114"/>
      <c r="B78" s="1246" t="str">
        <f>'PSQ-INFRA'!B45</f>
        <v>04.02.170.03</v>
      </c>
      <c r="C78" s="1247"/>
      <c r="D78" s="1218" t="str">
        <f>B76</f>
        <v>Estaca Hélice Contínua com diâmetro de 350 mm</v>
      </c>
      <c r="E78" s="1246"/>
      <c r="F78" s="1246"/>
      <c r="G78" s="1247"/>
      <c r="H78" s="1218" t="str">
        <f>'PSQ-INFRA'!D45</f>
        <v>m</v>
      </c>
      <c r="I78" s="1247"/>
      <c r="J78" s="542">
        <f>J87</f>
        <v>624</v>
      </c>
    </row>
    <row r="79" spans="1:10" ht="15">
      <c r="A79" s="114"/>
      <c r="B79" s="1186" t="s">
        <v>72</v>
      </c>
      <c r="C79" s="1186"/>
      <c r="D79" s="1186"/>
      <c r="E79" s="1186"/>
      <c r="F79" s="1186"/>
      <c r="G79" s="1186"/>
      <c r="H79" s="1186"/>
      <c r="I79" s="1186"/>
      <c r="J79" s="543"/>
    </row>
    <row r="80" spans="1:10" ht="15" customHeight="1">
      <c r="A80" s="114"/>
      <c r="B80" s="162" t="s">
        <v>80</v>
      </c>
      <c r="C80" s="168"/>
      <c r="D80" s="168"/>
      <c r="E80" s="168"/>
      <c r="F80" s="168"/>
      <c r="G80" s="168"/>
      <c r="H80" s="162" t="str">
        <f>'Pág 2'!C25</f>
        <v>FL.01/302.92/04538 - Especificação Técnica - Concreto</v>
      </c>
      <c r="I80" s="168"/>
      <c r="J80" s="168"/>
    </row>
    <row r="81" spans="1:10" ht="15" customHeight="1">
      <c r="A81" s="114"/>
      <c r="B81" s="163" t="s">
        <v>79</v>
      </c>
      <c r="C81" s="164"/>
      <c r="D81" s="164"/>
      <c r="E81" s="163" t="str">
        <f>'Pág 2'!C18</f>
        <v>FL.01/302.76/04537 - Memorial de Cálculo e Dimensionamento - Concreto.</v>
      </c>
      <c r="F81" s="114"/>
      <c r="G81" s="164"/>
      <c r="H81" s="164"/>
      <c r="I81" s="164"/>
      <c r="J81" s="164"/>
    </row>
    <row r="82" spans="1:10" ht="15" customHeight="1">
      <c r="A82" s="114"/>
      <c r="B82" s="163" t="s">
        <v>73</v>
      </c>
      <c r="C82" s="153"/>
      <c r="D82" s="153"/>
      <c r="E82" s="163"/>
      <c r="F82" s="114"/>
      <c r="G82" s="164"/>
      <c r="H82" s="164"/>
      <c r="I82" s="164"/>
      <c r="J82" s="544"/>
    </row>
    <row r="83" spans="1:10" thickBot="1">
      <c r="A83" s="114"/>
      <c r="B83" s="165"/>
      <c r="C83" s="165"/>
      <c r="D83" s="165"/>
      <c r="E83" s="153"/>
      <c r="F83" s="153"/>
      <c r="G83" s="153"/>
      <c r="H83" s="153"/>
      <c r="I83" s="153"/>
      <c r="J83" s="545"/>
    </row>
    <row r="84" spans="1:10" ht="15">
      <c r="A84" s="114"/>
      <c r="B84" s="1187" t="s">
        <v>74</v>
      </c>
      <c r="C84" s="1187"/>
      <c r="D84" s="1187"/>
      <c r="E84" s="1187"/>
      <c r="F84" s="1187"/>
      <c r="G84" s="1187"/>
      <c r="H84" s="1188"/>
      <c r="I84" s="1189"/>
      <c r="J84" s="546" t="s">
        <v>75</v>
      </c>
    </row>
    <row r="85" spans="1:10" ht="15">
      <c r="A85" s="114"/>
      <c r="B85" s="1181" t="str">
        <f>TIT.401</f>
        <v xml:space="preserve">FL.17/304.13/04693 - EDIFICAÇÕES DE APOIO </v>
      </c>
      <c r="C85" s="1181"/>
      <c r="D85" s="1181"/>
      <c r="E85" s="1181"/>
      <c r="F85" s="1181"/>
      <c r="G85" s="1181"/>
      <c r="H85" s="1182"/>
      <c r="I85" s="1183"/>
      <c r="J85" s="553">
        <f>E35.401</f>
        <v>624</v>
      </c>
    </row>
    <row r="86" spans="1:10" ht="15" customHeight="1">
      <c r="A86" s="114"/>
      <c r="B86" s="1181"/>
      <c r="C86" s="1181"/>
      <c r="D86" s="1181"/>
      <c r="E86" s="1181"/>
      <c r="F86" s="1181"/>
      <c r="G86" s="1181"/>
      <c r="H86" s="1182"/>
      <c r="I86" s="1183"/>
      <c r="J86" s="548"/>
    </row>
    <row r="87" spans="1:10" ht="15" customHeight="1" thickBot="1">
      <c r="A87" s="114"/>
      <c r="B87" s="1193" t="s">
        <v>76</v>
      </c>
      <c r="C87" s="1193"/>
      <c r="D87" s="1193"/>
      <c r="E87" s="1193"/>
      <c r="F87" s="1193"/>
      <c r="G87" s="1193"/>
      <c r="H87" s="1194"/>
      <c r="I87" s="1195"/>
      <c r="J87" s="549">
        <f>SUM(J85:J85)</f>
        <v>624</v>
      </c>
    </row>
    <row r="88" spans="1:10" ht="15" customHeight="1" thickBot="1">
      <c r="A88" s="114"/>
      <c r="B88" s="1196" t="s">
        <v>77</v>
      </c>
      <c r="C88" s="1196"/>
      <c r="D88" s="1196"/>
      <c r="E88" s="1196"/>
      <c r="F88" s="1196"/>
      <c r="G88" s="1196"/>
      <c r="H88" s="1196"/>
      <c r="I88" s="1196"/>
      <c r="J88" s="550"/>
    </row>
    <row r="89" spans="1:10" ht="15" customHeight="1">
      <c r="A89" s="114"/>
      <c r="B89" s="551" t="s">
        <v>78</v>
      </c>
      <c r="C89" s="154"/>
      <c r="D89" s="154"/>
      <c r="E89" s="154"/>
      <c r="F89" s="154"/>
      <c r="G89" s="154"/>
      <c r="H89" s="154"/>
      <c r="I89" s="154"/>
      <c r="J89" s="545"/>
    </row>
    <row r="90" spans="1:10" ht="15" customHeight="1" thickBot="1">
      <c r="A90" s="114"/>
      <c r="B90" s="155"/>
      <c r="C90" s="155"/>
      <c r="D90" s="155"/>
      <c r="E90" s="155"/>
      <c r="F90" s="155"/>
      <c r="G90" s="155"/>
      <c r="H90" s="155"/>
      <c r="I90" s="155"/>
      <c r="J90" s="552"/>
    </row>
    <row r="91" spans="1:10" thickTop="1">
      <c r="A91" s="114"/>
      <c r="B91" s="1211" t="s">
        <v>57</v>
      </c>
      <c r="C91" s="1211"/>
      <c r="D91" s="1211"/>
      <c r="E91" s="1211"/>
      <c r="F91" s="1211"/>
      <c r="G91" s="1211"/>
      <c r="H91" s="1211"/>
      <c r="I91" s="1211"/>
      <c r="J91" s="1211"/>
    </row>
    <row r="92" spans="1:10" ht="44.25" customHeight="1">
      <c r="A92" s="114"/>
      <c r="B92" s="1213" t="str">
        <f>'PSQ-INFRA'!C46</f>
        <v>Estaca Hélice Contínua com diâmetro de 400 mm</v>
      </c>
      <c r="C92" s="1213"/>
      <c r="D92" s="1213"/>
      <c r="E92" s="1213"/>
      <c r="F92" s="1213"/>
      <c r="G92" s="1213"/>
      <c r="H92" s="1213"/>
      <c r="I92" s="1213"/>
      <c r="J92" s="541"/>
    </row>
    <row r="93" spans="1:10" ht="15">
      <c r="A93" s="114"/>
      <c r="B93" s="1214" t="s">
        <v>7</v>
      </c>
      <c r="C93" s="1215"/>
      <c r="D93" s="1220" t="s">
        <v>70</v>
      </c>
      <c r="E93" s="1221"/>
      <c r="F93" s="1221"/>
      <c r="G93" s="1222"/>
      <c r="H93" s="1223" t="s">
        <v>4</v>
      </c>
      <c r="I93" s="1224"/>
      <c r="J93" s="365" t="s">
        <v>71</v>
      </c>
    </row>
    <row r="94" spans="1:10" ht="56.25" customHeight="1" thickBot="1">
      <c r="A94" s="114"/>
      <c r="B94" s="1225" t="str">
        <f>'PSQ-INFRA'!B46</f>
        <v>04.02.170.04</v>
      </c>
      <c r="C94" s="1226"/>
      <c r="D94" s="1218" t="str">
        <f>B92</f>
        <v>Estaca Hélice Contínua com diâmetro de 400 mm</v>
      </c>
      <c r="E94" s="1219"/>
      <c r="F94" s="1219"/>
      <c r="G94" s="1195"/>
      <c r="H94" s="1184" t="str">
        <f>'PSQ-INFRA'!D46</f>
        <v>m</v>
      </c>
      <c r="I94" s="1185"/>
      <c r="J94" s="542">
        <f>J103</f>
        <v>714</v>
      </c>
    </row>
    <row r="95" spans="1:10" ht="15">
      <c r="A95" s="114"/>
      <c r="B95" s="1186" t="s">
        <v>72</v>
      </c>
      <c r="C95" s="1186"/>
      <c r="D95" s="1186"/>
      <c r="E95" s="1186"/>
      <c r="F95" s="1186"/>
      <c r="G95" s="1186"/>
      <c r="H95" s="1186"/>
      <c r="I95" s="1186"/>
      <c r="J95" s="543"/>
    </row>
    <row r="96" spans="1:10" ht="15" customHeight="1">
      <c r="A96" s="114"/>
      <c r="B96" s="162" t="s">
        <v>80</v>
      </c>
      <c r="C96" s="168"/>
      <c r="D96" s="168"/>
      <c r="E96" s="168"/>
      <c r="F96" s="168"/>
      <c r="G96" s="168"/>
      <c r="H96" s="162" t="str">
        <f>'Pág 2'!C25</f>
        <v>FL.01/302.92/04538 - Especificação Técnica - Concreto</v>
      </c>
      <c r="I96" s="168"/>
      <c r="J96" s="168"/>
    </row>
    <row r="97" spans="1:10" ht="15" customHeight="1">
      <c r="A97" s="114"/>
      <c r="B97" s="163" t="s">
        <v>79</v>
      </c>
      <c r="C97" s="164"/>
      <c r="D97" s="164"/>
      <c r="E97" s="163" t="str">
        <f>'Pág 2'!C18</f>
        <v>FL.01/302.76/04537 - Memorial de Cálculo e Dimensionamento - Concreto.</v>
      </c>
      <c r="F97" s="114"/>
      <c r="G97" s="164"/>
      <c r="H97" s="164"/>
      <c r="I97" s="164"/>
      <c r="J97" s="164"/>
    </row>
    <row r="98" spans="1:10" ht="15" customHeight="1">
      <c r="A98" s="114"/>
      <c r="B98" s="163" t="s">
        <v>73</v>
      </c>
      <c r="C98" s="153"/>
      <c r="D98" s="153"/>
      <c r="E98" s="163"/>
      <c r="F98" s="114"/>
      <c r="G98" s="164"/>
      <c r="H98" s="164"/>
      <c r="I98" s="164"/>
      <c r="J98" s="544"/>
    </row>
    <row r="99" spans="1:10" thickBot="1">
      <c r="A99" s="114"/>
      <c r="B99" s="165"/>
      <c r="C99" s="165"/>
      <c r="D99" s="165"/>
      <c r="E99" s="153"/>
      <c r="F99" s="153"/>
      <c r="G99" s="153"/>
      <c r="H99" s="153"/>
      <c r="I99" s="153"/>
      <c r="J99" s="545"/>
    </row>
    <row r="100" spans="1:10" ht="15">
      <c r="A100" s="114"/>
      <c r="B100" s="1187" t="s">
        <v>74</v>
      </c>
      <c r="C100" s="1187"/>
      <c r="D100" s="1187"/>
      <c r="E100" s="1187"/>
      <c r="F100" s="1187"/>
      <c r="G100" s="1187"/>
      <c r="H100" s="1188"/>
      <c r="I100" s="1189"/>
      <c r="J100" s="546" t="s">
        <v>75</v>
      </c>
    </row>
    <row r="101" spans="1:10" ht="15">
      <c r="A101" s="114"/>
      <c r="B101" s="1181" t="str">
        <f>TIT.401</f>
        <v xml:space="preserve">FL.17/304.13/04693 - EDIFICAÇÕES DE APOIO </v>
      </c>
      <c r="C101" s="1181"/>
      <c r="D101" s="1181"/>
      <c r="E101" s="1181"/>
      <c r="F101" s="1181"/>
      <c r="G101" s="1181"/>
      <c r="H101" s="1182"/>
      <c r="I101" s="1183"/>
      <c r="J101" s="553">
        <f>E40.401</f>
        <v>714</v>
      </c>
    </row>
    <row r="102" spans="1:10" ht="15" customHeight="1">
      <c r="A102" s="114"/>
      <c r="B102" s="1181"/>
      <c r="C102" s="1181"/>
      <c r="D102" s="1181"/>
      <c r="E102" s="1181"/>
      <c r="F102" s="1181"/>
      <c r="G102" s="1181"/>
      <c r="H102" s="1182"/>
      <c r="I102" s="1183"/>
      <c r="J102" s="548"/>
    </row>
    <row r="103" spans="1:10" ht="15" customHeight="1" thickBot="1">
      <c r="A103" s="114"/>
      <c r="B103" s="1193" t="s">
        <v>76</v>
      </c>
      <c r="C103" s="1193"/>
      <c r="D103" s="1193"/>
      <c r="E103" s="1193"/>
      <c r="F103" s="1193"/>
      <c r="G103" s="1193"/>
      <c r="H103" s="1194"/>
      <c r="I103" s="1195"/>
      <c r="J103" s="549">
        <f>SUM(J101:J101)</f>
        <v>714</v>
      </c>
    </row>
    <row r="104" spans="1:10" ht="15" customHeight="1" thickBot="1">
      <c r="A104" s="114"/>
      <c r="B104" s="1196" t="s">
        <v>77</v>
      </c>
      <c r="C104" s="1196"/>
      <c r="D104" s="1196"/>
      <c r="E104" s="1196"/>
      <c r="F104" s="1196"/>
      <c r="G104" s="1196"/>
      <c r="H104" s="1196"/>
      <c r="I104" s="1196"/>
      <c r="J104" s="550"/>
    </row>
    <row r="105" spans="1:10" ht="15">
      <c r="A105" s="114"/>
      <c r="B105" s="551" t="s">
        <v>78</v>
      </c>
      <c r="C105" s="154"/>
      <c r="D105" s="154"/>
      <c r="E105" s="154"/>
      <c r="F105" s="154"/>
      <c r="G105" s="154"/>
      <c r="H105" s="154"/>
      <c r="I105" s="154"/>
      <c r="J105" s="545"/>
    </row>
    <row r="106" spans="1:10" thickBot="1">
      <c r="A106" s="114"/>
      <c r="B106" s="155"/>
      <c r="C106" s="155"/>
      <c r="D106" s="155"/>
      <c r="E106" s="155"/>
      <c r="F106" s="155"/>
      <c r="G106" s="155"/>
      <c r="H106" s="155"/>
      <c r="I106" s="155"/>
      <c r="J106" s="552"/>
    </row>
    <row r="107" spans="1:10" thickTop="1">
      <c r="A107" s="114"/>
      <c r="B107" s="1211" t="s">
        <v>57</v>
      </c>
      <c r="C107" s="1211"/>
      <c r="D107" s="1211"/>
      <c r="E107" s="1211"/>
      <c r="F107" s="1211"/>
      <c r="G107" s="1211"/>
      <c r="H107" s="1211"/>
      <c r="I107" s="1211"/>
      <c r="J107" s="1211"/>
    </row>
    <row r="108" spans="1:10" ht="44.25" customHeight="1">
      <c r="A108" s="114"/>
      <c r="B108" s="1213" t="str">
        <f>'PSQ-INFRA'!C28</f>
        <v>Preparo de Cabeças de Estacas com diâmetro de 250 mm</v>
      </c>
      <c r="C108" s="1213"/>
      <c r="D108" s="1213"/>
      <c r="E108" s="1213"/>
      <c r="F108" s="1213"/>
      <c r="G108" s="1213"/>
      <c r="H108" s="1213"/>
      <c r="I108" s="1213"/>
      <c r="J108" s="541"/>
    </row>
    <row r="109" spans="1:10" ht="15">
      <c r="A109" s="114"/>
      <c r="B109" s="1214" t="s">
        <v>7</v>
      </c>
      <c r="C109" s="1215"/>
      <c r="D109" s="1220" t="s">
        <v>70</v>
      </c>
      <c r="E109" s="1221"/>
      <c r="F109" s="1221"/>
      <c r="G109" s="1222"/>
      <c r="H109" s="1223" t="s">
        <v>4</v>
      </c>
      <c r="I109" s="1224"/>
      <c r="J109" s="365" t="s">
        <v>71</v>
      </c>
    </row>
    <row r="110" spans="1:10" ht="56.25" customHeight="1" thickBot="1">
      <c r="A110" s="114"/>
      <c r="B110" s="1225" t="str">
        <f>'PSQ-INFRA'!B28</f>
        <v>04.02.120.01</v>
      </c>
      <c r="C110" s="1226"/>
      <c r="D110" s="1218" t="str">
        <f>B108</f>
        <v>Preparo de Cabeças de Estacas com diâmetro de 250 mm</v>
      </c>
      <c r="E110" s="1219"/>
      <c r="F110" s="1219"/>
      <c r="G110" s="1195"/>
      <c r="H110" s="1184" t="str">
        <f>'PSQ-INFRA'!D28</f>
        <v>un</v>
      </c>
      <c r="I110" s="1185"/>
      <c r="J110" s="542">
        <f>J119</f>
        <v>17</v>
      </c>
    </row>
    <row r="111" spans="1:10" ht="15">
      <c r="A111" s="114"/>
      <c r="B111" s="1186" t="s">
        <v>72</v>
      </c>
      <c r="C111" s="1186"/>
      <c r="D111" s="1186"/>
      <c r="E111" s="1186"/>
      <c r="F111" s="1186"/>
      <c r="G111" s="1186"/>
      <c r="H111" s="1186"/>
      <c r="I111" s="1186"/>
      <c r="J111" s="543"/>
    </row>
    <row r="112" spans="1:10" ht="15" customHeight="1">
      <c r="A112" s="114"/>
      <c r="B112" s="162" t="s">
        <v>80</v>
      </c>
      <c r="C112" s="168"/>
      <c r="D112" s="168"/>
      <c r="E112" s="168"/>
      <c r="F112" s="168"/>
      <c r="G112" s="168"/>
      <c r="H112" s="162" t="str">
        <f>'Pág 2'!C25</f>
        <v>FL.01/302.92/04538 - Especificação Técnica - Concreto</v>
      </c>
      <c r="I112" s="168"/>
      <c r="J112" s="168"/>
    </row>
    <row r="113" spans="1:10" ht="15" customHeight="1">
      <c r="A113" s="114"/>
      <c r="B113" s="163" t="s">
        <v>79</v>
      </c>
      <c r="C113" s="164"/>
      <c r="D113" s="164"/>
      <c r="E113" s="163" t="str">
        <f>'Pág 2'!C18</f>
        <v>FL.01/302.76/04537 - Memorial de Cálculo e Dimensionamento - Concreto.</v>
      </c>
      <c r="F113" s="114"/>
      <c r="G113" s="164"/>
      <c r="H113" s="164"/>
      <c r="I113" s="164"/>
      <c r="J113" s="164"/>
    </row>
    <row r="114" spans="1:10" ht="15" customHeight="1">
      <c r="A114" s="114"/>
      <c r="B114" s="163" t="s">
        <v>73</v>
      </c>
      <c r="C114" s="153"/>
      <c r="D114" s="153"/>
      <c r="E114" s="163"/>
      <c r="F114" s="114"/>
      <c r="G114" s="164"/>
      <c r="H114" s="164"/>
      <c r="I114" s="164"/>
      <c r="J114" s="164"/>
    </row>
    <row r="115" spans="1:10" thickBot="1">
      <c r="A115" s="114"/>
      <c r="B115" s="165"/>
      <c r="C115" s="165"/>
      <c r="D115" s="165"/>
      <c r="E115" s="153"/>
      <c r="F115" s="153"/>
      <c r="G115" s="153"/>
      <c r="H115" s="153"/>
      <c r="I115" s="153"/>
      <c r="J115" s="554"/>
    </row>
    <row r="116" spans="1:10" ht="15">
      <c r="A116" s="114"/>
      <c r="B116" s="1187" t="s">
        <v>74</v>
      </c>
      <c r="C116" s="1187"/>
      <c r="D116" s="1187"/>
      <c r="E116" s="1187"/>
      <c r="F116" s="1187"/>
      <c r="G116" s="1187"/>
      <c r="H116" s="1188"/>
      <c r="I116" s="1189"/>
      <c r="J116" s="546" t="s">
        <v>75</v>
      </c>
    </row>
    <row r="117" spans="1:10" ht="15">
      <c r="A117" s="114"/>
      <c r="B117" s="1181" t="str">
        <f>TIT.401</f>
        <v xml:space="preserve">FL.17/304.13/04693 - EDIFICAÇÕES DE APOIO </v>
      </c>
      <c r="C117" s="1181"/>
      <c r="D117" s="1181"/>
      <c r="E117" s="1181"/>
      <c r="F117" s="1181"/>
      <c r="G117" s="1181"/>
      <c r="H117" s="1182"/>
      <c r="I117" s="1183"/>
      <c r="J117" s="553">
        <f>QE25.401</f>
        <v>17</v>
      </c>
    </row>
    <row r="118" spans="1:10" ht="15" customHeight="1">
      <c r="A118" s="114"/>
      <c r="B118" s="1181"/>
      <c r="C118" s="1181"/>
      <c r="D118" s="1181"/>
      <c r="E118" s="1181"/>
      <c r="F118" s="1181"/>
      <c r="G118" s="1181"/>
      <c r="H118" s="1182"/>
      <c r="I118" s="1183"/>
      <c r="J118" s="548"/>
    </row>
    <row r="119" spans="1:10" ht="15" customHeight="1" thickBot="1">
      <c r="A119" s="114"/>
      <c r="B119" s="1193" t="s">
        <v>76</v>
      </c>
      <c r="C119" s="1193"/>
      <c r="D119" s="1193"/>
      <c r="E119" s="1193"/>
      <c r="F119" s="1193"/>
      <c r="G119" s="1193"/>
      <c r="H119" s="1194"/>
      <c r="I119" s="1195"/>
      <c r="J119" s="549">
        <f>SUM(J117:J117)</f>
        <v>17</v>
      </c>
    </row>
    <row r="120" spans="1:10" ht="15" customHeight="1" thickBot="1">
      <c r="A120" s="114"/>
      <c r="B120" s="1196" t="s">
        <v>77</v>
      </c>
      <c r="C120" s="1196"/>
      <c r="D120" s="1196"/>
      <c r="E120" s="1196"/>
      <c r="F120" s="1196"/>
      <c r="G120" s="1196"/>
      <c r="H120" s="1196"/>
      <c r="I120" s="1196"/>
      <c r="J120" s="550"/>
    </row>
    <row r="121" spans="1:10" ht="15" customHeight="1">
      <c r="A121" s="114"/>
      <c r="B121" s="551" t="s">
        <v>78</v>
      </c>
      <c r="C121" s="154"/>
      <c r="D121" s="154"/>
      <c r="E121" s="154"/>
      <c r="F121" s="154"/>
      <c r="G121" s="154"/>
      <c r="H121" s="154"/>
      <c r="I121" s="154"/>
      <c r="J121" s="545"/>
    </row>
    <row r="122" spans="1:10" ht="15" customHeight="1" thickBot="1">
      <c r="A122" s="114"/>
      <c r="B122" s="155"/>
      <c r="C122" s="155"/>
      <c r="D122" s="155"/>
      <c r="E122" s="155"/>
      <c r="F122" s="155"/>
      <c r="G122" s="155"/>
      <c r="H122" s="155"/>
      <c r="I122" s="155"/>
      <c r="J122" s="552"/>
    </row>
    <row r="123" spans="1:10" thickTop="1">
      <c r="A123" s="114"/>
      <c r="B123" s="1211" t="s">
        <v>57</v>
      </c>
      <c r="C123" s="1211"/>
      <c r="D123" s="1211"/>
      <c r="E123" s="1211"/>
      <c r="F123" s="1211"/>
      <c r="G123" s="1211"/>
      <c r="H123" s="1211"/>
      <c r="I123" s="1211"/>
      <c r="J123" s="1211"/>
    </row>
    <row r="124" spans="1:10" ht="44.25" customHeight="1">
      <c r="A124" s="114"/>
      <c r="B124" s="1213" t="str">
        <f>'PSQ-INFRA'!C29</f>
        <v>Preparo de Cabeças de Estacas com diâmetro de 350 mm</v>
      </c>
      <c r="C124" s="1213"/>
      <c r="D124" s="1213"/>
      <c r="E124" s="1213"/>
      <c r="F124" s="1213"/>
      <c r="G124" s="1213"/>
      <c r="H124" s="1213"/>
      <c r="I124" s="1213"/>
      <c r="J124" s="541"/>
    </row>
    <row r="125" spans="1:10" ht="15">
      <c r="A125" s="114"/>
      <c r="B125" s="1214" t="s">
        <v>7</v>
      </c>
      <c r="C125" s="1215"/>
      <c r="D125" s="1220" t="s">
        <v>70</v>
      </c>
      <c r="E125" s="1221"/>
      <c r="F125" s="1221"/>
      <c r="G125" s="1222"/>
      <c r="H125" s="1223" t="s">
        <v>4</v>
      </c>
      <c r="I125" s="1224"/>
      <c r="J125" s="365" t="s">
        <v>71</v>
      </c>
    </row>
    <row r="126" spans="1:10" ht="56.25" customHeight="1" thickBot="1">
      <c r="A126" s="114"/>
      <c r="B126" s="1225" t="str">
        <f>'PSQ-INFRA'!B29</f>
        <v>04.02.120.03</v>
      </c>
      <c r="C126" s="1226"/>
      <c r="D126" s="1218" t="str">
        <f>B124</f>
        <v>Preparo de Cabeças de Estacas com diâmetro de 350 mm</v>
      </c>
      <c r="E126" s="1219"/>
      <c r="F126" s="1219"/>
      <c r="G126" s="1195"/>
      <c r="H126" s="1184" t="str">
        <f>'PSQ-INFRA'!D29</f>
        <v>un</v>
      </c>
      <c r="I126" s="1185"/>
      <c r="J126" s="542">
        <f>J135</f>
        <v>48</v>
      </c>
    </row>
    <row r="127" spans="1:10" ht="15">
      <c r="A127" s="114"/>
      <c r="B127" s="1186" t="s">
        <v>72</v>
      </c>
      <c r="C127" s="1186"/>
      <c r="D127" s="1186"/>
      <c r="E127" s="1186"/>
      <c r="F127" s="1186"/>
      <c r="G127" s="1186"/>
      <c r="H127" s="1186"/>
      <c r="I127" s="1186"/>
      <c r="J127" s="543"/>
    </row>
    <row r="128" spans="1:10" ht="15" customHeight="1">
      <c r="A128" s="114"/>
      <c r="B128" s="162" t="s">
        <v>80</v>
      </c>
      <c r="C128" s="168"/>
      <c r="D128" s="168"/>
      <c r="E128" s="168"/>
      <c r="F128" s="168"/>
      <c r="G128" s="168"/>
      <c r="H128" s="162" t="str">
        <f>'Pág 2'!C25</f>
        <v>FL.01/302.92/04538 - Especificação Técnica - Concreto</v>
      </c>
      <c r="I128" s="168"/>
      <c r="J128" s="168"/>
    </row>
    <row r="129" spans="1:10" ht="15" customHeight="1">
      <c r="A129" s="114"/>
      <c r="B129" s="163" t="s">
        <v>79</v>
      </c>
      <c r="C129" s="164"/>
      <c r="D129" s="164"/>
      <c r="E129" s="163" t="str">
        <f>'Pág 2'!C18</f>
        <v>FL.01/302.76/04537 - Memorial de Cálculo e Dimensionamento - Concreto.</v>
      </c>
      <c r="F129" s="114"/>
      <c r="G129" s="164"/>
      <c r="H129" s="164"/>
      <c r="I129" s="164"/>
      <c r="J129" s="164"/>
    </row>
    <row r="130" spans="1:10" ht="15" customHeight="1">
      <c r="A130" s="114"/>
      <c r="B130" s="163" t="s">
        <v>73</v>
      </c>
      <c r="C130" s="153"/>
      <c r="D130" s="153"/>
      <c r="E130" s="163"/>
      <c r="F130" s="114"/>
      <c r="G130" s="164"/>
      <c r="H130" s="164"/>
      <c r="I130" s="164"/>
      <c r="J130" s="164"/>
    </row>
    <row r="131" spans="1:10" thickBot="1">
      <c r="A131" s="114"/>
      <c r="B131" s="165"/>
      <c r="C131" s="165"/>
      <c r="D131" s="165"/>
      <c r="E131" s="153"/>
      <c r="F131" s="153"/>
      <c r="G131" s="153"/>
      <c r="H131" s="153"/>
      <c r="I131" s="153"/>
      <c r="J131" s="554"/>
    </row>
    <row r="132" spans="1:10" ht="15">
      <c r="A132" s="114"/>
      <c r="B132" s="1187" t="s">
        <v>74</v>
      </c>
      <c r="C132" s="1187"/>
      <c r="D132" s="1187"/>
      <c r="E132" s="1187"/>
      <c r="F132" s="1187"/>
      <c r="G132" s="1187"/>
      <c r="H132" s="1188"/>
      <c r="I132" s="1189"/>
      <c r="J132" s="546" t="s">
        <v>75</v>
      </c>
    </row>
    <row r="133" spans="1:10" ht="15">
      <c r="A133" s="114"/>
      <c r="B133" s="1181" t="str">
        <f>TIT.401</f>
        <v xml:space="preserve">FL.17/304.13/04693 - EDIFICAÇÕES DE APOIO </v>
      </c>
      <c r="C133" s="1181"/>
      <c r="D133" s="1181"/>
      <c r="E133" s="1181"/>
      <c r="F133" s="1181"/>
      <c r="G133" s="1181"/>
      <c r="H133" s="1182"/>
      <c r="I133" s="1183"/>
      <c r="J133" s="553">
        <f>QE35.401</f>
        <v>48</v>
      </c>
    </row>
    <row r="134" spans="1:10" ht="15" customHeight="1">
      <c r="A134" s="114"/>
      <c r="B134" s="1181"/>
      <c r="C134" s="1181"/>
      <c r="D134" s="1181"/>
      <c r="E134" s="1181"/>
      <c r="F134" s="1181"/>
      <c r="G134" s="1181"/>
      <c r="H134" s="1182"/>
      <c r="I134" s="1183"/>
      <c r="J134" s="548"/>
    </row>
    <row r="135" spans="1:10" ht="15" customHeight="1" thickBot="1">
      <c r="A135" s="114"/>
      <c r="B135" s="1193" t="s">
        <v>76</v>
      </c>
      <c r="C135" s="1193"/>
      <c r="D135" s="1193"/>
      <c r="E135" s="1193"/>
      <c r="F135" s="1193"/>
      <c r="G135" s="1193"/>
      <c r="H135" s="1194"/>
      <c r="I135" s="1195"/>
      <c r="J135" s="549">
        <f>SUM(J133:J133)</f>
        <v>48</v>
      </c>
    </row>
    <row r="136" spans="1:10" ht="15" customHeight="1" thickBot="1">
      <c r="A136" s="114"/>
      <c r="B136" s="1196" t="s">
        <v>77</v>
      </c>
      <c r="C136" s="1196"/>
      <c r="D136" s="1196"/>
      <c r="E136" s="1196"/>
      <c r="F136" s="1196"/>
      <c r="G136" s="1196"/>
      <c r="H136" s="1196"/>
      <c r="I136" s="1196"/>
      <c r="J136" s="550"/>
    </row>
    <row r="137" spans="1:10" ht="15" customHeight="1">
      <c r="A137" s="114"/>
      <c r="B137" s="551" t="s">
        <v>78</v>
      </c>
      <c r="C137" s="154"/>
      <c r="D137" s="154"/>
      <c r="E137" s="154"/>
      <c r="F137" s="154"/>
      <c r="G137" s="154"/>
      <c r="H137" s="154"/>
      <c r="I137" s="154"/>
      <c r="J137" s="545"/>
    </row>
    <row r="138" spans="1:10" ht="15" customHeight="1" thickBot="1">
      <c r="A138" s="114"/>
      <c r="B138" s="155"/>
      <c r="C138" s="155"/>
      <c r="D138" s="155"/>
      <c r="E138" s="155"/>
      <c r="F138" s="155"/>
      <c r="G138" s="155"/>
      <c r="H138" s="155"/>
      <c r="I138" s="155"/>
      <c r="J138" s="552"/>
    </row>
    <row r="139" spans="1:10" thickTop="1">
      <c r="A139" s="114"/>
      <c r="B139" s="1211" t="s">
        <v>57</v>
      </c>
      <c r="C139" s="1211"/>
      <c r="D139" s="1211"/>
      <c r="E139" s="1211"/>
      <c r="F139" s="1211"/>
      <c r="G139" s="1211"/>
      <c r="H139" s="1211"/>
      <c r="I139" s="1211"/>
      <c r="J139" s="1211"/>
    </row>
    <row r="140" spans="1:10" ht="44.25" customHeight="1">
      <c r="A140" s="114"/>
      <c r="B140" s="1213" t="str">
        <f>'PSQ-INFRA'!C30</f>
        <v>Preparo de Cabeças de Estacas com diâmetro de 400 mm</v>
      </c>
      <c r="C140" s="1213"/>
      <c r="D140" s="1213"/>
      <c r="E140" s="1213"/>
      <c r="F140" s="1213"/>
      <c r="G140" s="1213"/>
      <c r="H140" s="1213"/>
      <c r="I140" s="1213"/>
      <c r="J140" s="541"/>
    </row>
    <row r="141" spans="1:10" ht="15">
      <c r="A141" s="114"/>
      <c r="B141" s="1214" t="s">
        <v>7</v>
      </c>
      <c r="C141" s="1215"/>
      <c r="D141" s="1220" t="s">
        <v>70</v>
      </c>
      <c r="E141" s="1221"/>
      <c r="F141" s="1221"/>
      <c r="G141" s="1222"/>
      <c r="H141" s="1223" t="s">
        <v>4</v>
      </c>
      <c r="I141" s="1224"/>
      <c r="J141" s="365" t="s">
        <v>71</v>
      </c>
    </row>
    <row r="142" spans="1:10" ht="56.25" customHeight="1" thickBot="1">
      <c r="A142" s="114"/>
      <c r="B142" s="1225" t="str">
        <f>'PSQ-INFRA'!B30</f>
        <v>04.02.120.04</v>
      </c>
      <c r="C142" s="1226"/>
      <c r="D142" s="1218" t="str">
        <f>B140</f>
        <v>Preparo de Cabeças de Estacas com diâmetro de 400 mm</v>
      </c>
      <c r="E142" s="1219"/>
      <c r="F142" s="1219"/>
      <c r="G142" s="1195"/>
      <c r="H142" s="1184" t="str">
        <f>'PSQ-INFRA'!D36</f>
        <v>un</v>
      </c>
      <c r="I142" s="1185"/>
      <c r="J142" s="542">
        <f>J151</f>
        <v>51</v>
      </c>
    </row>
    <row r="143" spans="1:10" ht="15">
      <c r="A143" s="114"/>
      <c r="B143" s="1186" t="s">
        <v>72</v>
      </c>
      <c r="C143" s="1186"/>
      <c r="D143" s="1186"/>
      <c r="E143" s="1186"/>
      <c r="F143" s="1186"/>
      <c r="G143" s="1186"/>
      <c r="H143" s="1186"/>
      <c r="I143" s="1186"/>
      <c r="J143" s="543"/>
    </row>
    <row r="144" spans="1:10" ht="15" customHeight="1">
      <c r="A144" s="114"/>
      <c r="B144" s="162" t="s">
        <v>80</v>
      </c>
      <c r="C144" s="168"/>
      <c r="D144" s="168"/>
      <c r="E144" s="168"/>
      <c r="F144" s="168"/>
      <c r="G144" s="168"/>
      <c r="H144" s="162" t="str">
        <f>'Pág 2'!C25</f>
        <v>FL.01/302.92/04538 - Especificação Técnica - Concreto</v>
      </c>
      <c r="I144" s="168"/>
      <c r="J144" s="168"/>
    </row>
    <row r="145" spans="1:10" ht="15" customHeight="1">
      <c r="A145" s="114"/>
      <c r="B145" s="163" t="s">
        <v>79</v>
      </c>
      <c r="C145" s="164"/>
      <c r="D145" s="164"/>
      <c r="E145" s="163" t="str">
        <f>'Pág 2'!C18</f>
        <v>FL.01/302.76/04537 - Memorial de Cálculo e Dimensionamento - Concreto.</v>
      </c>
      <c r="F145" s="114"/>
      <c r="G145" s="164"/>
      <c r="H145" s="164"/>
      <c r="I145" s="164"/>
      <c r="J145" s="164"/>
    </row>
    <row r="146" spans="1:10" ht="15" customHeight="1">
      <c r="A146" s="114"/>
      <c r="B146" s="163" t="s">
        <v>73</v>
      </c>
      <c r="C146" s="153"/>
      <c r="D146" s="153"/>
      <c r="E146" s="163"/>
      <c r="F146" s="114"/>
      <c r="G146" s="164"/>
      <c r="H146" s="164"/>
      <c r="I146" s="164"/>
      <c r="J146" s="544"/>
    </row>
    <row r="147" spans="1:10" thickBot="1">
      <c r="A147" s="114"/>
      <c r="B147" s="165"/>
      <c r="C147" s="165"/>
      <c r="D147" s="165"/>
      <c r="E147" s="153"/>
      <c r="F147" s="153"/>
      <c r="G147" s="153"/>
      <c r="H147" s="153"/>
      <c r="I147" s="153"/>
      <c r="J147" s="545"/>
    </row>
    <row r="148" spans="1:10" ht="15">
      <c r="A148" s="114"/>
      <c r="B148" s="1187" t="s">
        <v>74</v>
      </c>
      <c r="C148" s="1187"/>
      <c r="D148" s="1187"/>
      <c r="E148" s="1187"/>
      <c r="F148" s="1187"/>
      <c r="G148" s="1187"/>
      <c r="H148" s="1188"/>
      <c r="I148" s="1189"/>
      <c r="J148" s="546" t="s">
        <v>75</v>
      </c>
    </row>
    <row r="149" spans="1:10" ht="15">
      <c r="A149" s="114"/>
      <c r="B149" s="1181" t="str">
        <f>TIT.401</f>
        <v xml:space="preserve">FL.17/304.13/04693 - EDIFICAÇÕES DE APOIO </v>
      </c>
      <c r="C149" s="1181"/>
      <c r="D149" s="1181"/>
      <c r="E149" s="1181"/>
      <c r="F149" s="1181"/>
      <c r="G149" s="1181"/>
      <c r="H149" s="1182"/>
      <c r="I149" s="1183"/>
      <c r="J149" s="553">
        <f>QE40.401</f>
        <v>51</v>
      </c>
    </row>
    <row r="150" spans="1:10" ht="15" customHeight="1">
      <c r="A150" s="114"/>
      <c r="B150" s="1181"/>
      <c r="C150" s="1181"/>
      <c r="D150" s="1181"/>
      <c r="E150" s="1181"/>
      <c r="F150" s="1181"/>
      <c r="G150" s="1181"/>
      <c r="H150" s="1182"/>
      <c r="I150" s="1183"/>
      <c r="J150" s="548"/>
    </row>
    <row r="151" spans="1:10" ht="15" customHeight="1" thickBot="1">
      <c r="A151" s="114"/>
      <c r="B151" s="1193" t="s">
        <v>76</v>
      </c>
      <c r="C151" s="1193"/>
      <c r="D151" s="1193"/>
      <c r="E151" s="1193"/>
      <c r="F151" s="1193"/>
      <c r="G151" s="1193"/>
      <c r="H151" s="1194"/>
      <c r="I151" s="1195"/>
      <c r="J151" s="549">
        <f>SUM(J149:J149)</f>
        <v>51</v>
      </c>
    </row>
    <row r="152" spans="1:10" ht="15" customHeight="1" thickBot="1">
      <c r="A152" s="114"/>
      <c r="B152" s="1248" t="s">
        <v>77</v>
      </c>
      <c r="C152" s="1248"/>
      <c r="D152" s="1248"/>
      <c r="E152" s="1248"/>
      <c r="F152" s="1248"/>
      <c r="G152" s="1248"/>
      <c r="H152" s="1248"/>
      <c r="I152" s="1248"/>
      <c r="J152" s="555"/>
    </row>
    <row r="153" spans="1:10" ht="15" customHeight="1">
      <c r="A153" s="114"/>
      <c r="B153" s="556" t="s">
        <v>78</v>
      </c>
      <c r="C153" s="374"/>
      <c r="D153" s="374"/>
      <c r="E153" s="374"/>
      <c r="F153" s="374"/>
      <c r="G153" s="374"/>
      <c r="H153" s="374"/>
      <c r="I153" s="374"/>
      <c r="J153" s="545"/>
    </row>
    <row r="154" spans="1:10" ht="15" customHeight="1" thickBot="1">
      <c r="A154" s="114"/>
      <c r="B154" s="155"/>
      <c r="C154" s="155"/>
      <c r="D154" s="155"/>
      <c r="E154" s="155"/>
      <c r="F154" s="155"/>
      <c r="G154" s="155"/>
      <c r="H154" s="155"/>
      <c r="I154" s="155"/>
      <c r="J154" s="552"/>
    </row>
    <row r="155" spans="1:10" thickTop="1">
      <c r="A155" s="114"/>
      <c r="B155" s="1211" t="s">
        <v>57</v>
      </c>
      <c r="C155" s="1211"/>
      <c r="D155" s="1211"/>
      <c r="E155" s="1211"/>
      <c r="F155" s="1211"/>
      <c r="G155" s="1211"/>
      <c r="H155" s="1211"/>
      <c r="I155" s="1211"/>
      <c r="J155" s="1211"/>
    </row>
    <row r="156" spans="1:10" ht="44.25" customHeight="1">
      <c r="A156" s="114"/>
      <c r="B156" s="1213" t="str">
        <f>'PSQ-INFRA'!C50</f>
        <v>Fornecimento, transporte, lançamento, adensamento, acabamento e cura - Lastro de Concreto  (fck=10MPa)</v>
      </c>
      <c r="C156" s="1213"/>
      <c r="D156" s="1213"/>
      <c r="E156" s="1213"/>
      <c r="F156" s="1213"/>
      <c r="G156" s="1213"/>
      <c r="H156" s="1213"/>
      <c r="I156" s="1213"/>
      <c r="J156" s="541"/>
    </row>
    <row r="157" spans="1:10" ht="15">
      <c r="A157" s="114"/>
      <c r="B157" s="1214" t="s">
        <v>7</v>
      </c>
      <c r="C157" s="1215"/>
      <c r="D157" s="1220" t="s">
        <v>70</v>
      </c>
      <c r="E157" s="1221"/>
      <c r="F157" s="1221"/>
      <c r="G157" s="1222"/>
      <c r="H157" s="1223" t="s">
        <v>4</v>
      </c>
      <c r="I157" s="1224"/>
      <c r="J157" s="365" t="s">
        <v>71</v>
      </c>
    </row>
    <row r="158" spans="1:10" ht="56.25" customHeight="1" thickBot="1">
      <c r="A158" s="114"/>
      <c r="B158" s="1225" t="str">
        <f>'PSQ-INFRA'!B50</f>
        <v>04.02.210.01</v>
      </c>
      <c r="C158" s="1226"/>
      <c r="D158" s="1218" t="str">
        <f>B156</f>
        <v>Fornecimento, transporte, lançamento, adensamento, acabamento e cura - Lastro de Concreto  (fck=10MPa)</v>
      </c>
      <c r="E158" s="1219"/>
      <c r="F158" s="1219"/>
      <c r="G158" s="1195"/>
      <c r="H158" s="1184" t="str">
        <f>'PSQ-INFRA'!D50</f>
        <v>m³</v>
      </c>
      <c r="I158" s="1185"/>
      <c r="J158" s="542">
        <f>J167</f>
        <v>20.287899999999997</v>
      </c>
    </row>
    <row r="159" spans="1:10" ht="15">
      <c r="A159" s="114"/>
      <c r="B159" s="1186" t="s">
        <v>72</v>
      </c>
      <c r="C159" s="1186"/>
      <c r="D159" s="1186"/>
      <c r="E159" s="1186"/>
      <c r="F159" s="1186"/>
      <c r="G159" s="1186"/>
      <c r="H159" s="1186"/>
      <c r="I159" s="1186"/>
      <c r="J159" s="543"/>
    </row>
    <row r="160" spans="1:10" ht="15" customHeight="1">
      <c r="A160" s="114"/>
      <c r="B160" s="162" t="s">
        <v>80</v>
      </c>
      <c r="C160" s="168"/>
      <c r="D160" s="168"/>
      <c r="E160" s="168"/>
      <c r="F160" s="168"/>
      <c r="G160" s="168"/>
      <c r="H160" s="162" t="str">
        <f>'Pág 2'!C25</f>
        <v>FL.01/302.92/04538 - Especificação Técnica - Concreto</v>
      </c>
      <c r="I160" s="168"/>
      <c r="J160" s="168"/>
    </row>
    <row r="161" spans="1:10" ht="15" customHeight="1">
      <c r="A161" s="114"/>
      <c r="B161" s="163" t="s">
        <v>79</v>
      </c>
      <c r="C161" s="164"/>
      <c r="D161" s="164"/>
      <c r="E161" s="163" t="str">
        <f>'Pág 2'!C18</f>
        <v>FL.01/302.76/04537 - Memorial de Cálculo e Dimensionamento - Concreto.</v>
      </c>
      <c r="F161" s="114"/>
      <c r="G161" s="164"/>
      <c r="H161" s="164"/>
      <c r="I161" s="164"/>
      <c r="J161" s="164"/>
    </row>
    <row r="162" spans="1:10" ht="15" customHeight="1">
      <c r="A162" s="114"/>
      <c r="B162" s="163" t="s">
        <v>73</v>
      </c>
      <c r="C162" s="153"/>
      <c r="D162" s="153"/>
      <c r="E162" s="163"/>
      <c r="F162" s="114"/>
      <c r="G162" s="164"/>
      <c r="H162" s="164"/>
      <c r="I162" s="164"/>
      <c r="J162" s="544"/>
    </row>
    <row r="163" spans="1:10" thickBot="1">
      <c r="A163" s="114"/>
      <c r="B163" s="165"/>
      <c r="C163" s="165"/>
      <c r="D163" s="165"/>
      <c r="E163" s="153"/>
      <c r="F163" s="153"/>
      <c r="G163" s="153"/>
      <c r="H163" s="153"/>
      <c r="I163" s="153"/>
      <c r="J163" s="545"/>
    </row>
    <row r="164" spans="1:10" ht="15">
      <c r="A164" s="114"/>
      <c r="B164" s="1187" t="s">
        <v>74</v>
      </c>
      <c r="C164" s="1187"/>
      <c r="D164" s="1187"/>
      <c r="E164" s="1187"/>
      <c r="F164" s="1187"/>
      <c r="G164" s="1187"/>
      <c r="H164" s="1188"/>
      <c r="I164" s="1189"/>
      <c r="J164" s="546" t="s">
        <v>75</v>
      </c>
    </row>
    <row r="165" spans="1:10" ht="15">
      <c r="A165" s="114"/>
      <c r="B165" s="1181" t="str">
        <f>TIT.401</f>
        <v xml:space="preserve">FL.17/304.13/04693 - EDIFICAÇÕES DE APOIO </v>
      </c>
      <c r="C165" s="1181"/>
      <c r="D165" s="1181"/>
      <c r="E165" s="1181"/>
      <c r="F165" s="1181"/>
      <c r="G165" s="1181"/>
      <c r="H165" s="1182"/>
      <c r="I165" s="1183"/>
      <c r="J165" s="547">
        <f>LC.401</f>
        <v>20.287899999999997</v>
      </c>
    </row>
    <row r="166" spans="1:10" ht="15" customHeight="1">
      <c r="A166" s="114"/>
      <c r="B166" s="1181"/>
      <c r="C166" s="1181"/>
      <c r="D166" s="1181"/>
      <c r="E166" s="1181"/>
      <c r="F166" s="1181"/>
      <c r="G166" s="1181"/>
      <c r="H166" s="1182"/>
      <c r="I166" s="1183"/>
      <c r="J166" s="548"/>
    </row>
    <row r="167" spans="1:10" ht="15" customHeight="1" thickBot="1">
      <c r="A167" s="114"/>
      <c r="B167" s="1193" t="s">
        <v>76</v>
      </c>
      <c r="C167" s="1193"/>
      <c r="D167" s="1193"/>
      <c r="E167" s="1193"/>
      <c r="F167" s="1193"/>
      <c r="G167" s="1193"/>
      <c r="H167" s="1194"/>
      <c r="I167" s="1195"/>
      <c r="J167" s="549">
        <f>SUM(J165:J165)</f>
        <v>20.287899999999997</v>
      </c>
    </row>
    <row r="168" spans="1:10" thickBot="1">
      <c r="A168" s="114"/>
      <c r="B168" s="1196" t="s">
        <v>77</v>
      </c>
      <c r="C168" s="1196"/>
      <c r="D168" s="1196"/>
      <c r="E168" s="1196"/>
      <c r="F168" s="1196"/>
      <c r="G168" s="1196"/>
      <c r="H168" s="1196"/>
      <c r="I168" s="1196"/>
      <c r="J168" s="550"/>
    </row>
    <row r="169" spans="1:10" ht="15">
      <c r="A169" s="114"/>
      <c r="B169" s="551" t="s">
        <v>78</v>
      </c>
      <c r="C169" s="154"/>
      <c r="D169" s="154"/>
      <c r="E169" s="154"/>
      <c r="F169" s="154"/>
      <c r="G169" s="154"/>
      <c r="H169" s="154"/>
      <c r="I169" s="154"/>
      <c r="J169" s="545"/>
    </row>
    <row r="170" spans="1:10" thickBot="1">
      <c r="A170" s="114"/>
      <c r="B170" s="155"/>
      <c r="C170" s="155"/>
      <c r="D170" s="155"/>
      <c r="E170" s="155"/>
      <c r="F170" s="155"/>
      <c r="G170" s="155"/>
      <c r="H170" s="155"/>
      <c r="I170" s="155"/>
      <c r="J170" s="552"/>
    </row>
    <row r="171" spans="1:10" thickTop="1">
      <c r="A171" s="114"/>
      <c r="B171" s="1211" t="s">
        <v>57</v>
      </c>
      <c r="C171" s="1211"/>
      <c r="D171" s="1211"/>
      <c r="E171" s="1211"/>
      <c r="F171" s="1211"/>
      <c r="G171" s="1211"/>
      <c r="H171" s="1211"/>
      <c r="I171" s="1211"/>
      <c r="J171" s="1211"/>
    </row>
    <row r="172" spans="1:10" ht="44.25" customHeight="1">
      <c r="A172" s="114"/>
      <c r="B172" s="1213" t="str">
        <f>'PSQ-INFRA'!C54</f>
        <v>Forma plana comum p/ fundações</v>
      </c>
      <c r="C172" s="1213"/>
      <c r="D172" s="1213"/>
      <c r="E172" s="1213"/>
      <c r="F172" s="1213"/>
      <c r="G172" s="1213"/>
      <c r="H172" s="1213"/>
      <c r="I172" s="1213"/>
      <c r="J172" s="541"/>
    </row>
    <row r="173" spans="1:10" ht="15">
      <c r="A173" s="114"/>
      <c r="B173" s="1214" t="s">
        <v>7</v>
      </c>
      <c r="C173" s="1215"/>
      <c r="D173" s="1220" t="s">
        <v>70</v>
      </c>
      <c r="E173" s="1221"/>
      <c r="F173" s="1221"/>
      <c r="G173" s="1222"/>
      <c r="H173" s="1223" t="s">
        <v>4</v>
      </c>
      <c r="I173" s="1224"/>
      <c r="J173" s="365" t="s">
        <v>71</v>
      </c>
    </row>
    <row r="174" spans="1:10" ht="56.25" customHeight="1" thickBot="1">
      <c r="A174" s="114"/>
      <c r="B174" s="1225" t="str">
        <f>'PSQ-INFRA'!B54</f>
        <v>04.02.220.01</v>
      </c>
      <c r="C174" s="1226"/>
      <c r="D174" s="1218" t="str">
        <f>B172</f>
        <v>Forma plana comum p/ fundações</v>
      </c>
      <c r="E174" s="1219"/>
      <c r="F174" s="1219"/>
      <c r="G174" s="1195"/>
      <c r="H174" s="1184" t="str">
        <f>'PSQ-INFRA'!D54</f>
        <v>m²</v>
      </c>
      <c r="I174" s="1185"/>
      <c r="J174" s="542">
        <f>J183</f>
        <v>1296.9710299999997</v>
      </c>
    </row>
    <row r="175" spans="1:10" ht="15">
      <c r="A175" s="114"/>
      <c r="B175" s="1186" t="s">
        <v>72</v>
      </c>
      <c r="C175" s="1186"/>
      <c r="D175" s="1186"/>
      <c r="E175" s="1186"/>
      <c r="F175" s="1186"/>
      <c r="G175" s="1186"/>
      <c r="H175" s="1186"/>
      <c r="I175" s="1186"/>
      <c r="J175" s="543"/>
    </row>
    <row r="176" spans="1:10" ht="15" customHeight="1">
      <c r="A176" s="114"/>
      <c r="B176" s="162" t="s">
        <v>80</v>
      </c>
      <c r="C176" s="168"/>
      <c r="D176" s="168"/>
      <c r="E176" s="168"/>
      <c r="F176" s="168"/>
      <c r="G176" s="168"/>
      <c r="H176" s="162" t="str">
        <f>'Pág 2'!C25</f>
        <v>FL.01/302.92/04538 - Especificação Técnica - Concreto</v>
      </c>
      <c r="I176" s="168"/>
      <c r="J176" s="168"/>
    </row>
    <row r="177" spans="1:10" ht="15" customHeight="1">
      <c r="A177" s="114"/>
      <c r="B177" s="163" t="s">
        <v>79</v>
      </c>
      <c r="C177" s="164"/>
      <c r="D177" s="164"/>
      <c r="E177" s="163" t="str">
        <f>'Pág 2'!C18</f>
        <v>FL.01/302.76/04537 - Memorial de Cálculo e Dimensionamento - Concreto.</v>
      </c>
      <c r="F177" s="114"/>
      <c r="G177" s="164"/>
      <c r="H177" s="164"/>
      <c r="I177" s="164"/>
      <c r="J177" s="164"/>
    </row>
    <row r="178" spans="1:10" ht="15" customHeight="1">
      <c r="A178" s="114"/>
      <c r="B178" s="163" t="s">
        <v>73</v>
      </c>
      <c r="C178" s="153"/>
      <c r="D178" s="153"/>
      <c r="E178" s="163"/>
      <c r="F178" s="114"/>
      <c r="G178" s="164"/>
      <c r="H178" s="164"/>
      <c r="I178" s="164"/>
      <c r="J178" s="544"/>
    </row>
    <row r="179" spans="1:10" thickBot="1">
      <c r="A179" s="114"/>
      <c r="B179" s="165"/>
      <c r="C179" s="165"/>
      <c r="D179" s="165"/>
      <c r="E179" s="153"/>
      <c r="F179" s="153"/>
      <c r="G179" s="153"/>
      <c r="H179" s="153"/>
      <c r="I179" s="153"/>
      <c r="J179" s="545"/>
    </row>
    <row r="180" spans="1:10" ht="15">
      <c r="A180" s="114"/>
      <c r="B180" s="1187" t="s">
        <v>74</v>
      </c>
      <c r="C180" s="1187"/>
      <c r="D180" s="1187"/>
      <c r="E180" s="1187"/>
      <c r="F180" s="1187"/>
      <c r="G180" s="1187"/>
      <c r="H180" s="1188"/>
      <c r="I180" s="1189"/>
      <c r="J180" s="546" t="s">
        <v>75</v>
      </c>
    </row>
    <row r="181" spans="1:10" ht="15">
      <c r="A181" s="114"/>
      <c r="B181" s="1181" t="str">
        <f>TIT.401</f>
        <v xml:space="preserve">FL.17/304.13/04693 - EDIFICAÇÕES DE APOIO </v>
      </c>
      <c r="C181" s="1181"/>
      <c r="D181" s="1181"/>
      <c r="E181" s="1181"/>
      <c r="F181" s="1181"/>
      <c r="G181" s="1181"/>
      <c r="H181" s="1182"/>
      <c r="I181" s="1183"/>
      <c r="J181" s="547">
        <f>F.401</f>
        <v>1296.9710299999997</v>
      </c>
    </row>
    <row r="182" spans="1:10" ht="15" customHeight="1">
      <c r="A182" s="114"/>
      <c r="B182" s="1181"/>
      <c r="C182" s="1181"/>
      <c r="D182" s="1181"/>
      <c r="E182" s="1181"/>
      <c r="F182" s="1181"/>
      <c r="G182" s="1181"/>
      <c r="H182" s="1182"/>
      <c r="I182" s="1183"/>
      <c r="J182" s="548"/>
    </row>
    <row r="183" spans="1:10" ht="15" customHeight="1" thickBot="1">
      <c r="A183" s="114"/>
      <c r="B183" s="1193" t="s">
        <v>76</v>
      </c>
      <c r="C183" s="1193"/>
      <c r="D183" s="1193"/>
      <c r="E183" s="1193"/>
      <c r="F183" s="1193"/>
      <c r="G183" s="1193"/>
      <c r="H183" s="1194"/>
      <c r="I183" s="1195"/>
      <c r="J183" s="549">
        <f>SUM(J181:J181)</f>
        <v>1296.9710299999997</v>
      </c>
    </row>
    <row r="184" spans="1:10" thickBot="1">
      <c r="A184" s="114"/>
      <c r="B184" s="1196" t="s">
        <v>77</v>
      </c>
      <c r="C184" s="1196"/>
      <c r="D184" s="1196"/>
      <c r="E184" s="1196"/>
      <c r="F184" s="1196"/>
      <c r="G184" s="1196"/>
      <c r="H184" s="1196"/>
      <c r="I184" s="1196"/>
      <c r="J184" s="550"/>
    </row>
    <row r="185" spans="1:10" ht="15">
      <c r="A185" s="114"/>
      <c r="B185" s="551" t="s">
        <v>78</v>
      </c>
      <c r="C185" s="154"/>
      <c r="D185" s="154"/>
      <c r="E185" s="154"/>
      <c r="F185" s="154"/>
      <c r="G185" s="154"/>
      <c r="H185" s="154"/>
      <c r="I185" s="154"/>
      <c r="J185" s="545"/>
    </row>
    <row r="186" spans="1:10" thickBot="1">
      <c r="A186" s="114"/>
      <c r="B186" s="155"/>
      <c r="C186" s="155"/>
      <c r="D186" s="155"/>
      <c r="E186" s="155"/>
      <c r="F186" s="155"/>
      <c r="G186" s="155"/>
      <c r="H186" s="155"/>
      <c r="I186" s="155"/>
      <c r="J186" s="552"/>
    </row>
    <row r="187" spans="1:10" thickTop="1">
      <c r="A187" s="114"/>
      <c r="B187" s="1211" t="s">
        <v>57</v>
      </c>
      <c r="C187" s="1211"/>
      <c r="D187" s="1211"/>
      <c r="E187" s="1211"/>
      <c r="F187" s="1211"/>
      <c r="G187" s="1211"/>
      <c r="H187" s="1211"/>
      <c r="I187" s="1211"/>
      <c r="J187" s="1211"/>
    </row>
    <row r="188" spans="1:10" ht="44.25" customHeight="1">
      <c r="A188" s="114"/>
      <c r="B188" s="1213" t="str">
        <f>'PSQ-INFRA'!C58</f>
        <v>Fornecimento, Dobra e Montagem de Aço CA-50</v>
      </c>
      <c r="C188" s="1213"/>
      <c r="D188" s="1213"/>
      <c r="E188" s="1213"/>
      <c r="F188" s="1213"/>
      <c r="G188" s="1213"/>
      <c r="H188" s="1213"/>
      <c r="I188" s="1213"/>
      <c r="J188" s="541"/>
    </row>
    <row r="189" spans="1:10" ht="15">
      <c r="A189" s="114"/>
      <c r="B189" s="1214" t="s">
        <v>7</v>
      </c>
      <c r="C189" s="1215"/>
      <c r="D189" s="1220" t="s">
        <v>70</v>
      </c>
      <c r="E189" s="1221"/>
      <c r="F189" s="1221"/>
      <c r="G189" s="1222"/>
      <c r="H189" s="1223" t="s">
        <v>4</v>
      </c>
      <c r="I189" s="1224"/>
      <c r="J189" s="365" t="s">
        <v>71</v>
      </c>
    </row>
    <row r="190" spans="1:10" ht="56.25" customHeight="1" thickBot="1">
      <c r="A190" s="114"/>
      <c r="B190" s="1225" t="str">
        <f>'PSQ-INFRA'!B58</f>
        <v>04.02.230.01</v>
      </c>
      <c r="C190" s="1226"/>
      <c r="D190" s="1218" t="str">
        <f>B188</f>
        <v>Fornecimento, Dobra e Montagem de Aço CA-50</v>
      </c>
      <c r="E190" s="1219"/>
      <c r="F190" s="1219"/>
      <c r="G190" s="1195"/>
      <c r="H190" s="1184" t="str">
        <f>'PSQ-INFRA'!D58</f>
        <v>kg</v>
      </c>
      <c r="I190" s="1185"/>
      <c r="J190" s="542">
        <f>J199</f>
        <v>24692</v>
      </c>
    </row>
    <row r="191" spans="1:10" ht="15">
      <c r="A191" s="114"/>
      <c r="B191" s="1186" t="s">
        <v>72</v>
      </c>
      <c r="C191" s="1186"/>
      <c r="D191" s="1186"/>
      <c r="E191" s="1186"/>
      <c r="F191" s="1186"/>
      <c r="G191" s="1186"/>
      <c r="H191" s="1186"/>
      <c r="I191" s="1186"/>
      <c r="J191" s="543"/>
    </row>
    <row r="192" spans="1:10" ht="15" customHeight="1">
      <c r="A192" s="114"/>
      <c r="B192" s="162" t="s">
        <v>80</v>
      </c>
      <c r="C192" s="168"/>
      <c r="D192" s="168"/>
      <c r="E192" s="168"/>
      <c r="F192" s="168"/>
      <c r="G192" s="168"/>
      <c r="H192" s="162" t="str">
        <f>'Pág 2'!C25</f>
        <v>FL.01/302.92/04538 - Especificação Técnica - Concreto</v>
      </c>
      <c r="I192" s="168"/>
      <c r="J192" s="168"/>
    </row>
    <row r="193" spans="1:10" ht="15" customHeight="1">
      <c r="A193" s="114"/>
      <c r="B193" s="163" t="s">
        <v>79</v>
      </c>
      <c r="C193" s="164"/>
      <c r="D193" s="164"/>
      <c r="E193" s="163" t="str">
        <f>'Pág 2'!C18</f>
        <v>FL.01/302.76/04537 - Memorial de Cálculo e Dimensionamento - Concreto.</v>
      </c>
      <c r="F193" s="114"/>
      <c r="G193" s="164"/>
      <c r="H193" s="164"/>
      <c r="I193" s="164"/>
      <c r="J193" s="164"/>
    </row>
    <row r="194" spans="1:10" ht="15" customHeight="1">
      <c r="A194" s="114"/>
      <c r="B194" s="163" t="s">
        <v>1803</v>
      </c>
      <c r="C194" s="153"/>
      <c r="D194" s="153"/>
      <c r="E194" s="163"/>
      <c r="F194" s="114"/>
      <c r="G194" s="164"/>
      <c r="H194" s="164"/>
      <c r="I194" s="164"/>
      <c r="J194" s="544"/>
    </row>
    <row r="195" spans="1:10" thickBot="1">
      <c r="A195" s="114"/>
      <c r="B195" s="165"/>
      <c r="C195" s="165"/>
      <c r="D195" s="165"/>
      <c r="E195" s="153"/>
      <c r="F195" s="153"/>
      <c r="G195" s="153"/>
      <c r="H195" s="153"/>
      <c r="I195" s="153"/>
      <c r="J195" s="545"/>
    </row>
    <row r="196" spans="1:10" ht="15">
      <c r="A196" s="114"/>
      <c r="B196" s="1187" t="s">
        <v>74</v>
      </c>
      <c r="C196" s="1187"/>
      <c r="D196" s="1187"/>
      <c r="E196" s="1187"/>
      <c r="F196" s="1187"/>
      <c r="G196" s="1187"/>
      <c r="H196" s="1188"/>
      <c r="I196" s="1189"/>
      <c r="J196" s="546" t="s">
        <v>75</v>
      </c>
    </row>
    <row r="197" spans="1:10" ht="15">
      <c r="A197" s="114"/>
      <c r="B197" s="1181" t="str">
        <f>TIT.401</f>
        <v xml:space="preserve">FL.17/304.13/04693 - EDIFICAÇÕES DE APOIO </v>
      </c>
      <c r="C197" s="1181"/>
      <c r="D197" s="1181"/>
      <c r="E197" s="1181"/>
      <c r="F197" s="1181"/>
      <c r="G197" s="1181"/>
      <c r="H197" s="1182"/>
      <c r="I197" s="1183"/>
      <c r="J197" s="553">
        <f>A50.401</f>
        <v>24692</v>
      </c>
    </row>
    <row r="198" spans="1:10" ht="15">
      <c r="A198" s="114"/>
      <c r="B198" s="1181"/>
      <c r="C198" s="1181"/>
      <c r="D198" s="1181"/>
      <c r="E198" s="1181"/>
      <c r="F198" s="1181"/>
      <c r="G198" s="1181"/>
      <c r="H198" s="1182"/>
      <c r="I198" s="1183"/>
      <c r="J198" s="548"/>
    </row>
    <row r="199" spans="1:10" thickBot="1">
      <c r="A199" s="114"/>
      <c r="B199" s="1193" t="s">
        <v>76</v>
      </c>
      <c r="C199" s="1193"/>
      <c r="D199" s="1193"/>
      <c r="E199" s="1193"/>
      <c r="F199" s="1193"/>
      <c r="G199" s="1193"/>
      <c r="H199" s="1194"/>
      <c r="I199" s="1195"/>
      <c r="J199" s="549">
        <f>SUM(J197:J197)</f>
        <v>24692</v>
      </c>
    </row>
    <row r="200" spans="1:10" thickBot="1">
      <c r="A200" s="114"/>
      <c r="B200" s="1196" t="s">
        <v>77</v>
      </c>
      <c r="C200" s="1196"/>
      <c r="D200" s="1196"/>
      <c r="E200" s="1196"/>
      <c r="F200" s="1196"/>
      <c r="G200" s="1196"/>
      <c r="H200" s="1196"/>
      <c r="I200" s="1196"/>
      <c r="J200" s="550"/>
    </row>
    <row r="201" spans="1:10" ht="15">
      <c r="A201" s="114"/>
      <c r="B201" s="551" t="s">
        <v>78</v>
      </c>
      <c r="C201" s="154"/>
      <c r="D201" s="154"/>
      <c r="E201" s="154"/>
      <c r="F201" s="154"/>
      <c r="G201" s="154"/>
      <c r="H201" s="154"/>
      <c r="I201" s="154"/>
      <c r="J201" s="545"/>
    </row>
    <row r="202" spans="1:10" thickBot="1">
      <c r="A202" s="114"/>
      <c r="B202" s="155"/>
      <c r="C202" s="155"/>
      <c r="D202" s="155"/>
      <c r="E202" s="155"/>
      <c r="F202" s="155"/>
      <c r="G202" s="155"/>
      <c r="H202" s="155"/>
      <c r="I202" s="155"/>
      <c r="J202" s="552"/>
    </row>
    <row r="203" spans="1:10" thickTop="1">
      <c r="A203" s="114"/>
      <c r="B203" s="1211" t="s">
        <v>57</v>
      </c>
      <c r="C203" s="1211"/>
      <c r="D203" s="1211"/>
      <c r="E203" s="1211"/>
      <c r="F203" s="1211"/>
      <c r="G203" s="1211"/>
      <c r="H203" s="1211"/>
      <c r="I203" s="1211"/>
      <c r="J203" s="1211"/>
    </row>
    <row r="204" spans="1:10" ht="44.25" customHeight="1">
      <c r="A204" s="114"/>
      <c r="B204" s="1213" t="str">
        <f>'PSQ-INFRA'!C60</f>
        <v>Fornecimento, Dobra e Montagem de Aço CA-60</v>
      </c>
      <c r="C204" s="1213"/>
      <c r="D204" s="1213"/>
      <c r="E204" s="1213"/>
      <c r="F204" s="1213"/>
      <c r="G204" s="1213"/>
      <c r="H204" s="1213"/>
      <c r="I204" s="1213"/>
      <c r="J204" s="541"/>
    </row>
    <row r="205" spans="1:10" ht="15">
      <c r="A205" s="114"/>
      <c r="B205" s="1214" t="s">
        <v>7</v>
      </c>
      <c r="C205" s="1215"/>
      <c r="D205" s="1220" t="s">
        <v>70</v>
      </c>
      <c r="E205" s="1221"/>
      <c r="F205" s="1221"/>
      <c r="G205" s="1222"/>
      <c r="H205" s="1223" t="s">
        <v>4</v>
      </c>
      <c r="I205" s="1224"/>
      <c r="J205" s="365" t="s">
        <v>71</v>
      </c>
    </row>
    <row r="206" spans="1:10" ht="56.25" customHeight="1" thickBot="1">
      <c r="A206" s="114"/>
      <c r="B206" s="1225" t="str">
        <f>'PSQ-INFRA'!B60</f>
        <v>04.02.230.02</v>
      </c>
      <c r="C206" s="1226"/>
      <c r="D206" s="1218" t="str">
        <f>B204</f>
        <v>Fornecimento, Dobra e Montagem de Aço CA-60</v>
      </c>
      <c r="E206" s="1219"/>
      <c r="F206" s="1219"/>
      <c r="G206" s="1195"/>
      <c r="H206" s="1184" t="str">
        <f>'PSQ-INFRA'!D60</f>
        <v>kg</v>
      </c>
      <c r="I206" s="1185"/>
      <c r="J206" s="542">
        <f>J215</f>
        <v>38</v>
      </c>
    </row>
    <row r="207" spans="1:10" ht="15">
      <c r="A207" s="114"/>
      <c r="B207" s="1186" t="s">
        <v>72</v>
      </c>
      <c r="C207" s="1186"/>
      <c r="D207" s="1186"/>
      <c r="E207" s="1186"/>
      <c r="F207" s="1186"/>
      <c r="G207" s="1186"/>
      <c r="H207" s="1186"/>
      <c r="I207" s="1186"/>
      <c r="J207" s="543"/>
    </row>
    <row r="208" spans="1:10" ht="15" customHeight="1">
      <c r="A208" s="114"/>
      <c r="B208" s="162" t="s">
        <v>80</v>
      </c>
      <c r="C208" s="168"/>
      <c r="D208" s="168"/>
      <c r="E208" s="168"/>
      <c r="F208" s="168"/>
      <c r="G208" s="168"/>
      <c r="H208" s="162" t="str">
        <f>'Pág 2'!C25</f>
        <v>FL.01/302.92/04538 - Especificação Técnica - Concreto</v>
      </c>
      <c r="I208" s="168"/>
      <c r="J208" s="168"/>
    </row>
    <row r="209" spans="1:10" ht="15" customHeight="1">
      <c r="A209" s="114"/>
      <c r="B209" s="163" t="s">
        <v>79</v>
      </c>
      <c r="C209" s="164"/>
      <c r="D209" s="164"/>
      <c r="E209" s="163" t="str">
        <f>'Pág 2'!C18</f>
        <v>FL.01/302.76/04537 - Memorial de Cálculo e Dimensionamento - Concreto.</v>
      </c>
      <c r="F209" s="114"/>
      <c r="G209" s="164"/>
      <c r="H209" s="164"/>
      <c r="I209" s="164"/>
      <c r="J209" s="164"/>
    </row>
    <row r="210" spans="1:10" ht="15" customHeight="1">
      <c r="A210" s="114"/>
      <c r="B210" s="163" t="s">
        <v>1803</v>
      </c>
      <c r="C210" s="153"/>
      <c r="D210" s="153"/>
      <c r="E210" s="163"/>
      <c r="F210" s="114"/>
      <c r="G210" s="164"/>
      <c r="H210" s="164"/>
      <c r="I210" s="164"/>
      <c r="J210" s="544"/>
    </row>
    <row r="211" spans="1:10" thickBot="1">
      <c r="A211" s="114"/>
      <c r="B211" s="165"/>
      <c r="C211" s="165"/>
      <c r="D211" s="165"/>
      <c r="E211" s="153"/>
      <c r="F211" s="153"/>
      <c r="G211" s="153"/>
      <c r="H211" s="153"/>
      <c r="I211" s="153"/>
      <c r="J211" s="545"/>
    </row>
    <row r="212" spans="1:10" ht="15">
      <c r="A212" s="114"/>
      <c r="B212" s="1187" t="s">
        <v>74</v>
      </c>
      <c r="C212" s="1187"/>
      <c r="D212" s="1187"/>
      <c r="E212" s="1187"/>
      <c r="F212" s="1187"/>
      <c r="G212" s="1187"/>
      <c r="H212" s="1188"/>
      <c r="I212" s="1189"/>
      <c r="J212" s="546" t="s">
        <v>75</v>
      </c>
    </row>
    <row r="213" spans="1:10" ht="15">
      <c r="A213" s="114"/>
      <c r="B213" s="1181" t="str">
        <f>TIT.401</f>
        <v xml:space="preserve">FL.17/304.13/04693 - EDIFICAÇÕES DE APOIO </v>
      </c>
      <c r="C213" s="1181"/>
      <c r="D213" s="1181"/>
      <c r="E213" s="1181"/>
      <c r="F213" s="1181"/>
      <c r="G213" s="1181"/>
      <c r="H213" s="1182"/>
      <c r="I213" s="1183"/>
      <c r="J213" s="553">
        <f>A60.401</f>
        <v>38</v>
      </c>
    </row>
    <row r="214" spans="1:10" ht="15">
      <c r="A214" s="114"/>
      <c r="B214" s="1181"/>
      <c r="C214" s="1181"/>
      <c r="D214" s="1181"/>
      <c r="E214" s="1181"/>
      <c r="F214" s="1181"/>
      <c r="G214" s="1181"/>
      <c r="H214" s="1182"/>
      <c r="I214" s="1183"/>
      <c r="J214" s="548"/>
    </row>
    <row r="215" spans="1:10" thickBot="1">
      <c r="A215" s="114"/>
      <c r="B215" s="1193" t="s">
        <v>76</v>
      </c>
      <c r="C215" s="1193"/>
      <c r="D215" s="1193"/>
      <c r="E215" s="1193"/>
      <c r="F215" s="1193"/>
      <c r="G215" s="1193"/>
      <c r="H215" s="1194"/>
      <c r="I215" s="1195"/>
      <c r="J215" s="549">
        <f>SUM(J213:J213)</f>
        <v>38</v>
      </c>
    </row>
    <row r="216" spans="1:10" thickBot="1">
      <c r="A216" s="114"/>
      <c r="B216" s="1196" t="s">
        <v>77</v>
      </c>
      <c r="C216" s="1196"/>
      <c r="D216" s="1196"/>
      <c r="E216" s="1196"/>
      <c r="F216" s="1196"/>
      <c r="G216" s="1196"/>
      <c r="H216" s="1196"/>
      <c r="I216" s="1196"/>
      <c r="J216" s="550"/>
    </row>
    <row r="217" spans="1:10" ht="15">
      <c r="A217" s="114"/>
      <c r="B217" s="551" t="s">
        <v>78</v>
      </c>
      <c r="C217" s="154"/>
      <c r="D217" s="154"/>
      <c r="E217" s="154"/>
      <c r="F217" s="154"/>
      <c r="G217" s="154"/>
      <c r="H217" s="154"/>
      <c r="I217" s="154"/>
      <c r="J217" s="545"/>
    </row>
    <row r="218" spans="1:10" thickBot="1">
      <c r="A218" s="114"/>
      <c r="B218" s="155"/>
      <c r="C218" s="155"/>
      <c r="D218" s="155"/>
      <c r="E218" s="155"/>
      <c r="F218" s="155"/>
      <c r="G218" s="155"/>
      <c r="H218" s="155"/>
      <c r="I218" s="155"/>
      <c r="J218" s="552"/>
    </row>
    <row r="219" spans="1:10" thickTop="1">
      <c r="A219" s="114"/>
      <c r="B219" s="1211" t="s">
        <v>57</v>
      </c>
      <c r="C219" s="1211"/>
      <c r="D219" s="1211"/>
      <c r="E219" s="1211"/>
      <c r="F219" s="1211"/>
      <c r="G219" s="1211"/>
      <c r="H219" s="1211"/>
      <c r="I219" s="1211"/>
      <c r="J219" s="1211"/>
    </row>
    <row r="220" spans="1:10" ht="44.25" customHeight="1">
      <c r="A220" s="114"/>
      <c r="B220" s="1213" t="str">
        <f>'PSQ-INFRA'!C66</f>
        <v>Fornecimento e Aplicação de Concreto (fck=30MPa)</v>
      </c>
      <c r="C220" s="1213"/>
      <c r="D220" s="1213"/>
      <c r="E220" s="1213"/>
      <c r="F220" s="1213"/>
      <c r="G220" s="1213"/>
      <c r="H220" s="1213"/>
      <c r="I220" s="1213"/>
      <c r="J220" s="541"/>
    </row>
    <row r="221" spans="1:10" ht="15">
      <c r="A221" s="114"/>
      <c r="B221" s="1214" t="s">
        <v>7</v>
      </c>
      <c r="C221" s="1215"/>
      <c r="D221" s="1220" t="s">
        <v>70</v>
      </c>
      <c r="E221" s="1221"/>
      <c r="F221" s="1221"/>
      <c r="G221" s="1222"/>
      <c r="H221" s="1223" t="s">
        <v>4</v>
      </c>
      <c r="I221" s="1224"/>
      <c r="J221" s="365" t="s">
        <v>71</v>
      </c>
    </row>
    <row r="222" spans="1:10" ht="56.25" customHeight="1" thickBot="1">
      <c r="A222" s="114"/>
      <c r="B222" s="1225" t="str">
        <f>'PSQ-INFRA'!B66</f>
        <v>04.02.240.01</v>
      </c>
      <c r="C222" s="1226"/>
      <c r="D222" s="1218" t="str">
        <f>B220</f>
        <v>Fornecimento e Aplicação de Concreto (fck=30MPa)</v>
      </c>
      <c r="E222" s="1219"/>
      <c r="F222" s="1219"/>
      <c r="G222" s="1195"/>
      <c r="H222" s="1184" t="str">
        <f>'PSQ-INFRA'!D66</f>
        <v>m³</v>
      </c>
      <c r="I222" s="1185"/>
      <c r="J222" s="542">
        <f>J231</f>
        <v>250.69016300000004</v>
      </c>
    </row>
    <row r="223" spans="1:10" ht="15">
      <c r="A223" s="114"/>
      <c r="B223" s="1186" t="s">
        <v>72</v>
      </c>
      <c r="C223" s="1186"/>
      <c r="D223" s="1186"/>
      <c r="E223" s="1186"/>
      <c r="F223" s="1186"/>
      <c r="G223" s="1186"/>
      <c r="H223" s="1186"/>
      <c r="I223" s="1186"/>
      <c r="J223" s="543"/>
    </row>
    <row r="224" spans="1:10" ht="15" customHeight="1">
      <c r="A224" s="114"/>
      <c r="B224" s="162" t="s">
        <v>80</v>
      </c>
      <c r="C224" s="168"/>
      <c r="D224" s="168"/>
      <c r="E224" s="168"/>
      <c r="F224" s="168"/>
      <c r="G224" s="168"/>
      <c r="H224" s="162" t="str">
        <f>'Pág 2'!C25</f>
        <v>FL.01/302.92/04538 - Especificação Técnica - Concreto</v>
      </c>
      <c r="I224" s="168"/>
      <c r="J224" s="168"/>
    </row>
    <row r="225" spans="1:10" ht="15" customHeight="1">
      <c r="A225" s="114"/>
      <c r="B225" s="163" t="s">
        <v>79</v>
      </c>
      <c r="C225" s="164"/>
      <c r="D225" s="164"/>
      <c r="E225" s="163" t="str">
        <f>'Pág 2'!C18</f>
        <v>FL.01/302.76/04537 - Memorial de Cálculo e Dimensionamento - Concreto.</v>
      </c>
      <c r="F225" s="114"/>
      <c r="G225" s="164"/>
      <c r="H225" s="164"/>
      <c r="I225" s="164"/>
      <c r="J225" s="164"/>
    </row>
    <row r="226" spans="1:10" ht="15" customHeight="1">
      <c r="A226" s="114"/>
      <c r="B226" s="163" t="s">
        <v>73</v>
      </c>
      <c r="C226" s="153"/>
      <c r="D226" s="153"/>
      <c r="E226" s="163"/>
      <c r="F226" s="114"/>
      <c r="G226" s="164"/>
      <c r="H226" s="164"/>
      <c r="I226" s="164"/>
      <c r="J226" s="544"/>
    </row>
    <row r="227" spans="1:10" thickBot="1">
      <c r="A227" s="114"/>
      <c r="B227" s="165"/>
      <c r="C227" s="165"/>
      <c r="D227" s="165"/>
      <c r="E227" s="153"/>
      <c r="F227" s="153"/>
      <c r="G227" s="153"/>
      <c r="H227" s="153"/>
      <c r="I227" s="153"/>
      <c r="J227" s="545"/>
    </row>
    <row r="228" spans="1:10" ht="15">
      <c r="A228" s="114"/>
      <c r="B228" s="1187" t="s">
        <v>74</v>
      </c>
      <c r="C228" s="1187"/>
      <c r="D228" s="1187"/>
      <c r="E228" s="1187"/>
      <c r="F228" s="1187"/>
      <c r="G228" s="1187"/>
      <c r="H228" s="1188"/>
      <c r="I228" s="1189"/>
      <c r="J228" s="546" t="s">
        <v>75</v>
      </c>
    </row>
    <row r="229" spans="1:10" ht="15">
      <c r="A229" s="114"/>
      <c r="B229" s="1181" t="str">
        <f>TIT.401</f>
        <v xml:space="preserve">FL.17/304.13/04693 - EDIFICAÇÕES DE APOIO </v>
      </c>
      <c r="C229" s="1181"/>
      <c r="D229" s="1181"/>
      <c r="E229" s="1181"/>
      <c r="F229" s="1181"/>
      <c r="G229" s="1181"/>
      <c r="H229" s="1182"/>
      <c r="I229" s="1183"/>
      <c r="J229" s="547">
        <f>C.401</f>
        <v>250.69016300000004</v>
      </c>
    </row>
    <row r="230" spans="1:10" ht="15">
      <c r="A230" s="114"/>
      <c r="B230" s="1181"/>
      <c r="C230" s="1181"/>
      <c r="D230" s="1181"/>
      <c r="E230" s="1181"/>
      <c r="F230" s="1181"/>
      <c r="G230" s="1181"/>
      <c r="H230" s="1182"/>
      <c r="I230" s="1183"/>
      <c r="J230" s="548"/>
    </row>
    <row r="231" spans="1:10" thickBot="1">
      <c r="A231" s="114"/>
      <c r="B231" s="1193" t="s">
        <v>76</v>
      </c>
      <c r="C231" s="1193"/>
      <c r="D231" s="1193"/>
      <c r="E231" s="1193"/>
      <c r="F231" s="1193"/>
      <c r="G231" s="1193"/>
      <c r="H231" s="1194"/>
      <c r="I231" s="1195"/>
      <c r="J231" s="549">
        <f>SUM(J229:J229)</f>
        <v>250.69016300000004</v>
      </c>
    </row>
    <row r="232" spans="1:10" thickBot="1">
      <c r="A232" s="114"/>
      <c r="B232" s="1196" t="s">
        <v>77</v>
      </c>
      <c r="C232" s="1196"/>
      <c r="D232" s="1196"/>
      <c r="E232" s="1196"/>
      <c r="F232" s="1196"/>
      <c r="G232" s="1196"/>
      <c r="H232" s="1196"/>
      <c r="I232" s="1196"/>
      <c r="J232" s="550"/>
    </row>
    <row r="233" spans="1:10" ht="15">
      <c r="A233" s="114"/>
      <c r="B233" s="551" t="s">
        <v>78</v>
      </c>
      <c r="C233" s="154"/>
      <c r="D233" s="154"/>
      <c r="E233" s="154"/>
      <c r="F233" s="154"/>
      <c r="G233" s="154"/>
      <c r="H233" s="154"/>
      <c r="I233" s="154"/>
      <c r="J233" s="545"/>
    </row>
    <row r="234" spans="1:10" thickBot="1">
      <c r="A234" s="114"/>
      <c r="B234" s="155"/>
      <c r="C234" s="155"/>
      <c r="D234" s="155"/>
      <c r="E234" s="155"/>
      <c r="F234" s="155"/>
      <c r="G234" s="155"/>
      <c r="H234" s="155"/>
      <c r="I234" s="155"/>
      <c r="J234" s="552"/>
    </row>
    <row r="235" spans="1:10" s="367" customFormat="1" ht="21" customHeight="1" thickTop="1">
      <c r="B235" s="557"/>
      <c r="C235" s="375"/>
      <c r="D235" s="376"/>
      <c r="E235" s="376"/>
      <c r="F235" s="375"/>
      <c r="G235" s="377"/>
      <c r="H235" s="377"/>
      <c r="I235" s="377"/>
      <c r="J235" s="558"/>
    </row>
    <row r="236" spans="1:10" s="367" customFormat="1" ht="21" customHeight="1">
      <c r="B236" s="540" t="s">
        <v>2326</v>
      </c>
      <c r="C236" s="371"/>
      <c r="D236" s="372"/>
      <c r="E236" s="372"/>
      <c r="F236" s="371"/>
      <c r="J236" s="539"/>
    </row>
    <row r="237" spans="1:10" s="367" customFormat="1" ht="21" customHeight="1" thickBot="1">
      <c r="B237" s="559"/>
      <c r="C237" s="378"/>
      <c r="D237" s="379"/>
      <c r="E237" s="379"/>
      <c r="F237" s="378"/>
      <c r="G237" s="380"/>
      <c r="H237" s="380"/>
      <c r="I237" s="380"/>
      <c r="J237" s="560"/>
    </row>
    <row r="238" spans="1:10" thickTop="1">
      <c r="A238" s="114"/>
      <c r="B238" s="1211" t="s">
        <v>57</v>
      </c>
      <c r="C238" s="1211"/>
      <c r="D238" s="1211"/>
      <c r="E238" s="1211"/>
      <c r="F238" s="1211"/>
      <c r="G238" s="1211"/>
      <c r="H238" s="1211"/>
      <c r="I238" s="1211"/>
      <c r="J238" s="1212"/>
    </row>
    <row r="239" spans="1:10" ht="44.25" customHeight="1">
      <c r="A239" s="114"/>
      <c r="B239" s="1213" t="str">
        <f>'PSQ-INFRA'!C76</f>
        <v>Escavação Mecanizada</v>
      </c>
      <c r="C239" s="1213"/>
      <c r="D239" s="1213"/>
      <c r="E239" s="1213"/>
      <c r="F239" s="1213"/>
      <c r="G239" s="1213"/>
      <c r="H239" s="1213"/>
      <c r="I239" s="1213"/>
      <c r="J239" s="541"/>
    </row>
    <row r="240" spans="1:10" ht="15">
      <c r="A240" s="114"/>
      <c r="B240" s="1214" t="s">
        <v>7</v>
      </c>
      <c r="C240" s="1215"/>
      <c r="D240" s="1220" t="s">
        <v>70</v>
      </c>
      <c r="E240" s="1221"/>
      <c r="F240" s="1221"/>
      <c r="G240" s="1222"/>
      <c r="H240" s="1223" t="s">
        <v>4</v>
      </c>
      <c r="I240" s="1224"/>
      <c r="J240" s="365" t="s">
        <v>71</v>
      </c>
    </row>
    <row r="241" spans="1:10" ht="56.25" customHeight="1" thickBot="1">
      <c r="A241" s="114"/>
      <c r="B241" s="1225" t="str">
        <f>'PSQ-INFRA'!B76</f>
        <v>04.01.100.02</v>
      </c>
      <c r="C241" s="1226"/>
      <c r="D241" s="1218" t="str">
        <f>B239</f>
        <v>Escavação Mecanizada</v>
      </c>
      <c r="E241" s="1219"/>
      <c r="F241" s="1219"/>
      <c r="G241" s="1195"/>
      <c r="H241" s="1184" t="str">
        <f>'PSQ-INFRA'!D76</f>
        <v>m³</v>
      </c>
      <c r="I241" s="1185"/>
      <c r="J241" s="542">
        <f>J260</f>
        <v>3089.523655699697</v>
      </c>
    </row>
    <row r="242" spans="1:10" ht="15">
      <c r="A242" s="114"/>
      <c r="B242" s="1186" t="s">
        <v>72</v>
      </c>
      <c r="C242" s="1186"/>
      <c r="D242" s="1186"/>
      <c r="E242" s="1186"/>
      <c r="F242" s="1186"/>
      <c r="G242" s="1186"/>
      <c r="H242" s="1186"/>
      <c r="I242" s="1186"/>
      <c r="J242" s="543"/>
    </row>
    <row r="243" spans="1:10" ht="15">
      <c r="A243" s="114"/>
      <c r="B243" s="162" t="s">
        <v>80</v>
      </c>
      <c r="C243" s="168"/>
      <c r="D243" s="168"/>
      <c r="E243" s="168"/>
      <c r="F243" s="168"/>
      <c r="G243" s="168"/>
      <c r="H243" s="162" t="str">
        <f>'Pág 2'!C25</f>
        <v>FL.01/302.92/04538 - Especificação Técnica - Concreto</v>
      </c>
      <c r="I243" s="168"/>
      <c r="J243" s="168"/>
    </row>
    <row r="244" spans="1:10" ht="15">
      <c r="A244" s="114"/>
      <c r="B244" s="163" t="s">
        <v>79</v>
      </c>
      <c r="C244" s="164"/>
      <c r="D244" s="164"/>
      <c r="E244" s="163" t="str">
        <f>'Pág 2'!C18</f>
        <v>FL.01/302.76/04537 - Memorial de Cálculo e Dimensionamento - Concreto.</v>
      </c>
      <c r="F244" s="114"/>
      <c r="G244" s="164"/>
      <c r="H244" s="164"/>
      <c r="I244" s="164"/>
      <c r="J244" s="164"/>
    </row>
    <row r="245" spans="1:10" ht="15" customHeight="1">
      <c r="A245" s="114"/>
      <c r="B245" s="163" t="s">
        <v>73</v>
      </c>
      <c r="C245" s="153"/>
      <c r="D245" s="153"/>
      <c r="E245" s="163"/>
      <c r="F245" s="114"/>
      <c r="G245" s="164"/>
      <c r="H245" s="164"/>
      <c r="I245" s="164"/>
      <c r="J245" s="544"/>
    </row>
    <row r="246" spans="1:10" ht="15" customHeight="1" thickBot="1">
      <c r="A246" s="114"/>
      <c r="B246" s="165"/>
      <c r="C246" s="165"/>
      <c r="D246" s="165"/>
      <c r="E246" s="153"/>
      <c r="F246" s="153"/>
      <c r="G246" s="153"/>
      <c r="H246" s="153"/>
      <c r="I246" s="153"/>
      <c r="J246" s="545"/>
    </row>
    <row r="247" spans="1:10" ht="15">
      <c r="A247" s="114"/>
      <c r="B247" s="1187" t="s">
        <v>74</v>
      </c>
      <c r="C247" s="1187"/>
      <c r="D247" s="1187"/>
      <c r="E247" s="1187"/>
      <c r="F247" s="1187"/>
      <c r="G247" s="1187"/>
      <c r="H247" s="1188"/>
      <c r="I247" s="1189"/>
      <c r="J247" s="546" t="s">
        <v>75</v>
      </c>
    </row>
    <row r="248" spans="1:10" ht="15">
      <c r="A248" s="114"/>
      <c r="B248" s="1181" t="str">
        <f>TIT.501</f>
        <v>FL.27/304.13/04720 - CAG- CENTRAL DE ÁGUA GELADA - TORRES DE RESFRIAMENTO</v>
      </c>
      <c r="C248" s="1181"/>
      <c r="D248" s="1181"/>
      <c r="E248" s="1181"/>
      <c r="F248" s="1181"/>
      <c r="G248" s="1181"/>
      <c r="H248" s="1182"/>
      <c r="I248" s="1183"/>
      <c r="J248" s="547">
        <f>EM.501</f>
        <v>114.13807930580623</v>
      </c>
    </row>
    <row r="249" spans="1:10" ht="15">
      <c r="A249" s="114"/>
      <c r="B249" s="1181" t="str">
        <f>TIT.502</f>
        <v>FL.27/304.13/04721 - CAG- CENTRAL DE ÁGUA GELADA - TQ DE TERMO ACUMULAÇÃO</v>
      </c>
      <c r="C249" s="1181"/>
      <c r="D249" s="1181"/>
      <c r="E249" s="1181"/>
      <c r="F249" s="1181"/>
      <c r="G249" s="1181"/>
      <c r="H249" s="1182"/>
      <c r="I249" s="1183"/>
      <c r="J249" s="547">
        <f>EM.502</f>
        <v>96.813454512259113</v>
      </c>
    </row>
    <row r="250" spans="1:10" ht="15">
      <c r="A250" s="114"/>
      <c r="B250" s="1181" t="str">
        <f>TIT.503</f>
        <v xml:space="preserve">FL.26/304.13/04734 - CENTRAL DE UTILIDADES - MANUTENÇÃO </v>
      </c>
      <c r="C250" s="1181"/>
      <c r="D250" s="1181"/>
      <c r="E250" s="1181"/>
      <c r="F250" s="1181"/>
      <c r="G250" s="1181"/>
      <c r="H250" s="1182"/>
      <c r="I250" s="1183"/>
      <c r="J250" s="547">
        <f>EM.503</f>
        <v>365.81356288549296</v>
      </c>
    </row>
    <row r="251" spans="1:10" ht="15">
      <c r="A251" s="114"/>
      <c r="B251" s="1181" t="str">
        <f>TIT.504</f>
        <v>FL.26/304.13/04738- CENTRAL DE UTILIDADES - REFEITÓRIO</v>
      </c>
      <c r="C251" s="1181"/>
      <c r="D251" s="1181"/>
      <c r="E251" s="1181"/>
      <c r="F251" s="1181"/>
      <c r="G251" s="1181"/>
      <c r="H251" s="1182"/>
      <c r="I251" s="1183"/>
      <c r="J251" s="547">
        <f>EM.504</f>
        <v>576.62597514184017</v>
      </c>
    </row>
    <row r="252" spans="1:10" ht="15">
      <c r="A252" s="114"/>
      <c r="B252" s="1181" t="str">
        <f>TIT.505</f>
        <v>FL.26/304.13/04743- CENTRAL DE UTILIDADES - CAG/SUBESTAÇÃO</v>
      </c>
      <c r="C252" s="1181"/>
      <c r="D252" s="1181"/>
      <c r="E252" s="1181"/>
      <c r="F252" s="1181"/>
      <c r="G252" s="1181"/>
      <c r="H252" s="1182"/>
      <c r="I252" s="1183"/>
      <c r="J252" s="547">
        <f>EM.505</f>
        <v>1010.1883429725568</v>
      </c>
    </row>
    <row r="253" spans="1:10" ht="15">
      <c r="A253" s="114"/>
      <c r="B253" s="1181" t="str">
        <f>TIT.506</f>
        <v>FL.26/302.13/04751 - CENTRAL DE UTILIDADES - GUARITA</v>
      </c>
      <c r="C253" s="1181"/>
      <c r="D253" s="1181"/>
      <c r="E253" s="1181"/>
      <c r="F253" s="1181"/>
      <c r="G253" s="1181"/>
      <c r="H253" s="1182"/>
      <c r="I253" s="1183"/>
      <c r="J253" s="547">
        <f>EM.506</f>
        <v>82.168312921570347</v>
      </c>
    </row>
    <row r="254" spans="1:10" ht="15">
      <c r="A254" s="114"/>
      <c r="B254" s="1181" t="str">
        <f>TIT.507</f>
        <v>FL.26/302.13/04753 - CENTRAL DE UTILIDADES - ACESSO PASSARELA TÉCNICA</v>
      </c>
      <c r="C254" s="1181"/>
      <c r="D254" s="1181"/>
      <c r="E254" s="1181"/>
      <c r="F254" s="1181"/>
      <c r="G254" s="1181"/>
      <c r="H254" s="1182"/>
      <c r="I254" s="1183"/>
      <c r="J254" s="547">
        <f>EM.507</f>
        <v>95.951544676036619</v>
      </c>
    </row>
    <row r="255" spans="1:10" ht="15">
      <c r="A255" s="114"/>
      <c r="B255" s="1181" t="str">
        <f>TIT.508</f>
        <v>FL.26/304.13/04756 - CENTRAL DE UTILIDADES - OFICINA DE MANUTENÇÃO</v>
      </c>
      <c r="C255" s="1181"/>
      <c r="D255" s="1181"/>
      <c r="E255" s="1181"/>
      <c r="F255" s="1181"/>
      <c r="G255" s="1181"/>
      <c r="H255" s="1182"/>
      <c r="I255" s="1183"/>
      <c r="J255" s="547">
        <f>EM.508</f>
        <v>110.33474398592924</v>
      </c>
    </row>
    <row r="256" spans="1:10" ht="15">
      <c r="A256" s="114"/>
      <c r="B256" s="1181" t="str">
        <f>TIT.509</f>
        <v>FL.26/304.13/04759- RESERVATÓRIO APOIADO DE ÁGUA POTÁVEL</v>
      </c>
      <c r="C256" s="1181"/>
      <c r="D256" s="1181"/>
      <c r="E256" s="1181"/>
      <c r="F256" s="1181"/>
      <c r="G256" s="1181"/>
      <c r="H256" s="1182"/>
      <c r="I256" s="1183"/>
      <c r="J256" s="547">
        <f>EM.509</f>
        <v>255.48261659282937</v>
      </c>
    </row>
    <row r="257" spans="1:10" ht="15">
      <c r="A257" s="114"/>
      <c r="B257" s="1181" t="str">
        <f>TIT.510</f>
        <v>FL.26/304.13/04765 - RESERVATÓRIO DE ÁGUA - NORMAL E REUSO</v>
      </c>
      <c r="C257" s="1181"/>
      <c r="D257" s="1181"/>
      <c r="E257" s="1181"/>
      <c r="F257" s="1181"/>
      <c r="G257" s="1181"/>
      <c r="H257" s="1182"/>
      <c r="I257" s="1183"/>
      <c r="J257" s="561">
        <f>EM.510</f>
        <v>337.01291005378232</v>
      </c>
    </row>
    <row r="258" spans="1:10" ht="15">
      <c r="A258" s="114"/>
      <c r="B258" s="1181" t="str">
        <f>TIT.511</f>
        <v>FL.17/302.13/05743 - CENTRAL DE UTILIDADES - GUARITA - ESTACIONAMENTO</v>
      </c>
      <c r="C258" s="1181"/>
      <c r="D258" s="1181"/>
      <c r="E258" s="1181"/>
      <c r="F258" s="1181"/>
      <c r="G258" s="1181"/>
      <c r="H258" s="1182"/>
      <c r="I258" s="1183"/>
      <c r="J258" s="561">
        <f>EM.511</f>
        <v>44.994112651593682</v>
      </c>
    </row>
    <row r="259" spans="1:10" ht="15">
      <c r="A259" s="114"/>
      <c r="B259" s="1181"/>
      <c r="C259" s="1181"/>
      <c r="D259" s="1181"/>
      <c r="E259" s="1181"/>
      <c r="F259" s="1181"/>
      <c r="G259" s="1181"/>
      <c r="H259" s="1182"/>
      <c r="I259" s="1183"/>
      <c r="J259" s="562"/>
    </row>
    <row r="260" spans="1:10" thickBot="1">
      <c r="A260" s="114"/>
      <c r="B260" s="1193" t="s">
        <v>76</v>
      </c>
      <c r="C260" s="1193"/>
      <c r="D260" s="1193"/>
      <c r="E260" s="1193"/>
      <c r="F260" s="1193"/>
      <c r="G260" s="1193"/>
      <c r="H260" s="1194"/>
      <c r="I260" s="1195"/>
      <c r="J260" s="549">
        <f>SUM(J248:J258)</f>
        <v>3089.523655699697</v>
      </c>
    </row>
    <row r="261" spans="1:10" thickBot="1">
      <c r="A261" s="114"/>
      <c r="B261" s="1196" t="s">
        <v>77</v>
      </c>
      <c r="C261" s="1196"/>
      <c r="D261" s="1196"/>
      <c r="E261" s="1196"/>
      <c r="F261" s="1196"/>
      <c r="G261" s="1196"/>
      <c r="H261" s="1196"/>
      <c r="I261" s="1196"/>
      <c r="J261" s="550"/>
    </row>
    <row r="262" spans="1:10" ht="15">
      <c r="A262" s="114"/>
      <c r="B262" s="551" t="s">
        <v>92</v>
      </c>
      <c r="C262" s="154"/>
      <c r="D262" s="154"/>
      <c r="E262" s="154"/>
      <c r="F262" s="154"/>
      <c r="G262" s="154"/>
      <c r="H262" s="154"/>
      <c r="I262" s="154"/>
      <c r="J262" s="545"/>
    </row>
    <row r="263" spans="1:10" thickBot="1">
      <c r="A263" s="114"/>
      <c r="B263" s="155"/>
      <c r="C263" s="155"/>
      <c r="D263" s="155"/>
      <c r="E263" s="155"/>
      <c r="F263" s="155"/>
      <c r="G263" s="155"/>
      <c r="H263" s="155"/>
      <c r="I263" s="155"/>
      <c r="J263" s="552"/>
    </row>
    <row r="264" spans="1:10" thickTop="1">
      <c r="A264" s="114"/>
      <c r="B264" s="1211" t="s">
        <v>57</v>
      </c>
      <c r="C264" s="1211"/>
      <c r="D264" s="1211"/>
      <c r="E264" s="1211"/>
      <c r="F264" s="1211"/>
      <c r="G264" s="1211"/>
      <c r="H264" s="1211"/>
      <c r="I264" s="1211"/>
      <c r="J264" s="1212"/>
    </row>
    <row r="265" spans="1:10" ht="44.25" customHeight="1">
      <c r="A265" s="114"/>
      <c r="B265" s="1213" t="str">
        <f>'PSQ-INFRA'!C78</f>
        <v>Regularização e Apiloamento de Fundo de Vala</v>
      </c>
      <c r="C265" s="1213"/>
      <c r="D265" s="1213"/>
      <c r="E265" s="1213"/>
      <c r="F265" s="1213"/>
      <c r="G265" s="1213"/>
      <c r="H265" s="1213"/>
      <c r="I265" s="1213"/>
      <c r="J265" s="541"/>
    </row>
    <row r="266" spans="1:10" ht="15">
      <c r="A266" s="114"/>
      <c r="B266" s="1214" t="s">
        <v>7</v>
      </c>
      <c r="C266" s="1215"/>
      <c r="D266" s="1220" t="s">
        <v>70</v>
      </c>
      <c r="E266" s="1221"/>
      <c r="F266" s="1221"/>
      <c r="G266" s="1222"/>
      <c r="H266" s="1223" t="s">
        <v>4</v>
      </c>
      <c r="I266" s="1224"/>
      <c r="J266" s="365" t="s">
        <v>71</v>
      </c>
    </row>
    <row r="267" spans="1:10" ht="56.25" customHeight="1" thickBot="1">
      <c r="A267" s="114"/>
      <c r="B267" s="1225" t="str">
        <f>'PSQ-INFRA'!B78</f>
        <v>04.01.100.04</v>
      </c>
      <c r="C267" s="1226"/>
      <c r="D267" s="1218" t="str">
        <f>B265</f>
        <v>Regularização e Apiloamento de Fundo de Vala</v>
      </c>
      <c r="E267" s="1219"/>
      <c r="F267" s="1219"/>
      <c r="G267" s="1195"/>
      <c r="H267" s="1184" t="str">
        <f>'PSQ-INFRA'!D78</f>
        <v>m²</v>
      </c>
      <c r="I267" s="1185"/>
      <c r="J267" s="542">
        <f>J286</f>
        <v>949.67134531513238</v>
      </c>
    </row>
    <row r="268" spans="1:10" ht="15">
      <c r="A268" s="114"/>
      <c r="B268" s="1186" t="s">
        <v>72</v>
      </c>
      <c r="C268" s="1186"/>
      <c r="D268" s="1186"/>
      <c r="E268" s="1186"/>
      <c r="F268" s="1186"/>
      <c r="G268" s="1186"/>
      <c r="H268" s="1186"/>
      <c r="I268" s="1186"/>
      <c r="J268" s="543"/>
    </row>
    <row r="269" spans="1:10" ht="15">
      <c r="A269" s="114"/>
      <c r="B269" s="162" t="s">
        <v>80</v>
      </c>
      <c r="C269" s="168"/>
      <c r="D269" s="168"/>
      <c r="E269" s="168"/>
      <c r="F269" s="168"/>
      <c r="G269" s="168"/>
      <c r="H269" s="162" t="str">
        <f>'Pág 2'!C25</f>
        <v>FL.01/302.92/04538 - Especificação Técnica - Concreto</v>
      </c>
      <c r="I269" s="168"/>
      <c r="J269" s="168"/>
    </row>
    <row r="270" spans="1:10" ht="15">
      <c r="A270" s="114"/>
      <c r="B270" s="163" t="s">
        <v>79</v>
      </c>
      <c r="C270" s="164"/>
      <c r="D270" s="164"/>
      <c r="E270" s="163" t="str">
        <f>'Pág 2'!C18</f>
        <v>FL.01/302.76/04537 - Memorial de Cálculo e Dimensionamento - Concreto.</v>
      </c>
      <c r="F270" s="114"/>
      <c r="G270" s="164"/>
      <c r="H270" s="164"/>
      <c r="I270" s="164"/>
      <c r="J270" s="164"/>
    </row>
    <row r="271" spans="1:10" ht="15">
      <c r="A271" s="114"/>
      <c r="B271" s="163" t="s">
        <v>73</v>
      </c>
      <c r="C271" s="153"/>
      <c r="D271" s="153"/>
      <c r="E271" s="163"/>
      <c r="F271" s="114"/>
      <c r="G271" s="164"/>
      <c r="H271" s="164"/>
      <c r="I271" s="164"/>
      <c r="J271" s="544"/>
    </row>
    <row r="272" spans="1:10" thickBot="1">
      <c r="A272" s="114"/>
      <c r="B272" s="165"/>
      <c r="C272" s="165"/>
      <c r="D272" s="165"/>
      <c r="E272" s="153"/>
      <c r="F272" s="153"/>
      <c r="G272" s="153"/>
      <c r="H272" s="153"/>
      <c r="I272" s="153"/>
      <c r="J272" s="545"/>
    </row>
    <row r="273" spans="1:10" ht="15">
      <c r="A273" s="114"/>
      <c r="B273" s="1187" t="s">
        <v>74</v>
      </c>
      <c r="C273" s="1187"/>
      <c r="D273" s="1187"/>
      <c r="E273" s="1187"/>
      <c r="F273" s="1187"/>
      <c r="G273" s="1187"/>
      <c r="H273" s="1188"/>
      <c r="I273" s="1189"/>
      <c r="J273" s="546" t="s">
        <v>75</v>
      </c>
    </row>
    <row r="274" spans="1:10" ht="15">
      <c r="A274" s="114"/>
      <c r="B274" s="1181" t="str">
        <f>TIT.501</f>
        <v>FL.27/304.13/04720 - CAG- CENTRAL DE ÁGUA GELADA - TORRES DE RESFRIAMENTO</v>
      </c>
      <c r="C274" s="1181"/>
      <c r="D274" s="1181"/>
      <c r="E274" s="1181"/>
      <c r="F274" s="1181"/>
      <c r="G274" s="1181"/>
      <c r="H274" s="1182"/>
      <c r="I274" s="1183"/>
      <c r="J274" s="547">
        <f>RA.501</f>
        <v>124.56000000000003</v>
      </c>
    </row>
    <row r="275" spans="1:10" ht="15">
      <c r="A275" s="114"/>
      <c r="B275" s="1181" t="str">
        <f>TIT.502</f>
        <v>FL.27/304.13/04721 - CAG- CENTRAL DE ÁGUA GELADA - TQ DE TERMO ACUMULAÇÃO</v>
      </c>
      <c r="C275" s="1181"/>
      <c r="D275" s="1181"/>
      <c r="E275" s="1181"/>
      <c r="F275" s="1181"/>
      <c r="G275" s="1181"/>
      <c r="H275" s="1182"/>
      <c r="I275" s="1183"/>
      <c r="J275" s="547">
        <f>RA.502</f>
        <v>102.07034531513239</v>
      </c>
    </row>
    <row r="276" spans="1:10" ht="15">
      <c r="A276" s="114"/>
      <c r="B276" s="1181" t="str">
        <f>TIT.503</f>
        <v xml:space="preserve">FL.26/304.13/04734 - CENTRAL DE UTILIDADES - MANUTENÇÃO </v>
      </c>
      <c r="C276" s="1181"/>
      <c r="D276" s="1181"/>
      <c r="E276" s="1181"/>
      <c r="F276" s="1181"/>
      <c r="G276" s="1181"/>
      <c r="H276" s="1182"/>
      <c r="I276" s="1183"/>
      <c r="J276" s="547">
        <f>RA.503</f>
        <v>71.675000000000011</v>
      </c>
    </row>
    <row r="277" spans="1:10" ht="15">
      <c r="A277" s="114"/>
      <c r="B277" s="1181" t="str">
        <f>TIT.504</f>
        <v>FL.26/304.13/04738- CENTRAL DE UTILIDADES - REFEITÓRIO</v>
      </c>
      <c r="C277" s="1181"/>
      <c r="D277" s="1181"/>
      <c r="E277" s="1181"/>
      <c r="F277" s="1181"/>
      <c r="G277" s="1181"/>
      <c r="H277" s="1182"/>
      <c r="I277" s="1183"/>
      <c r="J277" s="547">
        <f>RA.504</f>
        <v>118.76500000000001</v>
      </c>
    </row>
    <row r="278" spans="1:10" ht="15">
      <c r="A278" s="114"/>
      <c r="B278" s="1181" t="str">
        <f>TIT.505</f>
        <v>FL.26/304.13/04743- CENTRAL DE UTILIDADES - CAG/SUBESTAÇÃO</v>
      </c>
      <c r="C278" s="1181"/>
      <c r="D278" s="1181"/>
      <c r="E278" s="1181"/>
      <c r="F278" s="1181"/>
      <c r="G278" s="1181"/>
      <c r="H278" s="1182"/>
      <c r="I278" s="1183"/>
      <c r="J278" s="547">
        <f>RA.505</f>
        <v>331.24250000000006</v>
      </c>
    </row>
    <row r="279" spans="1:10" ht="15">
      <c r="A279" s="114"/>
      <c r="B279" s="1181" t="str">
        <f>TIT.506</f>
        <v>FL.26/302.13/04751 - CENTRAL DE UTILIDADES - GUARITA</v>
      </c>
      <c r="C279" s="1181"/>
      <c r="D279" s="1181"/>
      <c r="E279" s="1181"/>
      <c r="F279" s="1181"/>
      <c r="G279" s="1181"/>
      <c r="H279" s="1182"/>
      <c r="I279" s="1183"/>
      <c r="J279" s="547">
        <f>RA.506</f>
        <v>16.962</v>
      </c>
    </row>
    <row r="280" spans="1:10" ht="15">
      <c r="A280" s="114"/>
      <c r="B280" s="1181" t="str">
        <f>TIT.507</f>
        <v>FL.26/302.13/04753 - CENTRAL DE UTILIDADES - ACESSO PASSARELA TÉCNICA</v>
      </c>
      <c r="C280" s="1181"/>
      <c r="D280" s="1181"/>
      <c r="E280" s="1181"/>
      <c r="F280" s="1181"/>
      <c r="G280" s="1181"/>
      <c r="H280" s="1182"/>
      <c r="I280" s="1183"/>
      <c r="J280" s="547">
        <f>RA.507</f>
        <v>13.808000000000002</v>
      </c>
    </row>
    <row r="281" spans="1:10" ht="15">
      <c r="A281" s="114"/>
      <c r="B281" s="1181" t="str">
        <f>TIT.508</f>
        <v>FL.26/304.13/04756 - CENTRAL DE UTILIDADES - OFICINA DE MANUTENÇÃO</v>
      </c>
      <c r="C281" s="1181"/>
      <c r="D281" s="1181"/>
      <c r="E281" s="1181"/>
      <c r="F281" s="1181"/>
      <c r="G281" s="1181"/>
      <c r="H281" s="1182"/>
      <c r="I281" s="1183"/>
      <c r="J281" s="547">
        <f>RA.508</f>
        <v>21.53</v>
      </c>
    </row>
    <row r="282" spans="1:10" ht="15">
      <c r="A282" s="114"/>
      <c r="B282" s="1181" t="str">
        <f>TIT.509</f>
        <v>FL.26/304.13/04759- RESERVATÓRIO APOIADO DE ÁGUA POTÁVEL</v>
      </c>
      <c r="C282" s="1181"/>
      <c r="D282" s="1181"/>
      <c r="E282" s="1181"/>
      <c r="F282" s="1181"/>
      <c r="G282" s="1181"/>
      <c r="H282" s="1182"/>
      <c r="I282" s="1183"/>
      <c r="J282" s="547">
        <f>RA.509</f>
        <v>42.802500000000002</v>
      </c>
    </row>
    <row r="283" spans="1:10" ht="15">
      <c r="A283" s="114"/>
      <c r="B283" s="1181" t="str">
        <f>TIT.510</f>
        <v>FL.26/304.13/04765 - RESERVATÓRIO DE ÁGUA - NORMAL E REUSO</v>
      </c>
      <c r="C283" s="1181"/>
      <c r="D283" s="1181"/>
      <c r="E283" s="1181"/>
      <c r="F283" s="1181"/>
      <c r="G283" s="1181"/>
      <c r="H283" s="1182"/>
      <c r="I283" s="1183"/>
      <c r="J283" s="561">
        <f>RA.510</f>
        <v>96.606000000000023</v>
      </c>
    </row>
    <row r="284" spans="1:10" ht="15">
      <c r="A284" s="114"/>
      <c r="B284" s="1181" t="str">
        <f>TIT.511</f>
        <v>FL.17/302.13/05743 - CENTRAL DE UTILIDADES - GUARITA - ESTACIONAMENTO</v>
      </c>
      <c r="C284" s="1181"/>
      <c r="D284" s="1181"/>
      <c r="E284" s="1181"/>
      <c r="F284" s="1181"/>
      <c r="G284" s="1181"/>
      <c r="H284" s="1182"/>
      <c r="I284" s="1183"/>
      <c r="J284" s="561">
        <f>RA.511</f>
        <v>9.65</v>
      </c>
    </row>
    <row r="285" spans="1:10" ht="15">
      <c r="A285" s="114"/>
      <c r="B285" s="1181"/>
      <c r="C285" s="1181"/>
      <c r="D285" s="1181"/>
      <c r="E285" s="1181"/>
      <c r="F285" s="1181"/>
      <c r="G285" s="1181"/>
      <c r="H285" s="1182"/>
      <c r="I285" s="1183"/>
      <c r="J285" s="562"/>
    </row>
    <row r="286" spans="1:10" thickBot="1">
      <c r="A286" s="114"/>
      <c r="B286" s="1193" t="s">
        <v>76</v>
      </c>
      <c r="C286" s="1193"/>
      <c r="D286" s="1193"/>
      <c r="E286" s="1193"/>
      <c r="F286" s="1193"/>
      <c r="G286" s="1193"/>
      <c r="H286" s="1194"/>
      <c r="I286" s="1195"/>
      <c r="J286" s="549">
        <f>SUM(J274:J284)</f>
        <v>949.67134531513238</v>
      </c>
    </row>
    <row r="287" spans="1:10" thickBot="1">
      <c r="A287" s="114"/>
      <c r="B287" s="1196" t="s">
        <v>77</v>
      </c>
      <c r="C287" s="1196"/>
      <c r="D287" s="1196"/>
      <c r="E287" s="1196"/>
      <c r="F287" s="1196"/>
      <c r="G287" s="1196"/>
      <c r="H287" s="1196"/>
      <c r="I287" s="1196"/>
      <c r="J287" s="550"/>
    </row>
    <row r="288" spans="1:10" ht="15">
      <c r="A288" s="114"/>
      <c r="B288" s="551" t="s">
        <v>92</v>
      </c>
      <c r="C288" s="154"/>
      <c r="D288" s="154"/>
      <c r="E288" s="154"/>
      <c r="F288" s="154"/>
      <c r="G288" s="154"/>
      <c r="H288" s="154"/>
      <c r="I288" s="154"/>
      <c r="J288" s="545"/>
    </row>
    <row r="289" spans="1:10" thickBot="1">
      <c r="A289" s="114"/>
      <c r="B289" s="155"/>
      <c r="C289" s="155"/>
      <c r="D289" s="155"/>
      <c r="E289" s="155"/>
      <c r="F289" s="155"/>
      <c r="G289" s="155"/>
      <c r="H289" s="155"/>
      <c r="I289" s="155"/>
      <c r="J289" s="552"/>
    </row>
    <row r="290" spans="1:10" thickTop="1">
      <c r="A290" s="114"/>
      <c r="B290" s="1211" t="s">
        <v>57</v>
      </c>
      <c r="C290" s="1211"/>
      <c r="D290" s="1211"/>
      <c r="E290" s="1211"/>
      <c r="F290" s="1211"/>
      <c r="G290" s="1211"/>
      <c r="H290" s="1211"/>
      <c r="I290" s="1211"/>
      <c r="J290" s="1212"/>
    </row>
    <row r="291" spans="1:10" ht="44.25" customHeight="1">
      <c r="A291" s="114"/>
      <c r="B291" s="1213" t="str">
        <f>'PSQ-INFRA'!C77</f>
        <v>Reaterro Compactado</v>
      </c>
      <c r="C291" s="1213"/>
      <c r="D291" s="1213"/>
      <c r="E291" s="1213"/>
      <c r="F291" s="1213"/>
      <c r="G291" s="1213"/>
      <c r="H291" s="1213"/>
      <c r="I291" s="1213"/>
      <c r="J291" s="541"/>
    </row>
    <row r="292" spans="1:10" ht="15">
      <c r="A292" s="114"/>
      <c r="B292" s="1214" t="s">
        <v>7</v>
      </c>
      <c r="C292" s="1215"/>
      <c r="D292" s="1220" t="s">
        <v>70</v>
      </c>
      <c r="E292" s="1221"/>
      <c r="F292" s="1221"/>
      <c r="G292" s="1222"/>
      <c r="H292" s="1223" t="s">
        <v>4</v>
      </c>
      <c r="I292" s="1224"/>
      <c r="J292" s="365" t="s">
        <v>71</v>
      </c>
    </row>
    <row r="293" spans="1:10" ht="56.25" customHeight="1" thickBot="1">
      <c r="A293" s="114"/>
      <c r="B293" s="1225" t="str">
        <f>'PSQ-INFRA'!B77</f>
        <v>04.01.100.03</v>
      </c>
      <c r="C293" s="1226"/>
      <c r="D293" s="1218" t="str">
        <f>B291</f>
        <v>Reaterro Compactado</v>
      </c>
      <c r="E293" s="1219"/>
      <c r="F293" s="1219"/>
      <c r="G293" s="1195"/>
      <c r="H293" s="1184" t="str">
        <f>'PSQ-INFRA'!D77</f>
        <v>m³</v>
      </c>
      <c r="I293" s="1185"/>
      <c r="J293" s="542">
        <f>J312</f>
        <v>2546.657436771286</v>
      </c>
    </row>
    <row r="294" spans="1:10" ht="15">
      <c r="A294" s="114"/>
      <c r="B294" s="1186" t="s">
        <v>72</v>
      </c>
      <c r="C294" s="1186"/>
      <c r="D294" s="1186"/>
      <c r="E294" s="1186"/>
      <c r="F294" s="1186"/>
      <c r="G294" s="1186"/>
      <c r="H294" s="1186"/>
      <c r="I294" s="1186"/>
      <c r="J294" s="543"/>
    </row>
    <row r="295" spans="1:10" ht="15">
      <c r="A295" s="114"/>
      <c r="B295" s="162" t="s">
        <v>80</v>
      </c>
      <c r="C295" s="168"/>
      <c r="D295" s="168"/>
      <c r="E295" s="168"/>
      <c r="F295" s="168"/>
      <c r="G295" s="168"/>
      <c r="H295" s="162" t="str">
        <f>'Pág 2'!C25</f>
        <v>FL.01/302.92/04538 - Especificação Técnica - Concreto</v>
      </c>
      <c r="I295" s="168"/>
      <c r="J295" s="168"/>
    </row>
    <row r="296" spans="1:10" ht="15">
      <c r="A296" s="114"/>
      <c r="B296" s="163" t="s">
        <v>79</v>
      </c>
      <c r="C296" s="164"/>
      <c r="D296" s="164"/>
      <c r="E296" s="163" t="str">
        <f>'Pág 2'!C18</f>
        <v>FL.01/302.76/04537 - Memorial de Cálculo e Dimensionamento - Concreto.</v>
      </c>
      <c r="F296" s="114"/>
      <c r="G296" s="164"/>
      <c r="H296" s="164"/>
      <c r="I296" s="164"/>
      <c r="J296" s="164"/>
    </row>
    <row r="297" spans="1:10" ht="15">
      <c r="A297" s="114"/>
      <c r="B297" s="163" t="s">
        <v>73</v>
      </c>
      <c r="C297" s="153"/>
      <c r="D297" s="153"/>
      <c r="E297" s="163"/>
      <c r="F297" s="114"/>
      <c r="G297" s="164"/>
      <c r="H297" s="164"/>
      <c r="I297" s="164"/>
      <c r="J297" s="544"/>
    </row>
    <row r="298" spans="1:10" thickBot="1">
      <c r="A298" s="114"/>
      <c r="B298" s="165"/>
      <c r="C298" s="165"/>
      <c r="D298" s="165"/>
      <c r="E298" s="153"/>
      <c r="F298" s="153"/>
      <c r="G298" s="153"/>
      <c r="H298" s="153"/>
      <c r="I298" s="153"/>
      <c r="J298" s="545"/>
    </row>
    <row r="299" spans="1:10" ht="15">
      <c r="A299" s="114"/>
      <c r="B299" s="1187" t="s">
        <v>74</v>
      </c>
      <c r="C299" s="1187"/>
      <c r="D299" s="1187"/>
      <c r="E299" s="1187"/>
      <c r="F299" s="1187"/>
      <c r="G299" s="1187"/>
      <c r="H299" s="1188"/>
      <c r="I299" s="1189"/>
      <c r="J299" s="546" t="s">
        <v>75</v>
      </c>
    </row>
    <row r="300" spans="1:10" ht="15">
      <c r="A300" s="114"/>
      <c r="B300" s="1181" t="str">
        <f>TIT.501</f>
        <v>FL.27/304.13/04720 - CAG- CENTRAL DE ÁGUA GELADA - TORRES DE RESFRIAMENTO</v>
      </c>
      <c r="C300" s="1181"/>
      <c r="D300" s="1181"/>
      <c r="E300" s="1181"/>
      <c r="F300" s="1181"/>
      <c r="G300" s="1181"/>
      <c r="H300" s="1182"/>
      <c r="I300" s="1183"/>
      <c r="J300" s="547">
        <f>R.501</f>
        <v>40.380079305806248</v>
      </c>
    </row>
    <row r="301" spans="1:10" ht="15">
      <c r="A301" s="114"/>
      <c r="B301" s="1181" t="str">
        <f>TIT.502</f>
        <v>FL.27/304.13/04721 - CAG- CENTRAL DE ÁGUA GELADA - TQ DE TERMO ACUMULAÇÃO</v>
      </c>
      <c r="C301" s="1181"/>
      <c r="D301" s="1181"/>
      <c r="E301" s="1181"/>
      <c r="F301" s="1181"/>
      <c r="G301" s="1181"/>
      <c r="H301" s="1182"/>
      <c r="I301" s="1183"/>
      <c r="J301" s="547">
        <f>R.502</f>
        <v>34.690030583847744</v>
      </c>
    </row>
    <row r="302" spans="1:10" ht="15">
      <c r="A302" s="114"/>
      <c r="B302" s="1181" t="str">
        <f>TIT.503</f>
        <v xml:space="preserve">FL.26/304.13/04734 - CENTRAL DE UTILIDADES - MANUTENÇÃO </v>
      </c>
      <c r="C302" s="1181"/>
      <c r="D302" s="1181"/>
      <c r="E302" s="1181"/>
      <c r="F302" s="1181"/>
      <c r="G302" s="1181"/>
      <c r="H302" s="1182"/>
      <c r="I302" s="1183"/>
      <c r="J302" s="547">
        <f>R.503</f>
        <v>332.79106288549286</v>
      </c>
    </row>
    <row r="303" spans="1:10" ht="15">
      <c r="A303" s="114"/>
      <c r="B303" s="1181" t="str">
        <f>TIT.504</f>
        <v>FL.26/304.13/04738- CENTRAL DE UTILIDADES - REFEITÓRIO</v>
      </c>
      <c r="C303" s="1181"/>
      <c r="D303" s="1181"/>
      <c r="E303" s="1181"/>
      <c r="F303" s="1181"/>
      <c r="G303" s="1181"/>
      <c r="H303" s="1182"/>
      <c r="I303" s="1183"/>
      <c r="J303" s="547">
        <f>R.504</f>
        <v>522.23147514184018</v>
      </c>
    </row>
    <row r="304" spans="1:10" ht="15">
      <c r="A304" s="114"/>
      <c r="B304" s="1181" t="str">
        <f>TIT.505</f>
        <v>FL.26/304.13/04743- CENTRAL DE UTILIDADES - CAG/SUBESTAÇÃO</v>
      </c>
      <c r="C304" s="1181"/>
      <c r="D304" s="1181"/>
      <c r="E304" s="1181"/>
      <c r="F304" s="1181"/>
      <c r="G304" s="1181"/>
      <c r="H304" s="1182"/>
      <c r="I304" s="1183"/>
      <c r="J304" s="547">
        <f>R.505</f>
        <v>828.29988297255693</v>
      </c>
    </row>
    <row r="305" spans="1:10" ht="15">
      <c r="A305" s="114"/>
      <c r="B305" s="1181" t="str">
        <f>TIT.506</f>
        <v>FL.26/302.13/04751 - CENTRAL DE UTILIDADES - GUARITA</v>
      </c>
      <c r="C305" s="1181"/>
      <c r="D305" s="1181"/>
      <c r="E305" s="1181"/>
      <c r="F305" s="1181"/>
      <c r="G305" s="1181"/>
      <c r="H305" s="1182"/>
      <c r="I305" s="1183"/>
      <c r="J305" s="547">
        <f>R.506</f>
        <v>71.909262921570345</v>
      </c>
    </row>
    <row r="306" spans="1:10" ht="15">
      <c r="A306" s="114"/>
      <c r="B306" s="1181" t="str">
        <f>TIT.507</f>
        <v>FL.26/302.13/04753 - CENTRAL DE UTILIDADES - ACESSO PASSARELA TÉCNICA</v>
      </c>
      <c r="C306" s="1181"/>
      <c r="D306" s="1181"/>
      <c r="E306" s="1181"/>
      <c r="F306" s="1181"/>
      <c r="G306" s="1181"/>
      <c r="H306" s="1182"/>
      <c r="I306" s="1183"/>
      <c r="J306" s="547">
        <f>R.507</f>
        <v>88.688434676036607</v>
      </c>
    </row>
    <row r="307" spans="1:10" ht="15">
      <c r="A307" s="114"/>
      <c r="B307" s="1181" t="str">
        <f>TIT.508</f>
        <v>FL.26/304.13/04756 - CENTRAL DE UTILIDADES - OFICINA DE MANUTENÇÃO</v>
      </c>
      <c r="C307" s="1181"/>
      <c r="D307" s="1181"/>
      <c r="E307" s="1181"/>
      <c r="F307" s="1181"/>
      <c r="G307" s="1181"/>
      <c r="H307" s="1182"/>
      <c r="I307" s="1183"/>
      <c r="J307" s="547">
        <f>R.508</f>
        <v>100.66674398592923</v>
      </c>
    </row>
    <row r="308" spans="1:10" ht="15">
      <c r="A308" s="114"/>
      <c r="B308" s="1181" t="str">
        <f>TIT.509</f>
        <v>FL.26/304.13/04759- RESERVATÓRIO APOIADO DE ÁGUA POTÁVEL</v>
      </c>
      <c r="C308" s="1181"/>
      <c r="D308" s="1181"/>
      <c r="E308" s="1181"/>
      <c r="F308" s="1181"/>
      <c r="G308" s="1181"/>
      <c r="H308" s="1182"/>
      <c r="I308" s="1183"/>
      <c r="J308" s="547">
        <f>R.509</f>
        <v>228.48169159282935</v>
      </c>
    </row>
    <row r="309" spans="1:10" ht="15">
      <c r="A309" s="114"/>
      <c r="B309" s="1181" t="str">
        <f>TIT.510</f>
        <v>FL.26/304.13/04765 - RESERVATÓRIO DE ÁGUA - NORMAL E REUSO</v>
      </c>
      <c r="C309" s="1181"/>
      <c r="D309" s="1181"/>
      <c r="E309" s="1181"/>
      <c r="F309" s="1181"/>
      <c r="G309" s="1181"/>
      <c r="H309" s="1182"/>
      <c r="I309" s="1183"/>
      <c r="J309" s="561">
        <f>R.510</f>
        <v>256.53741005378231</v>
      </c>
    </row>
    <row r="310" spans="1:10" ht="15">
      <c r="A310" s="114"/>
      <c r="B310" s="1181" t="str">
        <f>TIT.511</f>
        <v>FL.17/302.13/05743 - CENTRAL DE UTILIDADES - GUARITA - ESTACIONAMENTO</v>
      </c>
      <c r="C310" s="1181"/>
      <c r="D310" s="1181"/>
      <c r="E310" s="1181"/>
      <c r="F310" s="1181"/>
      <c r="G310" s="1181"/>
      <c r="H310" s="1182"/>
      <c r="I310" s="1183"/>
      <c r="J310" s="561">
        <f>R.511</f>
        <v>41.981362651593678</v>
      </c>
    </row>
    <row r="311" spans="1:10" ht="15">
      <c r="A311" s="114"/>
      <c r="B311" s="1181"/>
      <c r="C311" s="1181"/>
      <c r="D311" s="1181"/>
      <c r="E311" s="1181"/>
      <c r="F311" s="1181"/>
      <c r="G311" s="1181"/>
      <c r="H311" s="1182"/>
      <c r="I311" s="1183"/>
      <c r="J311" s="562"/>
    </row>
    <row r="312" spans="1:10" thickBot="1">
      <c r="A312" s="114"/>
      <c r="B312" s="1193" t="s">
        <v>76</v>
      </c>
      <c r="C312" s="1193"/>
      <c r="D312" s="1193"/>
      <c r="E312" s="1193"/>
      <c r="F312" s="1193"/>
      <c r="G312" s="1193"/>
      <c r="H312" s="1194"/>
      <c r="I312" s="1195"/>
      <c r="J312" s="549">
        <f>SUM(J300:J310)</f>
        <v>2546.657436771286</v>
      </c>
    </row>
    <row r="313" spans="1:10" thickBot="1">
      <c r="A313" s="114"/>
      <c r="B313" s="1196" t="s">
        <v>77</v>
      </c>
      <c r="C313" s="1196"/>
      <c r="D313" s="1196"/>
      <c r="E313" s="1196"/>
      <c r="F313" s="1196"/>
      <c r="G313" s="1196"/>
      <c r="H313" s="1196"/>
      <c r="I313" s="1196"/>
      <c r="J313" s="550"/>
    </row>
    <row r="314" spans="1:10" ht="15">
      <c r="A314" s="114"/>
      <c r="B314" s="551" t="s">
        <v>92</v>
      </c>
      <c r="C314" s="154"/>
      <c r="D314" s="154"/>
      <c r="E314" s="154"/>
      <c r="F314" s="154"/>
      <c r="G314" s="154"/>
      <c r="H314" s="154"/>
      <c r="I314" s="154"/>
      <c r="J314" s="545"/>
    </row>
    <row r="315" spans="1:10" thickBot="1">
      <c r="A315" s="114"/>
      <c r="B315" s="155"/>
      <c r="C315" s="155"/>
      <c r="D315" s="155"/>
      <c r="E315" s="155"/>
      <c r="F315" s="155"/>
      <c r="G315" s="155"/>
      <c r="H315" s="155"/>
      <c r="I315" s="155"/>
      <c r="J315" s="552"/>
    </row>
    <row r="316" spans="1:10" thickTop="1">
      <c r="A316" s="114"/>
      <c r="B316" s="1211" t="s">
        <v>57</v>
      </c>
      <c r="C316" s="1211"/>
      <c r="D316" s="1211"/>
      <c r="E316" s="1211"/>
      <c r="F316" s="1211"/>
      <c r="G316" s="1211"/>
      <c r="H316" s="1211"/>
      <c r="I316" s="1211"/>
      <c r="J316" s="1211"/>
    </row>
    <row r="317" spans="1:10" ht="44.25" customHeight="1">
      <c r="A317" s="114"/>
      <c r="B317" s="1213" t="str">
        <f>'PSQ-INFRA'!C106</f>
        <v>Estaca Hélice Contínua com diâmetro de 250 mm</v>
      </c>
      <c r="C317" s="1213"/>
      <c r="D317" s="1213"/>
      <c r="E317" s="1213"/>
      <c r="F317" s="1213"/>
      <c r="G317" s="1213"/>
      <c r="H317" s="1213"/>
      <c r="I317" s="1213"/>
      <c r="J317" s="541"/>
    </row>
    <row r="318" spans="1:10" ht="15">
      <c r="A318" s="114"/>
      <c r="B318" s="1214" t="s">
        <v>7</v>
      </c>
      <c r="C318" s="1215"/>
      <c r="D318" s="1220" t="s">
        <v>70</v>
      </c>
      <c r="E318" s="1221"/>
      <c r="F318" s="1221"/>
      <c r="G318" s="1222"/>
      <c r="H318" s="1223" t="s">
        <v>4</v>
      </c>
      <c r="I318" s="1224"/>
      <c r="J318" s="365" t="s">
        <v>71</v>
      </c>
    </row>
    <row r="319" spans="1:10" ht="56.25" customHeight="1" thickBot="1">
      <c r="A319" s="114"/>
      <c r="B319" s="1225" t="str">
        <f>'PSQ-INFRA'!B106</f>
        <v>04.02.170.01</v>
      </c>
      <c r="C319" s="1226"/>
      <c r="D319" s="1218" t="str">
        <f>B317</f>
        <v>Estaca Hélice Contínua com diâmetro de 250 mm</v>
      </c>
      <c r="E319" s="1219"/>
      <c r="F319" s="1219"/>
      <c r="G319" s="1195"/>
      <c r="H319" s="1184" t="str">
        <f>'PSQ-INFRA'!D106</f>
        <v>m</v>
      </c>
      <c r="I319" s="1185"/>
      <c r="J319" s="542">
        <f>J334</f>
        <v>2456</v>
      </c>
    </row>
    <row r="320" spans="1:10" ht="15">
      <c r="A320" s="114"/>
      <c r="B320" s="1186" t="s">
        <v>72</v>
      </c>
      <c r="C320" s="1186"/>
      <c r="D320" s="1186"/>
      <c r="E320" s="1186"/>
      <c r="F320" s="1186"/>
      <c r="G320" s="1186"/>
      <c r="H320" s="1186"/>
      <c r="I320" s="1186"/>
      <c r="J320" s="543"/>
    </row>
    <row r="321" spans="1:10" ht="15" customHeight="1">
      <c r="A321" s="114"/>
      <c r="B321" s="162" t="s">
        <v>80</v>
      </c>
      <c r="C321" s="168"/>
      <c r="D321" s="168"/>
      <c r="E321" s="168"/>
      <c r="F321" s="168"/>
      <c r="G321" s="168"/>
      <c r="H321" s="162" t="str">
        <f>'Pág 2'!C25</f>
        <v>FL.01/302.92/04538 - Especificação Técnica - Concreto</v>
      </c>
      <c r="I321" s="168"/>
      <c r="J321" s="168"/>
    </row>
    <row r="322" spans="1:10" ht="15" customHeight="1">
      <c r="A322" s="114"/>
      <c r="B322" s="163" t="s">
        <v>79</v>
      </c>
      <c r="C322" s="164"/>
      <c r="D322" s="164"/>
      <c r="E322" s="163" t="str">
        <f>'Pág 2'!C18</f>
        <v>FL.01/302.76/04537 - Memorial de Cálculo e Dimensionamento - Concreto.</v>
      </c>
      <c r="F322" s="114"/>
      <c r="G322" s="164"/>
      <c r="H322" s="164"/>
      <c r="I322" s="164"/>
      <c r="J322" s="164"/>
    </row>
    <row r="323" spans="1:10" ht="15" customHeight="1">
      <c r="A323" s="114"/>
      <c r="B323" s="163" t="s">
        <v>73</v>
      </c>
      <c r="C323" s="153"/>
      <c r="D323" s="153"/>
      <c r="E323" s="163"/>
      <c r="F323" s="114"/>
      <c r="G323" s="164"/>
      <c r="H323" s="164"/>
      <c r="I323" s="164"/>
      <c r="J323" s="544"/>
    </row>
    <row r="324" spans="1:10" thickBot="1">
      <c r="A324" s="114"/>
      <c r="B324" s="165"/>
      <c r="C324" s="165"/>
      <c r="D324" s="165"/>
      <c r="E324" s="153"/>
      <c r="F324" s="153"/>
      <c r="G324" s="153"/>
      <c r="H324" s="153"/>
      <c r="I324" s="153"/>
      <c r="J324" s="545"/>
    </row>
    <row r="325" spans="1:10" ht="15">
      <c r="A325" s="114"/>
      <c r="B325" s="1187" t="s">
        <v>74</v>
      </c>
      <c r="C325" s="1187"/>
      <c r="D325" s="1187"/>
      <c r="E325" s="1187"/>
      <c r="F325" s="1187"/>
      <c r="G325" s="1187"/>
      <c r="H325" s="1188"/>
      <c r="I325" s="1189"/>
      <c r="J325" s="546" t="s">
        <v>75</v>
      </c>
    </row>
    <row r="326" spans="1:10" ht="15">
      <c r="A326" s="114"/>
      <c r="B326" s="1181" t="str">
        <f>TIT.503</f>
        <v xml:space="preserve">FL.26/304.13/04734 - CENTRAL DE UTILIDADES - MANUTENÇÃO </v>
      </c>
      <c r="C326" s="1181"/>
      <c r="D326" s="1181"/>
      <c r="E326" s="1181"/>
      <c r="F326" s="1181"/>
      <c r="G326" s="1181"/>
      <c r="H326" s="1182"/>
      <c r="I326" s="1183"/>
      <c r="J326" s="547">
        <f>E25.503</f>
        <v>528</v>
      </c>
    </row>
    <row r="327" spans="1:10" ht="15">
      <c r="A327" s="114"/>
      <c r="B327" s="1181" t="str">
        <f>TIT.504</f>
        <v>FL.26/304.13/04738- CENTRAL DE UTILIDADES - REFEITÓRIO</v>
      </c>
      <c r="C327" s="1181"/>
      <c r="D327" s="1181"/>
      <c r="E327" s="1181"/>
      <c r="F327" s="1181"/>
      <c r="G327" s="1181"/>
      <c r="H327" s="1182"/>
      <c r="I327" s="1183"/>
      <c r="J327" s="547">
        <f>E25.504</f>
        <v>576</v>
      </c>
    </row>
    <row r="328" spans="1:10" ht="15">
      <c r="A328" s="114"/>
      <c r="B328" s="1181" t="str">
        <f>TIT.505</f>
        <v>FL.26/304.13/04743- CENTRAL DE UTILIDADES - CAG/SUBESTAÇÃO</v>
      </c>
      <c r="C328" s="1181"/>
      <c r="D328" s="1181"/>
      <c r="E328" s="1181"/>
      <c r="F328" s="1181"/>
      <c r="G328" s="1181"/>
      <c r="H328" s="1182"/>
      <c r="I328" s="1183"/>
      <c r="J328" s="547">
        <f>E25.505</f>
        <v>936</v>
      </c>
    </row>
    <row r="329" spans="1:10" ht="15">
      <c r="A329" s="114"/>
      <c r="B329" s="1181" t="str">
        <f>TIT.506</f>
        <v>FL.26/302.13/04751 - CENTRAL DE UTILIDADES - GUARITA</v>
      </c>
      <c r="C329" s="1181"/>
      <c r="D329" s="1181"/>
      <c r="E329" s="1181"/>
      <c r="F329" s="1181"/>
      <c r="G329" s="1181"/>
      <c r="H329" s="1182"/>
      <c r="I329" s="1183"/>
      <c r="J329" s="547">
        <f>E25.506</f>
        <v>144</v>
      </c>
    </row>
    <row r="330" spans="1:10" ht="15">
      <c r="A330" s="114"/>
      <c r="B330" s="1181" t="str">
        <f>TIT.508</f>
        <v>FL.26/304.13/04756 - CENTRAL DE UTILIDADES - OFICINA DE MANUTENÇÃO</v>
      </c>
      <c r="C330" s="1181"/>
      <c r="D330" s="1181"/>
      <c r="E330" s="1181"/>
      <c r="F330" s="1181"/>
      <c r="G330" s="1181"/>
      <c r="H330" s="1182"/>
      <c r="I330" s="1183"/>
      <c r="J330" s="547">
        <f>E25.508</f>
        <v>168</v>
      </c>
    </row>
    <row r="331" spans="1:10" ht="15">
      <c r="A331" s="114"/>
      <c r="B331" s="1181" t="str">
        <f>TIT.509</f>
        <v>FL.26/304.13/04759- RESERVATÓRIO APOIADO DE ÁGUA POTÁVEL</v>
      </c>
      <c r="C331" s="1181"/>
      <c r="D331" s="1181"/>
      <c r="E331" s="1181"/>
      <c r="F331" s="1181"/>
      <c r="G331" s="1181"/>
      <c r="H331" s="1182"/>
      <c r="I331" s="1183"/>
      <c r="J331" s="547">
        <f>E25.509</f>
        <v>56</v>
      </c>
    </row>
    <row r="332" spans="1:10" ht="15">
      <c r="A332" s="114"/>
      <c r="B332" s="1181" t="str">
        <f>TIT.511</f>
        <v>FL.17/302.13/05743 - CENTRAL DE UTILIDADES - GUARITA - ESTACIONAMENTO</v>
      </c>
      <c r="C332" s="1181"/>
      <c r="D332" s="1181"/>
      <c r="E332" s="1181"/>
      <c r="F332" s="1181"/>
      <c r="G332" s="1181"/>
      <c r="H332" s="1182"/>
      <c r="I332" s="1183"/>
      <c r="J332" s="547">
        <f>E25.511</f>
        <v>48</v>
      </c>
    </row>
    <row r="333" spans="1:10" ht="15" customHeight="1">
      <c r="A333" s="114"/>
      <c r="B333" s="1181"/>
      <c r="C333" s="1181"/>
      <c r="D333" s="1181"/>
      <c r="E333" s="1181"/>
      <c r="F333" s="1181"/>
      <c r="G333" s="1181"/>
      <c r="H333" s="1182"/>
      <c r="I333" s="1183"/>
      <c r="J333" s="548"/>
    </row>
    <row r="334" spans="1:10" ht="15" customHeight="1" thickBot="1">
      <c r="A334" s="114"/>
      <c r="B334" s="1193" t="s">
        <v>76</v>
      </c>
      <c r="C334" s="1193"/>
      <c r="D334" s="1193"/>
      <c r="E334" s="1193"/>
      <c r="F334" s="1193"/>
      <c r="G334" s="1193"/>
      <c r="H334" s="1194"/>
      <c r="I334" s="1195"/>
      <c r="J334" s="549">
        <f>SUM(J326:J332)</f>
        <v>2456</v>
      </c>
    </row>
    <row r="335" spans="1:10" ht="15" customHeight="1" thickBot="1">
      <c r="A335" s="114"/>
      <c r="B335" s="1196" t="s">
        <v>77</v>
      </c>
      <c r="C335" s="1196"/>
      <c r="D335" s="1196"/>
      <c r="E335" s="1196"/>
      <c r="F335" s="1196"/>
      <c r="G335" s="1196"/>
      <c r="H335" s="1196"/>
      <c r="I335" s="1196"/>
      <c r="J335" s="550"/>
    </row>
    <row r="336" spans="1:10" ht="15" customHeight="1">
      <c r="A336" s="114"/>
      <c r="B336" s="551" t="s">
        <v>92</v>
      </c>
      <c r="C336" s="154"/>
      <c r="D336" s="154"/>
      <c r="E336" s="154"/>
      <c r="F336" s="154"/>
      <c r="G336" s="154"/>
      <c r="H336" s="154"/>
      <c r="I336" s="154"/>
      <c r="J336" s="545"/>
    </row>
    <row r="337" spans="1:10" ht="15" customHeight="1" thickBot="1">
      <c r="A337" s="114"/>
      <c r="B337" s="155"/>
      <c r="C337" s="155"/>
      <c r="D337" s="155"/>
      <c r="E337" s="155"/>
      <c r="F337" s="155"/>
      <c r="G337" s="155"/>
      <c r="H337" s="155"/>
      <c r="I337" s="155"/>
      <c r="J337" s="552"/>
    </row>
    <row r="338" spans="1:10" thickTop="1">
      <c r="A338" s="114"/>
      <c r="B338" s="1211" t="s">
        <v>57</v>
      </c>
      <c r="C338" s="1211"/>
      <c r="D338" s="1211"/>
      <c r="E338" s="1211"/>
      <c r="F338" s="1211"/>
      <c r="G338" s="1211"/>
      <c r="H338" s="1211"/>
      <c r="I338" s="1211"/>
      <c r="J338" s="1211"/>
    </row>
    <row r="339" spans="1:10" ht="44.25" customHeight="1">
      <c r="A339" s="114"/>
      <c r="B339" s="1213" t="str">
        <f>'PSQ-INFRA'!C107</f>
        <v>Estaca Hélice Contínua com diâmetro de 300 mm</v>
      </c>
      <c r="C339" s="1213"/>
      <c r="D339" s="1213"/>
      <c r="E339" s="1213"/>
      <c r="F339" s="1213"/>
      <c r="G339" s="1213"/>
      <c r="H339" s="1213"/>
      <c r="I339" s="1213"/>
      <c r="J339" s="541"/>
    </row>
    <row r="340" spans="1:10" ht="15">
      <c r="A340" s="114"/>
      <c r="B340" s="1214" t="s">
        <v>7</v>
      </c>
      <c r="C340" s="1243"/>
      <c r="D340" s="1220" t="s">
        <v>70</v>
      </c>
      <c r="E340" s="1244"/>
      <c r="F340" s="1244"/>
      <c r="G340" s="1245"/>
      <c r="H340" s="1223" t="s">
        <v>4</v>
      </c>
      <c r="I340" s="1243"/>
      <c r="J340" s="365" t="s">
        <v>71</v>
      </c>
    </row>
    <row r="341" spans="1:10" ht="56.25" customHeight="1" thickBot="1">
      <c r="A341" s="114"/>
      <c r="B341" s="1246" t="str">
        <f>'PSQ-INFRA'!B107</f>
        <v>04.02.170.02</v>
      </c>
      <c r="C341" s="1247"/>
      <c r="D341" s="1218" t="str">
        <f>B339</f>
        <v>Estaca Hélice Contínua com diâmetro de 300 mm</v>
      </c>
      <c r="E341" s="1246"/>
      <c r="F341" s="1246"/>
      <c r="G341" s="1247"/>
      <c r="H341" s="1218" t="str">
        <f>'PSQ-INFRA'!D107</f>
        <v>m</v>
      </c>
      <c r="I341" s="1247"/>
      <c r="J341" s="542">
        <f>J351</f>
        <v>618</v>
      </c>
    </row>
    <row r="342" spans="1:10" ht="15">
      <c r="A342" s="114"/>
      <c r="B342" s="1186" t="s">
        <v>72</v>
      </c>
      <c r="C342" s="1186"/>
      <c r="D342" s="1186"/>
      <c r="E342" s="1186"/>
      <c r="F342" s="1186"/>
      <c r="G342" s="1186"/>
      <c r="H342" s="1186"/>
      <c r="I342" s="1186"/>
      <c r="J342" s="543"/>
    </row>
    <row r="343" spans="1:10" ht="15" customHeight="1">
      <c r="A343" s="114"/>
      <c r="B343" s="162" t="s">
        <v>80</v>
      </c>
      <c r="C343" s="168"/>
      <c r="D343" s="168"/>
      <c r="E343" s="168"/>
      <c r="F343" s="168"/>
      <c r="G343" s="168"/>
      <c r="H343" s="162" t="str">
        <f>'Pág 2'!C25</f>
        <v>FL.01/302.92/04538 - Especificação Técnica - Concreto</v>
      </c>
      <c r="I343" s="168"/>
      <c r="J343" s="168"/>
    </row>
    <row r="344" spans="1:10" ht="15" customHeight="1">
      <c r="A344" s="114"/>
      <c r="B344" s="163" t="s">
        <v>79</v>
      </c>
      <c r="C344" s="164"/>
      <c r="D344" s="164"/>
      <c r="E344" s="163" t="str">
        <f>'Pág 2'!C18</f>
        <v>FL.01/302.76/04537 - Memorial de Cálculo e Dimensionamento - Concreto.</v>
      </c>
      <c r="F344" s="114"/>
      <c r="G344" s="164"/>
      <c r="H344" s="164"/>
      <c r="I344" s="164"/>
      <c r="J344" s="164"/>
    </row>
    <row r="345" spans="1:10" ht="15" customHeight="1">
      <c r="A345" s="114"/>
      <c r="B345" s="163" t="s">
        <v>73</v>
      </c>
      <c r="C345" s="153"/>
      <c r="D345" s="153"/>
      <c r="E345" s="163"/>
      <c r="F345" s="114"/>
      <c r="G345" s="164"/>
      <c r="H345" s="164"/>
      <c r="I345" s="164"/>
      <c r="J345" s="544"/>
    </row>
    <row r="346" spans="1:10" thickBot="1">
      <c r="A346" s="114"/>
      <c r="B346" s="165"/>
      <c r="C346" s="165"/>
      <c r="D346" s="165"/>
      <c r="E346" s="153"/>
      <c r="F346" s="153"/>
      <c r="G346" s="153"/>
      <c r="H346" s="153"/>
      <c r="I346" s="153"/>
      <c r="J346" s="545"/>
    </row>
    <row r="347" spans="1:10" ht="15">
      <c r="A347" s="114"/>
      <c r="B347" s="1187" t="s">
        <v>74</v>
      </c>
      <c r="C347" s="1187"/>
      <c r="D347" s="1187"/>
      <c r="E347" s="1187"/>
      <c r="F347" s="1187"/>
      <c r="G347" s="1187"/>
      <c r="H347" s="1188"/>
      <c r="I347" s="1189"/>
      <c r="J347" s="546" t="s">
        <v>75</v>
      </c>
    </row>
    <row r="348" spans="1:10" ht="15">
      <c r="A348" s="114"/>
      <c r="B348" s="1181" t="str">
        <f>TIT.502</f>
        <v>FL.27/304.13/04721 - CAG- CENTRAL DE ÁGUA GELADA - TQ DE TERMO ACUMULAÇÃO</v>
      </c>
      <c r="C348" s="1181"/>
      <c r="D348" s="1181"/>
      <c r="E348" s="1181"/>
      <c r="F348" s="1181"/>
      <c r="G348" s="1181"/>
      <c r="H348" s="1182"/>
      <c r="I348" s="1183"/>
      <c r="J348" s="547">
        <f>E30.502</f>
        <v>448</v>
      </c>
    </row>
    <row r="349" spans="1:10" ht="15">
      <c r="A349" s="114"/>
      <c r="B349" s="1181" t="str">
        <f>TIT.509</f>
        <v>FL.26/304.13/04759- RESERVATÓRIO APOIADO DE ÁGUA POTÁVEL</v>
      </c>
      <c r="C349" s="1181"/>
      <c r="D349" s="1181"/>
      <c r="E349" s="1181"/>
      <c r="F349" s="1181"/>
      <c r="G349" s="1181"/>
      <c r="H349" s="1182"/>
      <c r="I349" s="1183"/>
      <c r="J349" s="547">
        <f>E30.509</f>
        <v>170</v>
      </c>
    </row>
    <row r="350" spans="1:10" ht="15" customHeight="1">
      <c r="A350" s="114"/>
      <c r="B350" s="1181"/>
      <c r="C350" s="1181"/>
      <c r="D350" s="1181"/>
      <c r="E350" s="1181"/>
      <c r="F350" s="1181"/>
      <c r="G350" s="1181"/>
      <c r="H350" s="1182"/>
      <c r="I350" s="1183"/>
      <c r="J350" s="548"/>
    </row>
    <row r="351" spans="1:10" ht="15" customHeight="1" thickBot="1">
      <c r="A351" s="114"/>
      <c r="B351" s="1193" t="s">
        <v>76</v>
      </c>
      <c r="C351" s="1193"/>
      <c r="D351" s="1193"/>
      <c r="E351" s="1193"/>
      <c r="F351" s="1193"/>
      <c r="G351" s="1193"/>
      <c r="H351" s="1194"/>
      <c r="I351" s="1195"/>
      <c r="J351" s="549">
        <f>SUM(J348:J349)</f>
        <v>618</v>
      </c>
    </row>
    <row r="352" spans="1:10" ht="15" customHeight="1" thickBot="1">
      <c r="A352" s="114"/>
      <c r="B352" s="1196" t="s">
        <v>77</v>
      </c>
      <c r="C352" s="1196"/>
      <c r="D352" s="1196"/>
      <c r="E352" s="1196"/>
      <c r="F352" s="1196"/>
      <c r="G352" s="1196"/>
      <c r="H352" s="1196"/>
      <c r="I352" s="1196"/>
      <c r="J352" s="550"/>
    </row>
    <row r="353" spans="1:10" ht="15" customHeight="1">
      <c r="A353" s="114"/>
      <c r="B353" s="551" t="s">
        <v>92</v>
      </c>
      <c r="C353" s="154"/>
      <c r="D353" s="154"/>
      <c r="E353" s="154"/>
      <c r="F353" s="154"/>
      <c r="G353" s="154"/>
      <c r="H353" s="154"/>
      <c r="I353" s="154"/>
      <c r="J353" s="545"/>
    </row>
    <row r="354" spans="1:10" ht="15" customHeight="1" thickBot="1">
      <c r="A354" s="114"/>
      <c r="B354" s="155"/>
      <c r="C354" s="155"/>
      <c r="D354" s="155"/>
      <c r="E354" s="155"/>
      <c r="F354" s="155"/>
      <c r="G354" s="155"/>
      <c r="H354" s="155"/>
      <c r="I354" s="155"/>
      <c r="J354" s="552"/>
    </row>
    <row r="355" spans="1:10" thickTop="1">
      <c r="A355" s="114"/>
      <c r="B355" s="1211" t="s">
        <v>57</v>
      </c>
      <c r="C355" s="1211"/>
      <c r="D355" s="1211"/>
      <c r="E355" s="1211"/>
      <c r="F355" s="1211"/>
      <c r="G355" s="1211"/>
      <c r="H355" s="1211"/>
      <c r="I355" s="1211"/>
      <c r="J355" s="1211"/>
    </row>
    <row r="356" spans="1:10" ht="44.25" customHeight="1">
      <c r="A356" s="114"/>
      <c r="B356" s="1213" t="str">
        <f>'PSQ-INFRA'!C108</f>
        <v>Estaca Hélice Contínua com diâmetro de 350 mm</v>
      </c>
      <c r="C356" s="1213"/>
      <c r="D356" s="1213"/>
      <c r="E356" s="1213"/>
      <c r="F356" s="1213"/>
      <c r="G356" s="1213"/>
      <c r="H356" s="1213"/>
      <c r="I356" s="1213"/>
      <c r="J356" s="541"/>
    </row>
    <row r="357" spans="1:10" ht="15">
      <c r="A357" s="114"/>
      <c r="B357" s="1214" t="s">
        <v>7</v>
      </c>
      <c r="C357" s="1215"/>
      <c r="D357" s="1220" t="s">
        <v>70</v>
      </c>
      <c r="E357" s="1221"/>
      <c r="F357" s="1221"/>
      <c r="G357" s="1222"/>
      <c r="H357" s="1223" t="s">
        <v>4</v>
      </c>
      <c r="I357" s="1224"/>
      <c r="J357" s="365" t="s">
        <v>71</v>
      </c>
    </row>
    <row r="358" spans="1:10" ht="56.25" customHeight="1" thickBot="1">
      <c r="A358" s="114"/>
      <c r="B358" s="1225" t="str">
        <f>'PSQ-INFRA'!B108</f>
        <v>04.02.170.03</v>
      </c>
      <c r="C358" s="1226"/>
      <c r="D358" s="1218" t="str">
        <f>B356</f>
        <v>Estaca Hélice Contínua com diâmetro de 350 mm</v>
      </c>
      <c r="E358" s="1219"/>
      <c r="F358" s="1219"/>
      <c r="G358" s="1195"/>
      <c r="H358" s="1184" t="str">
        <f>'PSQ-INFRA'!D108</f>
        <v>m</v>
      </c>
      <c r="I358" s="1185"/>
      <c r="J358" s="542">
        <f>J368</f>
        <v>448</v>
      </c>
    </row>
    <row r="359" spans="1:10" ht="15">
      <c r="A359" s="114"/>
      <c r="B359" s="1186" t="s">
        <v>72</v>
      </c>
      <c r="C359" s="1186"/>
      <c r="D359" s="1186"/>
      <c r="E359" s="1186"/>
      <c r="F359" s="1186"/>
      <c r="G359" s="1186"/>
      <c r="H359" s="1186"/>
      <c r="I359" s="1186"/>
      <c r="J359" s="543"/>
    </row>
    <row r="360" spans="1:10" ht="15" customHeight="1">
      <c r="A360" s="114"/>
      <c r="B360" s="162" t="s">
        <v>80</v>
      </c>
      <c r="C360" s="168"/>
      <c r="D360" s="168"/>
      <c r="E360" s="168"/>
      <c r="F360" s="168"/>
      <c r="G360" s="168"/>
      <c r="H360" s="162" t="str">
        <f>'Pág 2'!C25</f>
        <v>FL.01/302.92/04538 - Especificação Técnica - Concreto</v>
      </c>
      <c r="I360" s="168"/>
      <c r="J360" s="168"/>
    </row>
    <row r="361" spans="1:10" ht="15" customHeight="1">
      <c r="A361" s="114"/>
      <c r="B361" s="163" t="s">
        <v>79</v>
      </c>
      <c r="C361" s="164"/>
      <c r="D361" s="164"/>
      <c r="E361" s="163" t="str">
        <f>'Pág 2'!C18</f>
        <v>FL.01/302.76/04537 - Memorial de Cálculo e Dimensionamento - Concreto.</v>
      </c>
      <c r="F361" s="114"/>
      <c r="G361" s="164"/>
      <c r="H361" s="164"/>
      <c r="I361" s="164"/>
      <c r="J361" s="164"/>
    </row>
    <row r="362" spans="1:10" ht="15" customHeight="1">
      <c r="A362" s="114"/>
      <c r="B362" s="163" t="s">
        <v>73</v>
      </c>
      <c r="C362" s="153"/>
      <c r="D362" s="153"/>
      <c r="E362" s="163"/>
      <c r="F362" s="114"/>
      <c r="G362" s="164"/>
      <c r="H362" s="164"/>
      <c r="I362" s="164"/>
      <c r="J362" s="544"/>
    </row>
    <row r="363" spans="1:10" thickBot="1">
      <c r="A363" s="114"/>
      <c r="B363" s="165"/>
      <c r="C363" s="165"/>
      <c r="D363" s="165"/>
      <c r="E363" s="153"/>
      <c r="F363" s="153"/>
      <c r="G363" s="153"/>
      <c r="H363" s="153"/>
      <c r="I363" s="153"/>
      <c r="J363" s="545"/>
    </row>
    <row r="364" spans="1:10" ht="15.75" customHeight="1">
      <c r="A364" s="114"/>
      <c r="B364" s="1187" t="s">
        <v>74</v>
      </c>
      <c r="C364" s="1187"/>
      <c r="D364" s="1187"/>
      <c r="E364" s="1187"/>
      <c r="F364" s="1187"/>
      <c r="G364" s="1187"/>
      <c r="H364" s="1188"/>
      <c r="I364" s="1189"/>
      <c r="J364" s="546" t="s">
        <v>75</v>
      </c>
    </row>
    <row r="365" spans="1:10" ht="15">
      <c r="A365" s="114"/>
      <c r="B365" s="1181" t="str">
        <f>TIT.509</f>
        <v>FL.26/304.13/04759- RESERVATÓRIO APOIADO DE ÁGUA POTÁVEL</v>
      </c>
      <c r="C365" s="1181"/>
      <c r="D365" s="1181"/>
      <c r="E365" s="1181"/>
      <c r="F365" s="1181"/>
      <c r="G365" s="1181"/>
      <c r="H365" s="1182"/>
      <c r="I365" s="1183"/>
      <c r="J365" s="547">
        <f>E35.509</f>
        <v>136</v>
      </c>
    </row>
    <row r="366" spans="1:10" ht="15">
      <c r="A366" s="114"/>
      <c r="B366" s="1181" t="str">
        <f>TIT.510</f>
        <v>FL.26/304.13/04765 - RESERVATÓRIO DE ÁGUA - NORMAL E REUSO</v>
      </c>
      <c r="C366" s="1181"/>
      <c r="D366" s="1181"/>
      <c r="E366" s="1181"/>
      <c r="F366" s="1181"/>
      <c r="G366" s="1181"/>
      <c r="H366" s="1182"/>
      <c r="I366" s="1183"/>
      <c r="J366" s="561">
        <f>E35.510</f>
        <v>312</v>
      </c>
    </row>
    <row r="367" spans="1:10" ht="15" customHeight="1">
      <c r="A367" s="114"/>
      <c r="B367" s="1181"/>
      <c r="C367" s="1181"/>
      <c r="D367" s="1181"/>
      <c r="E367" s="1181"/>
      <c r="F367" s="1181"/>
      <c r="G367" s="1181"/>
      <c r="H367" s="1182"/>
      <c r="I367" s="1183"/>
      <c r="J367" s="548"/>
    </row>
    <row r="368" spans="1:10" ht="15" customHeight="1" thickBot="1">
      <c r="A368" s="114"/>
      <c r="B368" s="1193" t="s">
        <v>76</v>
      </c>
      <c r="C368" s="1193"/>
      <c r="D368" s="1193"/>
      <c r="E368" s="1193"/>
      <c r="F368" s="1193"/>
      <c r="G368" s="1193"/>
      <c r="H368" s="1194"/>
      <c r="I368" s="1195"/>
      <c r="J368" s="549">
        <f>SUM(J365:J367)</f>
        <v>448</v>
      </c>
    </row>
    <row r="369" spans="1:10" ht="15" customHeight="1" thickBot="1">
      <c r="A369" s="114"/>
      <c r="B369" s="1196" t="s">
        <v>77</v>
      </c>
      <c r="C369" s="1196"/>
      <c r="D369" s="1196"/>
      <c r="E369" s="1196"/>
      <c r="F369" s="1196"/>
      <c r="G369" s="1196"/>
      <c r="H369" s="1196"/>
      <c r="I369" s="1196"/>
      <c r="J369" s="550"/>
    </row>
    <row r="370" spans="1:10" ht="15">
      <c r="A370" s="114"/>
      <c r="B370" s="551" t="s">
        <v>92</v>
      </c>
      <c r="C370" s="154"/>
      <c r="D370" s="154"/>
      <c r="E370" s="154"/>
      <c r="F370" s="154"/>
      <c r="G370" s="154"/>
      <c r="H370" s="154"/>
      <c r="I370" s="154"/>
      <c r="J370" s="545"/>
    </row>
    <row r="371" spans="1:10" thickBot="1">
      <c r="A371" s="114"/>
      <c r="B371" s="155"/>
      <c r="C371" s="155"/>
      <c r="D371" s="155"/>
      <c r="E371" s="155"/>
      <c r="F371" s="155"/>
      <c r="G371" s="155"/>
      <c r="H371" s="155"/>
      <c r="I371" s="155"/>
      <c r="J371" s="552"/>
    </row>
    <row r="372" spans="1:10" thickTop="1">
      <c r="A372" s="114"/>
      <c r="B372" s="1211" t="s">
        <v>57</v>
      </c>
      <c r="C372" s="1211"/>
      <c r="D372" s="1211"/>
      <c r="E372" s="1211"/>
      <c r="F372" s="1211"/>
      <c r="G372" s="1211"/>
      <c r="H372" s="1211"/>
      <c r="I372" s="1211"/>
      <c r="J372" s="1211"/>
    </row>
    <row r="373" spans="1:10" ht="44.25" customHeight="1">
      <c r="A373" s="114"/>
      <c r="B373" s="1213" t="str">
        <f>'PSQ-INFRA'!C109</f>
        <v>Estaca Hélice Contínua com diâmetro de 400 mm</v>
      </c>
      <c r="C373" s="1213"/>
      <c r="D373" s="1213"/>
      <c r="E373" s="1213"/>
      <c r="F373" s="1213"/>
      <c r="G373" s="1213"/>
      <c r="H373" s="1213"/>
      <c r="I373" s="1213"/>
      <c r="J373" s="541"/>
    </row>
    <row r="374" spans="1:10" ht="15">
      <c r="A374" s="114"/>
      <c r="B374" s="1214" t="s">
        <v>7</v>
      </c>
      <c r="C374" s="1215"/>
      <c r="D374" s="1220" t="s">
        <v>70</v>
      </c>
      <c r="E374" s="1221"/>
      <c r="F374" s="1221"/>
      <c r="G374" s="1222"/>
      <c r="H374" s="1223" t="s">
        <v>4</v>
      </c>
      <c r="I374" s="1224"/>
      <c r="J374" s="365" t="s">
        <v>71</v>
      </c>
    </row>
    <row r="375" spans="1:10" ht="56.25" customHeight="1" thickBot="1">
      <c r="A375" s="114"/>
      <c r="B375" s="1225" t="str">
        <f>'PSQ-INFRA'!B109</f>
        <v>04.02.170.04</v>
      </c>
      <c r="C375" s="1226"/>
      <c r="D375" s="1218" t="str">
        <f>B373</f>
        <v>Estaca Hélice Contínua com diâmetro de 400 mm</v>
      </c>
      <c r="E375" s="1219"/>
      <c r="F375" s="1219"/>
      <c r="G375" s="1195"/>
      <c r="H375" s="1184" t="str">
        <f>'PSQ-INFRA'!D109</f>
        <v>m</v>
      </c>
      <c r="I375" s="1185"/>
      <c r="J375" s="542">
        <f>J384</f>
        <v>68</v>
      </c>
    </row>
    <row r="376" spans="1:10" ht="15">
      <c r="A376" s="114"/>
      <c r="B376" s="1186" t="s">
        <v>72</v>
      </c>
      <c r="C376" s="1186"/>
      <c r="D376" s="1186"/>
      <c r="E376" s="1186"/>
      <c r="F376" s="1186"/>
      <c r="G376" s="1186"/>
      <c r="H376" s="1186"/>
      <c r="I376" s="1186"/>
      <c r="J376" s="543"/>
    </row>
    <row r="377" spans="1:10" ht="15" customHeight="1">
      <c r="A377" s="114"/>
      <c r="B377" s="162" t="s">
        <v>80</v>
      </c>
      <c r="C377" s="168"/>
      <c r="D377" s="168"/>
      <c r="E377" s="168"/>
      <c r="F377" s="168"/>
      <c r="G377" s="168"/>
      <c r="H377" s="162" t="str">
        <f>'Pág 2'!C25</f>
        <v>FL.01/302.92/04538 - Especificação Técnica - Concreto</v>
      </c>
      <c r="I377" s="168"/>
      <c r="J377" s="168"/>
    </row>
    <row r="378" spans="1:10" ht="15" customHeight="1">
      <c r="A378" s="114"/>
      <c r="B378" s="163" t="s">
        <v>79</v>
      </c>
      <c r="C378" s="164"/>
      <c r="D378" s="164"/>
      <c r="E378" s="163" t="str">
        <f>'Pág 2'!C18</f>
        <v>FL.01/302.76/04537 - Memorial de Cálculo e Dimensionamento - Concreto.</v>
      </c>
      <c r="F378" s="114"/>
      <c r="G378" s="164"/>
      <c r="H378" s="164"/>
      <c r="I378" s="164"/>
      <c r="J378" s="164"/>
    </row>
    <row r="379" spans="1:10" ht="15" customHeight="1">
      <c r="A379" s="114"/>
      <c r="B379" s="163" t="s">
        <v>73</v>
      </c>
      <c r="C379" s="153"/>
      <c r="D379" s="153"/>
      <c r="E379" s="163"/>
      <c r="F379" s="114"/>
      <c r="G379" s="164"/>
      <c r="H379" s="164"/>
      <c r="I379" s="164"/>
      <c r="J379" s="164"/>
    </row>
    <row r="380" spans="1:10" thickBot="1">
      <c r="A380" s="114"/>
      <c r="B380" s="165"/>
      <c r="C380" s="165"/>
      <c r="D380" s="165"/>
      <c r="E380" s="153"/>
      <c r="F380" s="153"/>
      <c r="G380" s="153"/>
      <c r="H380" s="153"/>
      <c r="I380" s="153"/>
      <c r="J380" s="554"/>
    </row>
    <row r="381" spans="1:10" ht="15">
      <c r="A381" s="114"/>
      <c r="B381" s="1187" t="s">
        <v>74</v>
      </c>
      <c r="C381" s="1187"/>
      <c r="D381" s="1187"/>
      <c r="E381" s="1187"/>
      <c r="F381" s="1187"/>
      <c r="G381" s="1187"/>
      <c r="H381" s="1188"/>
      <c r="I381" s="1189"/>
      <c r="J381" s="546" t="s">
        <v>75</v>
      </c>
    </row>
    <row r="382" spans="1:10" ht="15">
      <c r="A382" s="114"/>
      <c r="B382" s="1181" t="str">
        <f>TIT.507</f>
        <v>FL.26/302.13/04753 - CENTRAL DE UTILIDADES - ACESSO PASSARELA TÉCNICA</v>
      </c>
      <c r="C382" s="1181"/>
      <c r="D382" s="1181"/>
      <c r="E382" s="1181"/>
      <c r="F382" s="1181"/>
      <c r="G382" s="1181"/>
      <c r="H382" s="1182"/>
      <c r="I382" s="1183"/>
      <c r="J382" s="547">
        <f>E40.507</f>
        <v>68</v>
      </c>
    </row>
    <row r="383" spans="1:10" ht="15" customHeight="1">
      <c r="A383" s="114"/>
      <c r="B383" s="1181"/>
      <c r="C383" s="1181"/>
      <c r="D383" s="1181"/>
      <c r="E383" s="1181"/>
      <c r="F383" s="1181"/>
      <c r="G383" s="1181"/>
      <c r="H383" s="1182"/>
      <c r="I383" s="1183"/>
      <c r="J383" s="548"/>
    </row>
    <row r="384" spans="1:10" ht="15" customHeight="1" thickBot="1">
      <c r="A384" s="114"/>
      <c r="B384" s="1193" t="s">
        <v>76</v>
      </c>
      <c r="C384" s="1193"/>
      <c r="D384" s="1193"/>
      <c r="E384" s="1193"/>
      <c r="F384" s="1193"/>
      <c r="G384" s="1193"/>
      <c r="H384" s="1194"/>
      <c r="I384" s="1195"/>
      <c r="J384" s="549">
        <f>SUM(J382:J382)</f>
        <v>68</v>
      </c>
    </row>
    <row r="385" spans="1:10" ht="15" customHeight="1" thickBot="1">
      <c r="A385" s="114"/>
      <c r="B385" s="1196" t="s">
        <v>77</v>
      </c>
      <c r="C385" s="1196"/>
      <c r="D385" s="1196"/>
      <c r="E385" s="1196"/>
      <c r="F385" s="1196"/>
      <c r="G385" s="1196"/>
      <c r="H385" s="1196"/>
      <c r="I385" s="1196"/>
      <c r="J385" s="550"/>
    </row>
    <row r="386" spans="1:10" ht="15" customHeight="1">
      <c r="A386" s="114"/>
      <c r="B386" s="551" t="s">
        <v>92</v>
      </c>
      <c r="C386" s="154"/>
      <c r="D386" s="154"/>
      <c r="E386" s="154"/>
      <c r="F386" s="154"/>
      <c r="G386" s="154"/>
      <c r="H386" s="154"/>
      <c r="I386" s="154"/>
      <c r="J386" s="545"/>
    </row>
    <row r="387" spans="1:10" ht="15" customHeight="1" thickBot="1">
      <c r="A387" s="114"/>
      <c r="B387" s="155"/>
      <c r="C387" s="155"/>
      <c r="D387" s="155"/>
      <c r="E387" s="155"/>
      <c r="F387" s="155"/>
      <c r="G387" s="155"/>
      <c r="H387" s="155"/>
      <c r="I387" s="155"/>
      <c r="J387" s="552"/>
    </row>
    <row r="388" spans="1:10" thickTop="1">
      <c r="A388" s="114"/>
      <c r="B388" s="1211" t="s">
        <v>57</v>
      </c>
      <c r="C388" s="1211"/>
      <c r="D388" s="1211"/>
      <c r="E388" s="1211"/>
      <c r="F388" s="1211"/>
      <c r="G388" s="1211"/>
      <c r="H388" s="1211"/>
      <c r="I388" s="1211"/>
      <c r="J388" s="1211"/>
    </row>
    <row r="389" spans="1:10" ht="44.25" customHeight="1">
      <c r="A389" s="114"/>
      <c r="B389" s="1213" t="str">
        <f>'PSQ-INFRA'!C110</f>
        <v>Estaca Hélice Contínua com diâmetro de 600 mm</v>
      </c>
      <c r="C389" s="1213"/>
      <c r="D389" s="1213"/>
      <c r="E389" s="1213"/>
      <c r="F389" s="1213"/>
      <c r="G389" s="1213"/>
      <c r="H389" s="1213"/>
      <c r="I389" s="1213"/>
      <c r="J389" s="541"/>
    </row>
    <row r="390" spans="1:10" ht="15">
      <c r="A390" s="114"/>
      <c r="B390" s="1214" t="s">
        <v>7</v>
      </c>
      <c r="C390" s="1215"/>
      <c r="D390" s="1220" t="s">
        <v>70</v>
      </c>
      <c r="E390" s="1221"/>
      <c r="F390" s="1221"/>
      <c r="G390" s="1222"/>
      <c r="H390" s="1223" t="s">
        <v>4</v>
      </c>
      <c r="I390" s="1224"/>
      <c r="J390" s="365" t="s">
        <v>71</v>
      </c>
    </row>
    <row r="391" spans="1:10" ht="56.25" customHeight="1" thickBot="1">
      <c r="A391" s="114"/>
      <c r="B391" s="1225" t="str">
        <f>'PSQ-INFRA'!B110</f>
        <v>04.02.170.05</v>
      </c>
      <c r="C391" s="1226"/>
      <c r="D391" s="1218" t="str">
        <f>B389</f>
        <v>Estaca Hélice Contínua com diâmetro de 600 mm</v>
      </c>
      <c r="E391" s="1219"/>
      <c r="F391" s="1219"/>
      <c r="G391" s="1195"/>
      <c r="H391" s="1184" t="str">
        <f>'PSQ-INFRA'!D110</f>
        <v>m</v>
      </c>
      <c r="I391" s="1185"/>
      <c r="J391" s="542">
        <f>J400</f>
        <v>600</v>
      </c>
    </row>
    <row r="392" spans="1:10" ht="15">
      <c r="A392" s="114"/>
      <c r="B392" s="1186" t="s">
        <v>72</v>
      </c>
      <c r="C392" s="1186"/>
      <c r="D392" s="1186"/>
      <c r="E392" s="1186"/>
      <c r="F392" s="1186"/>
      <c r="G392" s="1186"/>
      <c r="H392" s="1186"/>
      <c r="I392" s="1186"/>
      <c r="J392" s="543"/>
    </row>
    <row r="393" spans="1:10" ht="15" customHeight="1">
      <c r="A393" s="114"/>
      <c r="B393" s="162" t="s">
        <v>80</v>
      </c>
      <c r="C393" s="168"/>
      <c r="D393" s="168"/>
      <c r="E393" s="168"/>
      <c r="F393" s="168"/>
      <c r="G393" s="168"/>
      <c r="H393" s="162" t="str">
        <f>'Pág 2'!C25</f>
        <v>FL.01/302.92/04538 - Especificação Técnica - Concreto</v>
      </c>
      <c r="I393" s="168"/>
      <c r="J393" s="168"/>
    </row>
    <row r="394" spans="1:10" ht="15" customHeight="1">
      <c r="A394" s="114"/>
      <c r="B394" s="163" t="s">
        <v>79</v>
      </c>
      <c r="C394" s="164"/>
      <c r="D394" s="164"/>
      <c r="E394" s="163" t="str">
        <f>'Pág 2'!C18</f>
        <v>FL.01/302.76/04537 - Memorial de Cálculo e Dimensionamento - Concreto.</v>
      </c>
      <c r="F394" s="114"/>
      <c r="G394" s="164"/>
      <c r="H394" s="164"/>
      <c r="I394" s="164"/>
      <c r="J394" s="164"/>
    </row>
    <row r="395" spans="1:10" ht="15" customHeight="1">
      <c r="A395" s="114"/>
      <c r="B395" s="163" t="s">
        <v>73</v>
      </c>
      <c r="C395" s="153"/>
      <c r="D395" s="153"/>
      <c r="E395" s="163"/>
      <c r="F395" s="114"/>
      <c r="G395" s="164"/>
      <c r="H395" s="164"/>
      <c r="I395" s="164"/>
      <c r="J395" s="164"/>
    </row>
    <row r="396" spans="1:10" thickBot="1">
      <c r="A396" s="114"/>
      <c r="B396" s="165"/>
      <c r="C396" s="165"/>
      <c r="D396" s="165"/>
      <c r="E396" s="153"/>
      <c r="F396" s="153"/>
      <c r="G396" s="153"/>
      <c r="H396" s="153"/>
      <c r="I396" s="153"/>
      <c r="J396" s="554"/>
    </row>
    <row r="397" spans="1:10" ht="15">
      <c r="A397" s="114"/>
      <c r="B397" s="1187" t="s">
        <v>74</v>
      </c>
      <c r="C397" s="1187"/>
      <c r="D397" s="1187"/>
      <c r="E397" s="1187"/>
      <c r="F397" s="1187"/>
      <c r="G397" s="1187"/>
      <c r="H397" s="1188"/>
      <c r="I397" s="1189"/>
      <c r="J397" s="546" t="s">
        <v>75</v>
      </c>
    </row>
    <row r="398" spans="1:10" ht="15">
      <c r="A398" s="114"/>
      <c r="B398" s="1181" t="str">
        <f>TIT.510</f>
        <v>FL.26/304.13/04765 - RESERVATÓRIO DE ÁGUA - NORMAL E REUSO</v>
      </c>
      <c r="C398" s="1181"/>
      <c r="D398" s="1181"/>
      <c r="E398" s="1181"/>
      <c r="F398" s="1181"/>
      <c r="G398" s="1181"/>
      <c r="H398" s="1182"/>
      <c r="I398" s="1183"/>
      <c r="J398" s="561">
        <f>EE60.510</f>
        <v>600</v>
      </c>
    </row>
    <row r="399" spans="1:10" ht="15" customHeight="1">
      <c r="A399" s="114"/>
      <c r="B399" s="1181"/>
      <c r="C399" s="1181"/>
      <c r="D399" s="1181"/>
      <c r="E399" s="1181"/>
      <c r="F399" s="1181"/>
      <c r="G399" s="1181"/>
      <c r="H399" s="1182"/>
      <c r="I399" s="1183"/>
      <c r="J399" s="548"/>
    </row>
    <row r="400" spans="1:10" ht="15" customHeight="1" thickBot="1">
      <c r="A400" s="114"/>
      <c r="B400" s="1193" t="s">
        <v>76</v>
      </c>
      <c r="C400" s="1193"/>
      <c r="D400" s="1193"/>
      <c r="E400" s="1193"/>
      <c r="F400" s="1193"/>
      <c r="G400" s="1193"/>
      <c r="H400" s="1194"/>
      <c r="I400" s="1195"/>
      <c r="J400" s="549">
        <f>SUM(J398:J398)</f>
        <v>600</v>
      </c>
    </row>
    <row r="401" spans="1:10" ht="15" customHeight="1" thickBot="1">
      <c r="A401" s="114"/>
      <c r="B401" s="1196" t="s">
        <v>77</v>
      </c>
      <c r="C401" s="1196"/>
      <c r="D401" s="1196"/>
      <c r="E401" s="1196"/>
      <c r="F401" s="1196"/>
      <c r="G401" s="1196"/>
      <c r="H401" s="1196"/>
      <c r="I401" s="1196"/>
      <c r="J401" s="550"/>
    </row>
    <row r="402" spans="1:10" ht="15" customHeight="1">
      <c r="A402" s="114"/>
      <c r="B402" s="551" t="s">
        <v>92</v>
      </c>
      <c r="C402" s="154"/>
      <c r="D402" s="154"/>
      <c r="E402" s="154"/>
      <c r="F402" s="154"/>
      <c r="G402" s="154"/>
      <c r="H402" s="154"/>
      <c r="I402" s="154"/>
      <c r="J402" s="545"/>
    </row>
    <row r="403" spans="1:10" ht="15" customHeight="1" thickBot="1">
      <c r="A403" s="114"/>
      <c r="B403" s="155"/>
      <c r="C403" s="155"/>
      <c r="D403" s="155"/>
      <c r="E403" s="155"/>
      <c r="F403" s="155"/>
      <c r="G403" s="155"/>
      <c r="H403" s="155"/>
      <c r="I403" s="155"/>
      <c r="J403" s="552"/>
    </row>
    <row r="404" spans="1:10" thickTop="1">
      <c r="A404" s="114"/>
      <c r="B404" s="1211" t="s">
        <v>57</v>
      </c>
      <c r="C404" s="1211"/>
      <c r="D404" s="1211"/>
      <c r="E404" s="1211"/>
      <c r="F404" s="1211"/>
      <c r="G404" s="1211"/>
      <c r="H404" s="1211"/>
      <c r="I404" s="1211"/>
      <c r="J404" s="1211"/>
    </row>
    <row r="405" spans="1:10" ht="44.25" customHeight="1">
      <c r="A405" s="114"/>
      <c r="B405" s="1213" t="str">
        <f>'PSQ-INFRA'!C86</f>
        <v>Preparo de Cabeças de Estacas com diâmetro de 250 mm</v>
      </c>
      <c r="C405" s="1213"/>
      <c r="D405" s="1213"/>
      <c r="E405" s="1213"/>
      <c r="F405" s="1213"/>
      <c r="G405" s="1213"/>
      <c r="H405" s="1213"/>
      <c r="I405" s="1213"/>
      <c r="J405" s="541"/>
    </row>
    <row r="406" spans="1:10" ht="15">
      <c r="A406" s="114"/>
      <c r="B406" s="1214" t="s">
        <v>7</v>
      </c>
      <c r="C406" s="1215"/>
      <c r="D406" s="1220" t="s">
        <v>70</v>
      </c>
      <c r="E406" s="1221"/>
      <c r="F406" s="1221"/>
      <c r="G406" s="1222"/>
      <c r="H406" s="1223" t="s">
        <v>4</v>
      </c>
      <c r="I406" s="1224"/>
      <c r="J406" s="365" t="s">
        <v>71</v>
      </c>
    </row>
    <row r="407" spans="1:10" ht="56.25" customHeight="1" thickBot="1">
      <c r="A407" s="114"/>
      <c r="B407" s="1225" t="str">
        <f>'PSQ-INFRA'!B86</f>
        <v>04.02.120.01</v>
      </c>
      <c r="C407" s="1226"/>
      <c r="D407" s="1218" t="str">
        <f>B405</f>
        <v>Preparo de Cabeças de Estacas com diâmetro de 250 mm</v>
      </c>
      <c r="E407" s="1219"/>
      <c r="F407" s="1219"/>
      <c r="G407" s="1195"/>
      <c r="H407" s="1184" t="str">
        <f>'PSQ-INFRA'!D86</f>
        <v>un</v>
      </c>
      <c r="I407" s="1185"/>
      <c r="J407" s="542">
        <f>J422</f>
        <v>196</v>
      </c>
    </row>
    <row r="408" spans="1:10" ht="15">
      <c r="A408" s="114"/>
      <c r="B408" s="1186" t="s">
        <v>72</v>
      </c>
      <c r="C408" s="1186"/>
      <c r="D408" s="1186"/>
      <c r="E408" s="1186"/>
      <c r="F408" s="1186"/>
      <c r="G408" s="1186"/>
      <c r="H408" s="1186"/>
      <c r="I408" s="1186"/>
      <c r="J408" s="543"/>
    </row>
    <row r="409" spans="1:10" ht="15" customHeight="1">
      <c r="A409" s="114"/>
      <c r="B409" s="162" t="s">
        <v>80</v>
      </c>
      <c r="C409" s="168"/>
      <c r="D409" s="168"/>
      <c r="E409" s="168"/>
      <c r="F409" s="168"/>
      <c r="G409" s="168"/>
      <c r="H409" s="162" t="str">
        <f>'Pág 2'!C25</f>
        <v>FL.01/302.92/04538 - Especificação Técnica - Concreto</v>
      </c>
      <c r="I409" s="168"/>
      <c r="J409" s="168"/>
    </row>
    <row r="410" spans="1:10" ht="15" customHeight="1">
      <c r="A410" s="114"/>
      <c r="B410" s="163" t="s">
        <v>79</v>
      </c>
      <c r="C410" s="164"/>
      <c r="D410" s="164"/>
      <c r="E410" s="163" t="str">
        <f>'Pág 2'!C18</f>
        <v>FL.01/302.76/04537 - Memorial de Cálculo e Dimensionamento - Concreto.</v>
      </c>
      <c r="F410" s="114"/>
      <c r="G410" s="164"/>
      <c r="H410" s="164"/>
      <c r="I410" s="164"/>
      <c r="J410" s="164"/>
    </row>
    <row r="411" spans="1:10" ht="15" customHeight="1">
      <c r="A411" s="114"/>
      <c r="B411" s="163" t="s">
        <v>73</v>
      </c>
      <c r="C411" s="153"/>
      <c r="D411" s="153"/>
      <c r="E411" s="163"/>
      <c r="F411" s="114"/>
      <c r="G411" s="164"/>
      <c r="H411" s="164"/>
      <c r="I411" s="164"/>
      <c r="J411" s="544"/>
    </row>
    <row r="412" spans="1:10" thickBot="1">
      <c r="A412" s="114"/>
      <c r="B412" s="165"/>
      <c r="C412" s="165"/>
      <c r="D412" s="165"/>
      <c r="E412" s="153"/>
      <c r="F412" s="153"/>
      <c r="G412" s="153"/>
      <c r="H412" s="153"/>
      <c r="I412" s="153"/>
      <c r="J412" s="545"/>
    </row>
    <row r="413" spans="1:10" ht="15">
      <c r="A413" s="114"/>
      <c r="B413" s="1187" t="s">
        <v>74</v>
      </c>
      <c r="C413" s="1187"/>
      <c r="D413" s="1187"/>
      <c r="E413" s="1187"/>
      <c r="F413" s="1187"/>
      <c r="G413" s="1187"/>
      <c r="H413" s="1188"/>
      <c r="I413" s="1189"/>
      <c r="J413" s="546" t="s">
        <v>75</v>
      </c>
    </row>
    <row r="414" spans="1:10" ht="15">
      <c r="A414" s="114"/>
      <c r="B414" s="1181" t="str">
        <f>TIT.503</f>
        <v xml:space="preserve">FL.26/304.13/04734 - CENTRAL DE UTILIDADES - MANUTENÇÃO </v>
      </c>
      <c r="C414" s="1181"/>
      <c r="D414" s="1181"/>
      <c r="E414" s="1181"/>
      <c r="F414" s="1181"/>
      <c r="G414" s="1181"/>
      <c r="H414" s="1182"/>
      <c r="I414" s="1183"/>
      <c r="J414" s="547">
        <f>QE25.503</f>
        <v>44</v>
      </c>
    </row>
    <row r="415" spans="1:10" ht="15">
      <c r="A415" s="114"/>
      <c r="B415" s="1181" t="str">
        <f>TIT.504</f>
        <v>FL.26/304.13/04738- CENTRAL DE UTILIDADES - REFEITÓRIO</v>
      </c>
      <c r="C415" s="1181"/>
      <c r="D415" s="1181"/>
      <c r="E415" s="1181"/>
      <c r="F415" s="1181"/>
      <c r="G415" s="1181"/>
      <c r="H415" s="1182"/>
      <c r="I415" s="1183"/>
      <c r="J415" s="547">
        <f>QE25.504</f>
        <v>48</v>
      </c>
    </row>
    <row r="416" spans="1:10" ht="15">
      <c r="A416" s="114"/>
      <c r="B416" s="1181" t="str">
        <f>TIT.505</f>
        <v>FL.26/304.13/04743- CENTRAL DE UTILIDADES - CAG/SUBESTAÇÃO</v>
      </c>
      <c r="C416" s="1181"/>
      <c r="D416" s="1181"/>
      <c r="E416" s="1181"/>
      <c r="F416" s="1181"/>
      <c r="G416" s="1181"/>
      <c r="H416" s="1182"/>
      <c r="I416" s="1183"/>
      <c r="J416" s="547">
        <f>QE25.505</f>
        <v>72</v>
      </c>
    </row>
    <row r="417" spans="1:10" ht="15">
      <c r="A417" s="114"/>
      <c r="B417" s="1181" t="str">
        <f>TIT.506</f>
        <v>FL.26/302.13/04751 - CENTRAL DE UTILIDADES - GUARITA</v>
      </c>
      <c r="C417" s="1181"/>
      <c r="D417" s="1181"/>
      <c r="E417" s="1181"/>
      <c r="F417" s="1181"/>
      <c r="G417" s="1181"/>
      <c r="H417" s="1182"/>
      <c r="I417" s="1183"/>
      <c r="J417" s="547">
        <f>QE25.506</f>
        <v>12</v>
      </c>
    </row>
    <row r="418" spans="1:10" ht="15">
      <c r="A418" s="114"/>
      <c r="B418" s="1181" t="str">
        <f>TIT.508</f>
        <v>FL.26/304.13/04756 - CENTRAL DE UTILIDADES - OFICINA DE MANUTENÇÃO</v>
      </c>
      <c r="C418" s="1181"/>
      <c r="D418" s="1181"/>
      <c r="E418" s="1181"/>
      <c r="F418" s="1181"/>
      <c r="G418" s="1181"/>
      <c r="H418" s="1182"/>
      <c r="I418" s="1183"/>
      <c r="J418" s="547">
        <f>QE25.508</f>
        <v>12</v>
      </c>
    </row>
    <row r="419" spans="1:10" ht="15">
      <c r="A419" s="114"/>
      <c r="B419" s="1181" t="str">
        <f>TIT.509</f>
        <v>FL.26/304.13/04759- RESERVATÓRIO APOIADO DE ÁGUA POTÁVEL</v>
      </c>
      <c r="C419" s="1181"/>
      <c r="D419" s="1181"/>
      <c r="E419" s="1181"/>
      <c r="F419" s="1181"/>
      <c r="G419" s="1181"/>
      <c r="H419" s="1182"/>
      <c r="I419" s="1183"/>
      <c r="J419" s="547">
        <f>QE25.509</f>
        <v>4</v>
      </c>
    </row>
    <row r="420" spans="1:10" ht="15">
      <c r="A420" s="114"/>
      <c r="B420" s="1181" t="str">
        <f>TIT.511</f>
        <v>FL.17/302.13/05743 - CENTRAL DE UTILIDADES - GUARITA - ESTACIONAMENTO</v>
      </c>
      <c r="C420" s="1181"/>
      <c r="D420" s="1181"/>
      <c r="E420" s="1181"/>
      <c r="F420" s="1181"/>
      <c r="G420" s="1181"/>
      <c r="H420" s="1182"/>
      <c r="I420" s="1183"/>
      <c r="J420" s="547">
        <f>QE25.511</f>
        <v>4</v>
      </c>
    </row>
    <row r="421" spans="1:10" ht="15" customHeight="1">
      <c r="A421" s="114"/>
      <c r="B421" s="1181"/>
      <c r="C421" s="1181"/>
      <c r="D421" s="1181"/>
      <c r="E421" s="1181"/>
      <c r="F421" s="1181"/>
      <c r="G421" s="1181"/>
      <c r="H421" s="1182"/>
      <c r="I421" s="1183"/>
      <c r="J421" s="548"/>
    </row>
    <row r="422" spans="1:10" ht="15" customHeight="1" thickBot="1">
      <c r="A422" s="114"/>
      <c r="B422" s="1193" t="s">
        <v>76</v>
      </c>
      <c r="C422" s="1193"/>
      <c r="D422" s="1193"/>
      <c r="E422" s="1193"/>
      <c r="F422" s="1193"/>
      <c r="G422" s="1193"/>
      <c r="H422" s="1194"/>
      <c r="I422" s="1195"/>
      <c r="J422" s="549">
        <f>SUM(J414:J420)</f>
        <v>196</v>
      </c>
    </row>
    <row r="423" spans="1:10" ht="15" customHeight="1" thickBot="1">
      <c r="A423" s="114"/>
      <c r="B423" s="1248" t="s">
        <v>77</v>
      </c>
      <c r="C423" s="1248"/>
      <c r="D423" s="1248"/>
      <c r="E423" s="1248"/>
      <c r="F423" s="1248"/>
      <c r="G423" s="1248"/>
      <c r="H423" s="1248"/>
      <c r="I423" s="1248"/>
      <c r="J423" s="555"/>
    </row>
    <row r="424" spans="1:10" ht="15" customHeight="1">
      <c r="A424" s="114"/>
      <c r="B424" s="556" t="s">
        <v>78</v>
      </c>
      <c r="C424" s="374"/>
      <c r="D424" s="374"/>
      <c r="E424" s="374"/>
      <c r="F424" s="374"/>
      <c r="G424" s="374"/>
      <c r="H424" s="374"/>
      <c r="I424" s="374"/>
      <c r="J424" s="545"/>
    </row>
    <row r="425" spans="1:10" ht="15" customHeight="1" thickBot="1">
      <c r="A425" s="114"/>
      <c r="B425" s="155"/>
      <c r="C425" s="155"/>
      <c r="D425" s="155"/>
      <c r="E425" s="155"/>
      <c r="F425" s="155"/>
      <c r="G425" s="155"/>
      <c r="H425" s="155"/>
      <c r="I425" s="155"/>
      <c r="J425" s="552"/>
    </row>
    <row r="426" spans="1:10" thickTop="1">
      <c r="A426" s="114"/>
      <c r="B426" s="1211" t="s">
        <v>57</v>
      </c>
      <c r="C426" s="1211"/>
      <c r="D426" s="1211"/>
      <c r="E426" s="1211"/>
      <c r="F426" s="1211"/>
      <c r="G426" s="1211"/>
      <c r="H426" s="1211"/>
      <c r="I426" s="1211"/>
      <c r="J426" s="1211"/>
    </row>
    <row r="427" spans="1:10" ht="44.25" customHeight="1">
      <c r="A427" s="114"/>
      <c r="B427" s="1213" t="str">
        <f>'PSQ-INFRA'!C87</f>
        <v>Preparo de Cabeças de Estacas com diâmetro de 300 mm</v>
      </c>
      <c r="C427" s="1213"/>
      <c r="D427" s="1213"/>
      <c r="E427" s="1213"/>
      <c r="F427" s="1213"/>
      <c r="G427" s="1213"/>
      <c r="H427" s="1213"/>
      <c r="I427" s="1213"/>
      <c r="J427" s="541"/>
    </row>
    <row r="428" spans="1:10" ht="15">
      <c r="A428" s="114"/>
      <c r="B428" s="1214" t="s">
        <v>7</v>
      </c>
      <c r="C428" s="1215"/>
      <c r="D428" s="1220" t="s">
        <v>70</v>
      </c>
      <c r="E428" s="1221"/>
      <c r="F428" s="1221"/>
      <c r="G428" s="1222"/>
      <c r="H428" s="1223" t="s">
        <v>4</v>
      </c>
      <c r="I428" s="1224"/>
      <c r="J428" s="365" t="s">
        <v>71</v>
      </c>
    </row>
    <row r="429" spans="1:10" ht="56.25" customHeight="1" thickBot="1">
      <c r="A429" s="114"/>
      <c r="B429" s="1225" t="str">
        <f>'PSQ-INFRA'!B87</f>
        <v>04.02.120.02</v>
      </c>
      <c r="C429" s="1226"/>
      <c r="D429" s="1218" t="str">
        <f>B427</f>
        <v>Preparo de Cabeças de Estacas com diâmetro de 300 mm</v>
      </c>
      <c r="E429" s="1219"/>
      <c r="F429" s="1219"/>
      <c r="G429" s="1195"/>
      <c r="H429" s="1184" t="str">
        <f>'PSQ-INFRA'!D87</f>
        <v>un</v>
      </c>
      <c r="I429" s="1185"/>
      <c r="J429" s="542">
        <f>J439</f>
        <v>74</v>
      </c>
    </row>
    <row r="430" spans="1:10" ht="15">
      <c r="A430" s="114"/>
      <c r="B430" s="1186" t="s">
        <v>72</v>
      </c>
      <c r="C430" s="1186"/>
      <c r="D430" s="1186"/>
      <c r="E430" s="1186"/>
      <c r="F430" s="1186"/>
      <c r="G430" s="1186"/>
      <c r="H430" s="1186"/>
      <c r="I430" s="1186"/>
      <c r="J430" s="543"/>
    </row>
    <row r="431" spans="1:10" ht="15" customHeight="1">
      <c r="A431" s="114"/>
      <c r="B431" s="162" t="s">
        <v>80</v>
      </c>
      <c r="C431" s="168"/>
      <c r="D431" s="168"/>
      <c r="E431" s="168"/>
      <c r="F431" s="168"/>
      <c r="G431" s="168"/>
      <c r="H431" s="162" t="str">
        <f>'Pág 2'!C25</f>
        <v>FL.01/302.92/04538 - Especificação Técnica - Concreto</v>
      </c>
      <c r="I431" s="168"/>
      <c r="J431" s="168"/>
    </row>
    <row r="432" spans="1:10" ht="15" customHeight="1">
      <c r="A432" s="114"/>
      <c r="B432" s="163" t="s">
        <v>79</v>
      </c>
      <c r="C432" s="164"/>
      <c r="D432" s="164"/>
      <c r="E432" s="163" t="str">
        <f>'Pág 2'!C18</f>
        <v>FL.01/302.76/04537 - Memorial de Cálculo e Dimensionamento - Concreto.</v>
      </c>
      <c r="F432" s="114"/>
      <c r="G432" s="164"/>
      <c r="H432" s="164"/>
      <c r="I432" s="164"/>
      <c r="J432" s="164"/>
    </row>
    <row r="433" spans="1:10" ht="15" customHeight="1">
      <c r="A433" s="114"/>
      <c r="B433" s="163" t="s">
        <v>73</v>
      </c>
      <c r="C433" s="153"/>
      <c r="D433" s="153"/>
      <c r="E433" s="163"/>
      <c r="F433" s="114"/>
      <c r="G433" s="164"/>
      <c r="H433" s="164"/>
      <c r="I433" s="164"/>
      <c r="J433" s="544"/>
    </row>
    <row r="434" spans="1:10" thickBot="1">
      <c r="A434" s="114"/>
      <c r="B434" s="165"/>
      <c r="C434" s="165"/>
      <c r="D434" s="165"/>
      <c r="E434" s="153"/>
      <c r="F434" s="153"/>
      <c r="G434" s="153"/>
      <c r="H434" s="153"/>
      <c r="I434" s="153"/>
      <c r="J434" s="545"/>
    </row>
    <row r="435" spans="1:10" ht="15">
      <c r="A435" s="114"/>
      <c r="B435" s="1187" t="s">
        <v>74</v>
      </c>
      <c r="C435" s="1187"/>
      <c r="D435" s="1187"/>
      <c r="E435" s="1187"/>
      <c r="F435" s="1187"/>
      <c r="G435" s="1187"/>
      <c r="H435" s="1188"/>
      <c r="I435" s="1189"/>
      <c r="J435" s="546" t="s">
        <v>75</v>
      </c>
    </row>
    <row r="436" spans="1:10" ht="15">
      <c r="A436" s="114"/>
      <c r="B436" s="1181" t="str">
        <f>TIT.502</f>
        <v>FL.27/304.13/04721 - CAG- CENTRAL DE ÁGUA GELADA - TQ DE TERMO ACUMULAÇÃO</v>
      </c>
      <c r="C436" s="1181"/>
      <c r="D436" s="1181"/>
      <c r="E436" s="1181"/>
      <c r="F436" s="1181"/>
      <c r="G436" s="1181"/>
      <c r="H436" s="1182"/>
      <c r="I436" s="1183"/>
      <c r="J436" s="547">
        <f>QE30.502</f>
        <v>64</v>
      </c>
    </row>
    <row r="437" spans="1:10" ht="15">
      <c r="A437" s="114"/>
      <c r="B437" s="1181" t="str">
        <f>TIT.509</f>
        <v>FL.26/304.13/04759- RESERVATÓRIO APOIADO DE ÁGUA POTÁVEL</v>
      </c>
      <c r="C437" s="1181"/>
      <c r="D437" s="1181"/>
      <c r="E437" s="1181"/>
      <c r="F437" s="1181"/>
      <c r="G437" s="1181"/>
      <c r="H437" s="1182"/>
      <c r="I437" s="1183"/>
      <c r="J437" s="547">
        <f>QE30.509</f>
        <v>10</v>
      </c>
    </row>
    <row r="438" spans="1:10" ht="15" customHeight="1">
      <c r="A438" s="114"/>
      <c r="B438" s="1181"/>
      <c r="C438" s="1181"/>
      <c r="D438" s="1181"/>
      <c r="E438" s="1181"/>
      <c r="F438" s="1181"/>
      <c r="G438" s="1181"/>
      <c r="H438" s="1182"/>
      <c r="I438" s="1183"/>
      <c r="J438" s="548"/>
    </row>
    <row r="439" spans="1:10" ht="15" customHeight="1" thickBot="1">
      <c r="A439" s="114"/>
      <c r="B439" s="1193" t="s">
        <v>76</v>
      </c>
      <c r="C439" s="1193"/>
      <c r="D439" s="1193"/>
      <c r="E439" s="1193"/>
      <c r="F439" s="1193"/>
      <c r="G439" s="1193"/>
      <c r="H439" s="1194"/>
      <c r="I439" s="1195"/>
      <c r="J439" s="549">
        <f>SUM(J436:J437)</f>
        <v>74</v>
      </c>
    </row>
    <row r="440" spans="1:10" ht="15" customHeight="1" thickBot="1">
      <c r="A440" s="114"/>
      <c r="B440" s="1248" t="s">
        <v>77</v>
      </c>
      <c r="C440" s="1248"/>
      <c r="D440" s="1248"/>
      <c r="E440" s="1248"/>
      <c r="F440" s="1248"/>
      <c r="G440" s="1248"/>
      <c r="H440" s="1248"/>
      <c r="I440" s="1248"/>
      <c r="J440" s="555"/>
    </row>
    <row r="441" spans="1:10" ht="15" customHeight="1">
      <c r="A441" s="114"/>
      <c r="B441" s="556" t="s">
        <v>92</v>
      </c>
      <c r="C441" s="374"/>
      <c r="D441" s="374"/>
      <c r="E441" s="374"/>
      <c r="F441" s="374"/>
      <c r="G441" s="374"/>
      <c r="H441" s="374"/>
      <c r="I441" s="374"/>
      <c r="J441" s="545"/>
    </row>
    <row r="442" spans="1:10" ht="15" customHeight="1" thickBot="1">
      <c r="A442" s="114"/>
      <c r="B442" s="155"/>
      <c r="C442" s="155"/>
      <c r="D442" s="155"/>
      <c r="E442" s="155"/>
      <c r="F442" s="155"/>
      <c r="G442" s="155"/>
      <c r="H442" s="155"/>
      <c r="I442" s="155"/>
      <c r="J442" s="552"/>
    </row>
    <row r="443" spans="1:10" thickTop="1">
      <c r="A443" s="114"/>
      <c r="B443" s="1211" t="s">
        <v>57</v>
      </c>
      <c r="C443" s="1211"/>
      <c r="D443" s="1211"/>
      <c r="E443" s="1211"/>
      <c r="F443" s="1211"/>
      <c r="G443" s="1211"/>
      <c r="H443" s="1211"/>
      <c r="I443" s="1211"/>
      <c r="J443" s="1211"/>
    </row>
    <row r="444" spans="1:10" ht="44.25" customHeight="1">
      <c r="A444" s="114"/>
      <c r="B444" s="1213" t="str">
        <f>'PSQ-INFRA'!C88</f>
        <v>Preparo de Cabeças de Estacas com diâmetro de 350 mm</v>
      </c>
      <c r="C444" s="1213"/>
      <c r="D444" s="1213"/>
      <c r="E444" s="1213"/>
      <c r="F444" s="1213"/>
      <c r="G444" s="1213"/>
      <c r="H444" s="1213"/>
      <c r="I444" s="1213"/>
      <c r="J444" s="541"/>
    </row>
    <row r="445" spans="1:10" ht="15">
      <c r="A445" s="114"/>
      <c r="B445" s="1214" t="s">
        <v>7</v>
      </c>
      <c r="C445" s="1215"/>
      <c r="D445" s="1220" t="s">
        <v>70</v>
      </c>
      <c r="E445" s="1221"/>
      <c r="F445" s="1221"/>
      <c r="G445" s="1222"/>
      <c r="H445" s="1223" t="s">
        <v>4</v>
      </c>
      <c r="I445" s="1224"/>
      <c r="J445" s="365" t="s">
        <v>71</v>
      </c>
    </row>
    <row r="446" spans="1:10" ht="56.25" customHeight="1" thickBot="1">
      <c r="A446" s="114"/>
      <c r="B446" s="1225" t="str">
        <f>'PSQ-INFRA'!B88</f>
        <v>04.02.120.03</v>
      </c>
      <c r="C446" s="1226"/>
      <c r="D446" s="1218" t="str">
        <f>B444</f>
        <v>Preparo de Cabeças de Estacas com diâmetro de 350 mm</v>
      </c>
      <c r="E446" s="1219"/>
      <c r="F446" s="1219"/>
      <c r="G446" s="1195"/>
      <c r="H446" s="1184" t="str">
        <f>'PSQ-INFRA'!D96</f>
        <v>un</v>
      </c>
      <c r="I446" s="1185"/>
      <c r="J446" s="542">
        <f>J456</f>
        <v>32</v>
      </c>
    </row>
    <row r="447" spans="1:10" ht="15">
      <c r="A447" s="114"/>
      <c r="B447" s="1186" t="s">
        <v>72</v>
      </c>
      <c r="C447" s="1186"/>
      <c r="D447" s="1186"/>
      <c r="E447" s="1186"/>
      <c r="F447" s="1186"/>
      <c r="G447" s="1186"/>
      <c r="H447" s="1186"/>
      <c r="I447" s="1186"/>
      <c r="J447" s="543"/>
    </row>
    <row r="448" spans="1:10" ht="15" customHeight="1">
      <c r="A448" s="114"/>
      <c r="B448" s="162" t="s">
        <v>80</v>
      </c>
      <c r="C448" s="168"/>
      <c r="D448" s="168"/>
      <c r="E448" s="168"/>
      <c r="F448" s="168"/>
      <c r="G448" s="168"/>
      <c r="H448" s="162" t="str">
        <f>'Pág 2'!C25</f>
        <v>FL.01/302.92/04538 - Especificação Técnica - Concreto</v>
      </c>
      <c r="I448" s="168"/>
      <c r="J448" s="168"/>
    </row>
    <row r="449" spans="1:10" ht="15" customHeight="1">
      <c r="A449" s="114"/>
      <c r="B449" s="163" t="s">
        <v>79</v>
      </c>
      <c r="C449" s="164"/>
      <c r="D449" s="164"/>
      <c r="E449" s="163" t="str">
        <f>'Pág 2'!C18</f>
        <v>FL.01/302.76/04537 - Memorial de Cálculo e Dimensionamento - Concreto.</v>
      </c>
      <c r="F449" s="114"/>
      <c r="G449" s="164"/>
      <c r="H449" s="164"/>
      <c r="I449" s="164"/>
      <c r="J449" s="164"/>
    </row>
    <row r="450" spans="1:10" ht="15" customHeight="1">
      <c r="A450" s="114"/>
      <c r="B450" s="163" t="s">
        <v>73</v>
      </c>
      <c r="C450" s="153"/>
      <c r="D450" s="153"/>
      <c r="E450" s="163"/>
      <c r="F450" s="114"/>
      <c r="G450" s="164"/>
      <c r="H450" s="164"/>
      <c r="I450" s="164"/>
      <c r="J450" s="544"/>
    </row>
    <row r="451" spans="1:10" thickBot="1">
      <c r="A451" s="114"/>
      <c r="B451" s="165"/>
      <c r="C451" s="165"/>
      <c r="D451" s="165"/>
      <c r="E451" s="153"/>
      <c r="F451" s="153"/>
      <c r="G451" s="153"/>
      <c r="H451" s="153"/>
      <c r="I451" s="153"/>
      <c r="J451" s="545"/>
    </row>
    <row r="452" spans="1:10" ht="15">
      <c r="A452" s="114"/>
      <c r="B452" s="1187" t="s">
        <v>74</v>
      </c>
      <c r="C452" s="1187"/>
      <c r="D452" s="1187"/>
      <c r="E452" s="1187"/>
      <c r="F452" s="1187"/>
      <c r="G452" s="1187"/>
      <c r="H452" s="1188"/>
      <c r="I452" s="1189"/>
      <c r="J452" s="546" t="s">
        <v>75</v>
      </c>
    </row>
    <row r="453" spans="1:10" ht="15">
      <c r="A453" s="114"/>
      <c r="B453" s="1181" t="str">
        <f>TIT.509</f>
        <v>FL.26/304.13/04759- RESERVATÓRIO APOIADO DE ÁGUA POTÁVEL</v>
      </c>
      <c r="C453" s="1181"/>
      <c r="D453" s="1181"/>
      <c r="E453" s="1181"/>
      <c r="F453" s="1181"/>
      <c r="G453" s="1181"/>
      <c r="H453" s="1182"/>
      <c r="I453" s="1183"/>
      <c r="J453" s="547">
        <f>QE35.509</f>
        <v>8</v>
      </c>
    </row>
    <row r="454" spans="1:10" ht="15">
      <c r="A454" s="114"/>
      <c r="B454" s="1181" t="str">
        <f>TIT.510</f>
        <v>FL.26/304.13/04765 - RESERVATÓRIO DE ÁGUA - NORMAL E REUSO</v>
      </c>
      <c r="C454" s="1181"/>
      <c r="D454" s="1181"/>
      <c r="E454" s="1181"/>
      <c r="F454" s="1181"/>
      <c r="G454" s="1181"/>
      <c r="H454" s="1182"/>
      <c r="I454" s="1183"/>
      <c r="J454" s="561">
        <f>QE35.510</f>
        <v>24</v>
      </c>
    </row>
    <row r="455" spans="1:10" ht="15" customHeight="1">
      <c r="A455" s="114"/>
      <c r="B455" s="1181"/>
      <c r="C455" s="1181"/>
      <c r="D455" s="1181"/>
      <c r="E455" s="1181"/>
      <c r="F455" s="1181"/>
      <c r="G455" s="1181"/>
      <c r="H455" s="1182"/>
      <c r="I455" s="1183"/>
      <c r="J455" s="548"/>
    </row>
    <row r="456" spans="1:10" ht="15" customHeight="1" thickBot="1">
      <c r="A456" s="114"/>
      <c r="B456" s="1193" t="s">
        <v>76</v>
      </c>
      <c r="C456" s="1193"/>
      <c r="D456" s="1193"/>
      <c r="E456" s="1193"/>
      <c r="F456" s="1193"/>
      <c r="G456" s="1193"/>
      <c r="H456" s="1194"/>
      <c r="I456" s="1195"/>
      <c r="J456" s="549">
        <f>SUM(J453:J454)</f>
        <v>32</v>
      </c>
    </row>
    <row r="457" spans="1:10" ht="15" customHeight="1" thickBot="1">
      <c r="A457" s="114"/>
      <c r="B457" s="1248" t="s">
        <v>77</v>
      </c>
      <c r="C457" s="1248"/>
      <c r="D457" s="1248"/>
      <c r="E457" s="1248"/>
      <c r="F457" s="1248"/>
      <c r="G457" s="1248"/>
      <c r="H457" s="1248"/>
      <c r="I457" s="1248"/>
      <c r="J457" s="555"/>
    </row>
    <row r="458" spans="1:10" ht="15" customHeight="1">
      <c r="A458" s="114"/>
      <c r="B458" s="556" t="s">
        <v>92</v>
      </c>
      <c r="C458" s="374"/>
      <c r="D458" s="374"/>
      <c r="E458" s="374"/>
      <c r="F458" s="374"/>
      <c r="G458" s="374"/>
      <c r="H458" s="374"/>
      <c r="I458" s="374"/>
      <c r="J458" s="545"/>
    </row>
    <row r="459" spans="1:10" ht="15" customHeight="1" thickBot="1">
      <c r="A459" s="114"/>
      <c r="B459" s="155"/>
      <c r="C459" s="155"/>
      <c r="D459" s="155"/>
      <c r="E459" s="155"/>
      <c r="F459" s="155"/>
      <c r="G459" s="155"/>
      <c r="H459" s="155"/>
      <c r="I459" s="155"/>
      <c r="J459" s="552"/>
    </row>
    <row r="460" spans="1:10" thickTop="1">
      <c r="A460" s="114"/>
      <c r="B460" s="1211" t="s">
        <v>57</v>
      </c>
      <c r="C460" s="1211"/>
      <c r="D460" s="1211"/>
      <c r="E460" s="1211"/>
      <c r="F460" s="1211"/>
      <c r="G460" s="1211"/>
      <c r="H460" s="1211"/>
      <c r="I460" s="1211"/>
      <c r="J460" s="1211"/>
    </row>
    <row r="461" spans="1:10" ht="44.25" customHeight="1">
      <c r="A461" s="114"/>
      <c r="B461" s="1213" t="str">
        <f>'PSQ-INFRA'!C89</f>
        <v>Preparo de Cabeças de Estacas com diâmetro de 400 mm</v>
      </c>
      <c r="C461" s="1213"/>
      <c r="D461" s="1213"/>
      <c r="E461" s="1213"/>
      <c r="F461" s="1213"/>
      <c r="G461" s="1213"/>
      <c r="H461" s="1213"/>
      <c r="I461" s="1213"/>
      <c r="J461" s="541"/>
    </row>
    <row r="462" spans="1:10" ht="15">
      <c r="A462" s="114"/>
      <c r="B462" s="1214" t="s">
        <v>7</v>
      </c>
      <c r="C462" s="1215"/>
      <c r="D462" s="1220" t="s">
        <v>70</v>
      </c>
      <c r="E462" s="1221"/>
      <c r="F462" s="1221"/>
      <c r="G462" s="1222"/>
      <c r="H462" s="1223" t="s">
        <v>4</v>
      </c>
      <c r="I462" s="1224"/>
      <c r="J462" s="365" t="s">
        <v>71</v>
      </c>
    </row>
    <row r="463" spans="1:10" ht="56.25" customHeight="1" thickBot="1">
      <c r="A463" s="114"/>
      <c r="B463" s="1225" t="str">
        <f>'PSQ-INFRA'!B89</f>
        <v>04.02.120.04</v>
      </c>
      <c r="C463" s="1226"/>
      <c r="D463" s="1218" t="str">
        <f>B461</f>
        <v>Preparo de Cabeças de Estacas com diâmetro de 400 mm</v>
      </c>
      <c r="E463" s="1219"/>
      <c r="F463" s="1219"/>
      <c r="G463" s="1195"/>
      <c r="H463" s="1184" t="str">
        <f>'PSQ-INFRA'!D89</f>
        <v>un</v>
      </c>
      <c r="I463" s="1185"/>
      <c r="J463" s="542">
        <f>J472</f>
        <v>4</v>
      </c>
    </row>
    <row r="464" spans="1:10" ht="15">
      <c r="A464" s="114"/>
      <c r="B464" s="1186" t="s">
        <v>72</v>
      </c>
      <c r="C464" s="1186"/>
      <c r="D464" s="1186"/>
      <c r="E464" s="1186"/>
      <c r="F464" s="1186"/>
      <c r="G464" s="1186"/>
      <c r="H464" s="1186"/>
      <c r="I464" s="1186"/>
      <c r="J464" s="543"/>
    </row>
    <row r="465" spans="1:10" ht="15" customHeight="1">
      <c r="A465" s="114"/>
      <c r="B465" s="162" t="s">
        <v>80</v>
      </c>
      <c r="C465" s="168"/>
      <c r="D465" s="168"/>
      <c r="E465" s="168"/>
      <c r="F465" s="168"/>
      <c r="G465" s="168"/>
      <c r="H465" s="162" t="str">
        <f>'Pág 2'!C25</f>
        <v>FL.01/302.92/04538 - Especificação Técnica - Concreto</v>
      </c>
      <c r="I465" s="168"/>
      <c r="J465" s="168"/>
    </row>
    <row r="466" spans="1:10" ht="15" customHeight="1">
      <c r="A466" s="114"/>
      <c r="B466" s="163" t="s">
        <v>79</v>
      </c>
      <c r="C466" s="164"/>
      <c r="D466" s="164"/>
      <c r="E466" s="163" t="str">
        <f>'Pág 2'!C18</f>
        <v>FL.01/302.76/04537 - Memorial de Cálculo e Dimensionamento - Concreto.</v>
      </c>
      <c r="F466" s="114"/>
      <c r="G466" s="164"/>
      <c r="H466" s="164"/>
      <c r="I466" s="164"/>
      <c r="J466" s="164"/>
    </row>
    <row r="467" spans="1:10" ht="15" customHeight="1">
      <c r="A467" s="114"/>
      <c r="B467" s="163" t="s">
        <v>73</v>
      </c>
      <c r="C467" s="153"/>
      <c r="D467" s="153"/>
      <c r="E467" s="163"/>
      <c r="F467" s="114"/>
      <c r="G467" s="164"/>
      <c r="H467" s="164"/>
      <c r="I467" s="164"/>
      <c r="J467" s="544"/>
    </row>
    <row r="468" spans="1:10" thickBot="1">
      <c r="A468" s="114"/>
      <c r="B468" s="165"/>
      <c r="C468" s="165"/>
      <c r="D468" s="165"/>
      <c r="E468" s="153"/>
      <c r="F468" s="153"/>
      <c r="G468" s="153"/>
      <c r="H468" s="153"/>
      <c r="I468" s="153"/>
      <c r="J468" s="545"/>
    </row>
    <row r="469" spans="1:10" ht="15">
      <c r="A469" s="114"/>
      <c r="B469" s="1187" t="s">
        <v>74</v>
      </c>
      <c r="C469" s="1187"/>
      <c r="D469" s="1187"/>
      <c r="E469" s="1187"/>
      <c r="F469" s="1187"/>
      <c r="G469" s="1187"/>
      <c r="H469" s="1188"/>
      <c r="I469" s="1189"/>
      <c r="J469" s="546" t="s">
        <v>75</v>
      </c>
    </row>
    <row r="470" spans="1:10" ht="15">
      <c r="A470" s="114"/>
      <c r="B470" s="1181" t="str">
        <f>TIT.507</f>
        <v>FL.26/302.13/04753 - CENTRAL DE UTILIDADES - ACESSO PASSARELA TÉCNICA</v>
      </c>
      <c r="C470" s="1181"/>
      <c r="D470" s="1181"/>
      <c r="E470" s="1181"/>
      <c r="F470" s="1181"/>
      <c r="G470" s="1181"/>
      <c r="H470" s="1182"/>
      <c r="I470" s="1183"/>
      <c r="J470" s="547">
        <f>QE40.507</f>
        <v>4</v>
      </c>
    </row>
    <row r="471" spans="1:10" ht="15" customHeight="1">
      <c r="A471" s="114"/>
      <c r="B471" s="1181"/>
      <c r="C471" s="1181"/>
      <c r="D471" s="1181"/>
      <c r="E471" s="1181"/>
      <c r="F471" s="1181"/>
      <c r="G471" s="1181"/>
      <c r="H471" s="1182"/>
      <c r="I471" s="1183"/>
      <c r="J471" s="548"/>
    </row>
    <row r="472" spans="1:10" ht="15" customHeight="1" thickBot="1">
      <c r="A472" s="114"/>
      <c r="B472" s="1193" t="s">
        <v>76</v>
      </c>
      <c r="C472" s="1193"/>
      <c r="D472" s="1193"/>
      <c r="E472" s="1193"/>
      <c r="F472" s="1193"/>
      <c r="G472" s="1193"/>
      <c r="H472" s="1194"/>
      <c r="I472" s="1195"/>
      <c r="J472" s="549">
        <f>SUM(J470:J470)</f>
        <v>4</v>
      </c>
    </row>
    <row r="473" spans="1:10" ht="15" customHeight="1" thickBot="1">
      <c r="A473" s="114"/>
      <c r="B473" s="1248" t="s">
        <v>77</v>
      </c>
      <c r="C473" s="1248"/>
      <c r="D473" s="1248"/>
      <c r="E473" s="1248"/>
      <c r="F473" s="1248"/>
      <c r="G473" s="1248"/>
      <c r="H473" s="1248"/>
      <c r="I473" s="1248"/>
      <c r="J473" s="555"/>
    </row>
    <row r="474" spans="1:10" ht="15" customHeight="1">
      <c r="A474" s="114"/>
      <c r="B474" s="556" t="s">
        <v>92</v>
      </c>
      <c r="C474" s="374"/>
      <c r="D474" s="374"/>
      <c r="E474" s="374"/>
      <c r="F474" s="374"/>
      <c r="G474" s="374"/>
      <c r="H474" s="374"/>
      <c r="I474" s="374"/>
      <c r="J474" s="545"/>
    </row>
    <row r="475" spans="1:10" ht="15" customHeight="1" thickBot="1">
      <c r="A475" s="114"/>
      <c r="B475" s="155"/>
      <c r="C475" s="155"/>
      <c r="D475" s="155"/>
      <c r="E475" s="155"/>
      <c r="F475" s="155"/>
      <c r="G475" s="155"/>
      <c r="H475" s="155"/>
      <c r="I475" s="155"/>
      <c r="J475" s="552"/>
    </row>
    <row r="476" spans="1:10" thickTop="1">
      <c r="A476" s="114"/>
      <c r="B476" s="1211" t="s">
        <v>57</v>
      </c>
      <c r="C476" s="1211"/>
      <c r="D476" s="1211"/>
      <c r="E476" s="1211"/>
      <c r="F476" s="1211"/>
      <c r="G476" s="1211"/>
      <c r="H476" s="1211"/>
      <c r="I476" s="1211"/>
      <c r="J476" s="1211"/>
    </row>
    <row r="477" spans="1:10" ht="44.25" customHeight="1">
      <c r="A477" s="114"/>
      <c r="B477" s="1213" t="str">
        <f>'PSQ-INFRA'!C90</f>
        <v>Preparo de Cabeças de Estacas com diâmetro de 600 mm</v>
      </c>
      <c r="C477" s="1213"/>
      <c r="D477" s="1213"/>
      <c r="E477" s="1213"/>
      <c r="F477" s="1213"/>
      <c r="G477" s="1213"/>
      <c r="H477" s="1213"/>
      <c r="I477" s="1213"/>
      <c r="J477" s="541"/>
    </row>
    <row r="478" spans="1:10" ht="15">
      <c r="A478" s="114"/>
      <c r="B478" s="1214" t="s">
        <v>7</v>
      </c>
      <c r="C478" s="1215"/>
      <c r="D478" s="1220" t="s">
        <v>70</v>
      </c>
      <c r="E478" s="1221"/>
      <c r="F478" s="1221"/>
      <c r="G478" s="1222"/>
      <c r="H478" s="1223" t="s">
        <v>4</v>
      </c>
      <c r="I478" s="1224"/>
      <c r="J478" s="365" t="s">
        <v>71</v>
      </c>
    </row>
    <row r="479" spans="1:10" ht="56.25" customHeight="1" thickBot="1">
      <c r="A479" s="114"/>
      <c r="B479" s="1225" t="str">
        <f>'PSQ-INFRA'!B90</f>
        <v>04.02.120.05</v>
      </c>
      <c r="C479" s="1226"/>
      <c r="D479" s="1218" t="str">
        <f>B477</f>
        <v>Preparo de Cabeças de Estacas com diâmetro de 600 mm</v>
      </c>
      <c r="E479" s="1219"/>
      <c r="F479" s="1219"/>
      <c r="G479" s="1195"/>
      <c r="H479" s="1184" t="str">
        <f>'PSQ-INFRA'!D98</f>
        <v>un</v>
      </c>
      <c r="I479" s="1185"/>
      <c r="J479" s="542">
        <f>J488</f>
        <v>24</v>
      </c>
    </row>
    <row r="480" spans="1:10" ht="15">
      <c r="A480" s="114"/>
      <c r="B480" s="1186" t="s">
        <v>72</v>
      </c>
      <c r="C480" s="1186"/>
      <c r="D480" s="1186"/>
      <c r="E480" s="1186"/>
      <c r="F480" s="1186"/>
      <c r="G480" s="1186"/>
      <c r="H480" s="1186"/>
      <c r="I480" s="1186"/>
      <c r="J480" s="543"/>
    </row>
    <row r="481" spans="1:10" ht="15" customHeight="1">
      <c r="A481" s="114"/>
      <c r="B481" s="162" t="s">
        <v>80</v>
      </c>
      <c r="C481" s="168"/>
      <c r="D481" s="168"/>
      <c r="E481" s="168"/>
      <c r="F481" s="168"/>
      <c r="G481" s="168"/>
      <c r="H481" s="162" t="str">
        <f>'Pág 2'!C25</f>
        <v>FL.01/302.92/04538 - Especificação Técnica - Concreto</v>
      </c>
      <c r="I481" s="168"/>
      <c r="J481" s="168"/>
    </row>
    <row r="482" spans="1:10" ht="15" customHeight="1">
      <c r="A482" s="114"/>
      <c r="B482" s="163" t="s">
        <v>79</v>
      </c>
      <c r="C482" s="164"/>
      <c r="D482" s="164"/>
      <c r="E482" s="163" t="str">
        <f>'Pág 2'!C18</f>
        <v>FL.01/302.76/04537 - Memorial de Cálculo e Dimensionamento - Concreto.</v>
      </c>
      <c r="F482" s="114"/>
      <c r="G482" s="164"/>
      <c r="H482" s="164"/>
      <c r="I482" s="164"/>
      <c r="J482" s="164"/>
    </row>
    <row r="483" spans="1:10" ht="15" customHeight="1">
      <c r="A483" s="114"/>
      <c r="B483" s="163" t="s">
        <v>73</v>
      </c>
      <c r="C483" s="153"/>
      <c r="D483" s="153"/>
      <c r="E483" s="163"/>
      <c r="F483" s="114"/>
      <c r="G483" s="164"/>
      <c r="H483" s="164"/>
      <c r="I483" s="164"/>
      <c r="J483" s="544"/>
    </row>
    <row r="484" spans="1:10" thickBot="1">
      <c r="A484" s="114"/>
      <c r="B484" s="165"/>
      <c r="C484" s="165"/>
      <c r="D484" s="165"/>
      <c r="E484" s="153"/>
      <c r="F484" s="153"/>
      <c r="G484" s="153"/>
      <c r="H484" s="153"/>
      <c r="I484" s="153"/>
      <c r="J484" s="545"/>
    </row>
    <row r="485" spans="1:10" ht="15">
      <c r="A485" s="114"/>
      <c r="B485" s="1187" t="s">
        <v>74</v>
      </c>
      <c r="C485" s="1187"/>
      <c r="D485" s="1187"/>
      <c r="E485" s="1187"/>
      <c r="F485" s="1187"/>
      <c r="G485" s="1187"/>
      <c r="H485" s="1188"/>
      <c r="I485" s="1189"/>
      <c r="J485" s="546" t="s">
        <v>75</v>
      </c>
    </row>
    <row r="486" spans="1:10" ht="15">
      <c r="A486" s="114"/>
      <c r="B486" s="1181" t="str">
        <f>TIT.510</f>
        <v>FL.26/304.13/04765 - RESERVATÓRIO DE ÁGUA - NORMAL E REUSO</v>
      </c>
      <c r="C486" s="1181"/>
      <c r="D486" s="1181"/>
      <c r="E486" s="1181"/>
      <c r="F486" s="1181"/>
      <c r="G486" s="1181"/>
      <c r="H486" s="1182"/>
      <c r="I486" s="1183"/>
      <c r="J486" s="561">
        <f>QE60.510</f>
        <v>24</v>
      </c>
    </row>
    <row r="487" spans="1:10" ht="15" customHeight="1">
      <c r="A487" s="114"/>
      <c r="B487" s="1181"/>
      <c r="C487" s="1181"/>
      <c r="D487" s="1181"/>
      <c r="E487" s="1181"/>
      <c r="F487" s="1181"/>
      <c r="G487" s="1181"/>
      <c r="H487" s="1182"/>
      <c r="I487" s="1183"/>
      <c r="J487" s="548"/>
    </row>
    <row r="488" spans="1:10" ht="15" customHeight="1" thickBot="1">
      <c r="A488" s="114"/>
      <c r="B488" s="1193" t="s">
        <v>76</v>
      </c>
      <c r="C488" s="1193"/>
      <c r="D488" s="1193"/>
      <c r="E488" s="1193"/>
      <c r="F488" s="1193"/>
      <c r="G488" s="1193"/>
      <c r="H488" s="1194"/>
      <c r="I488" s="1195"/>
      <c r="J488" s="549">
        <f>SUM(J486:J486)</f>
        <v>24</v>
      </c>
    </row>
    <row r="489" spans="1:10" ht="15" customHeight="1" thickBot="1">
      <c r="A489" s="114"/>
      <c r="B489" s="1248" t="s">
        <v>77</v>
      </c>
      <c r="C489" s="1248"/>
      <c r="D489" s="1248"/>
      <c r="E489" s="1248"/>
      <c r="F489" s="1248"/>
      <c r="G489" s="1248"/>
      <c r="H489" s="1248"/>
      <c r="I489" s="1248"/>
      <c r="J489" s="555"/>
    </row>
    <row r="490" spans="1:10" ht="15" customHeight="1">
      <c r="A490" s="114"/>
      <c r="B490" s="556" t="s">
        <v>92</v>
      </c>
      <c r="C490" s="374"/>
      <c r="D490" s="374"/>
      <c r="E490" s="374"/>
      <c r="F490" s="374"/>
      <c r="G490" s="374"/>
      <c r="H490" s="374"/>
      <c r="I490" s="374"/>
      <c r="J490" s="545"/>
    </row>
    <row r="491" spans="1:10" ht="15" customHeight="1" thickBot="1">
      <c r="A491" s="114"/>
      <c r="B491" s="155"/>
      <c r="C491" s="155"/>
      <c r="D491" s="155"/>
      <c r="E491" s="155"/>
      <c r="F491" s="155"/>
      <c r="G491" s="155"/>
      <c r="H491" s="155"/>
      <c r="I491" s="155"/>
      <c r="J491" s="552"/>
    </row>
    <row r="492" spans="1:10" thickTop="1">
      <c r="A492" s="114"/>
      <c r="B492" s="1211" t="s">
        <v>57</v>
      </c>
      <c r="C492" s="1211"/>
      <c r="D492" s="1211"/>
      <c r="E492" s="1211"/>
      <c r="F492" s="1211"/>
      <c r="G492" s="1211"/>
      <c r="H492" s="1211"/>
      <c r="I492" s="1211"/>
      <c r="J492" s="1212"/>
    </row>
    <row r="493" spans="1:10" ht="44.25" customHeight="1">
      <c r="A493" s="114"/>
      <c r="B493" s="1213" t="str">
        <f>'PSQ-INFRA'!C114</f>
        <v>Fornecimento, transporte, lançamento, adensamento, acabamento e cura - Lastro de Concreto  (fck=10MPa)</v>
      </c>
      <c r="C493" s="1213"/>
      <c r="D493" s="1213"/>
      <c r="E493" s="1213"/>
      <c r="F493" s="1213"/>
      <c r="G493" s="1213"/>
      <c r="H493" s="1213"/>
      <c r="I493" s="1213"/>
      <c r="J493" s="541"/>
    </row>
    <row r="494" spans="1:10" ht="15">
      <c r="A494" s="114"/>
      <c r="B494" s="1214" t="s">
        <v>7</v>
      </c>
      <c r="C494" s="1215"/>
      <c r="D494" s="1220" t="s">
        <v>70</v>
      </c>
      <c r="E494" s="1221"/>
      <c r="F494" s="1221"/>
      <c r="G494" s="1222"/>
      <c r="H494" s="1223" t="s">
        <v>4</v>
      </c>
      <c r="I494" s="1224"/>
      <c r="J494" s="365" t="s">
        <v>71</v>
      </c>
    </row>
    <row r="495" spans="1:10" ht="56.25" customHeight="1" thickBot="1">
      <c r="A495" s="114"/>
      <c r="B495" s="1225" t="str">
        <f>'PSQ-INFRA'!B114</f>
        <v>04.02.210.01</v>
      </c>
      <c r="C495" s="1226"/>
      <c r="D495" s="1218" t="str">
        <f>B493</f>
        <v>Fornecimento, transporte, lançamento, adensamento, acabamento e cura - Lastro de Concreto  (fck=10MPa)</v>
      </c>
      <c r="E495" s="1219"/>
      <c r="F495" s="1219"/>
      <c r="G495" s="1195"/>
      <c r="H495" s="1184" t="str">
        <f>'PSQ-INFRA'!D114</f>
        <v>m³</v>
      </c>
      <c r="I495" s="1185"/>
      <c r="J495" s="542">
        <f>J514</f>
        <v>90.868567265756639</v>
      </c>
    </row>
    <row r="496" spans="1:10" ht="15">
      <c r="A496" s="114"/>
      <c r="B496" s="1186" t="s">
        <v>72</v>
      </c>
      <c r="C496" s="1186"/>
      <c r="D496" s="1186"/>
      <c r="E496" s="1186"/>
      <c r="F496" s="1186"/>
      <c r="G496" s="1186"/>
      <c r="H496" s="1186"/>
      <c r="I496" s="1186"/>
      <c r="J496" s="543"/>
    </row>
    <row r="497" spans="1:10" ht="15">
      <c r="A497" s="114"/>
      <c r="B497" s="162" t="s">
        <v>80</v>
      </c>
      <c r="C497" s="168"/>
      <c r="D497" s="168"/>
      <c r="E497" s="168"/>
      <c r="F497" s="168"/>
      <c r="G497" s="168"/>
      <c r="H497" s="162" t="str">
        <f>'Pág 2'!C25</f>
        <v>FL.01/302.92/04538 - Especificação Técnica - Concreto</v>
      </c>
      <c r="I497" s="168"/>
      <c r="J497" s="168"/>
    </row>
    <row r="498" spans="1:10" ht="15">
      <c r="A498" s="114"/>
      <c r="B498" s="163" t="s">
        <v>79</v>
      </c>
      <c r="C498" s="164"/>
      <c r="D498" s="164"/>
      <c r="E498" s="163" t="str">
        <f>'Pág 2'!C18</f>
        <v>FL.01/302.76/04537 - Memorial de Cálculo e Dimensionamento - Concreto.</v>
      </c>
      <c r="F498" s="114"/>
      <c r="G498" s="164"/>
      <c r="H498" s="164"/>
      <c r="I498" s="164"/>
      <c r="J498" s="164"/>
    </row>
    <row r="499" spans="1:10" ht="15">
      <c r="A499" s="114"/>
      <c r="B499" s="163" t="s">
        <v>73</v>
      </c>
      <c r="C499" s="153"/>
      <c r="D499" s="153"/>
      <c r="E499" s="163"/>
      <c r="F499" s="114"/>
      <c r="G499" s="164"/>
      <c r="H499" s="164"/>
      <c r="I499" s="164"/>
      <c r="J499" s="544"/>
    </row>
    <row r="500" spans="1:10" thickBot="1">
      <c r="A500" s="114"/>
      <c r="B500" s="165"/>
      <c r="C500" s="165"/>
      <c r="D500" s="165"/>
      <c r="E500" s="153"/>
      <c r="F500" s="153"/>
      <c r="G500" s="153"/>
      <c r="H500" s="153"/>
      <c r="I500" s="153"/>
      <c r="J500" s="545"/>
    </row>
    <row r="501" spans="1:10" ht="15">
      <c r="A501" s="114"/>
      <c r="B501" s="1187" t="s">
        <v>74</v>
      </c>
      <c r="C501" s="1187"/>
      <c r="D501" s="1187"/>
      <c r="E501" s="1187"/>
      <c r="F501" s="1187"/>
      <c r="G501" s="1187"/>
      <c r="H501" s="1188"/>
      <c r="I501" s="1189"/>
      <c r="J501" s="546" t="s">
        <v>75</v>
      </c>
    </row>
    <row r="502" spans="1:10" ht="15">
      <c r="A502" s="114"/>
      <c r="B502" s="1181" t="str">
        <f>TIT.501</f>
        <v>FL.27/304.13/04720 - CAG- CENTRAL DE ÁGUA GELADA - TORRES DE RESFRIAMENTO</v>
      </c>
      <c r="C502" s="1181"/>
      <c r="D502" s="1181"/>
      <c r="E502" s="1181"/>
      <c r="F502" s="1181"/>
      <c r="G502" s="1181"/>
      <c r="H502" s="1182"/>
      <c r="I502" s="1183"/>
      <c r="J502" s="547">
        <f>LC.501</f>
        <v>6.2280000000000015</v>
      </c>
    </row>
    <row r="503" spans="1:10" ht="15">
      <c r="A503" s="114"/>
      <c r="B503" s="1181" t="str">
        <f>TIT.502</f>
        <v>FL.27/304.13/04721 - CAG- CENTRAL DE ÁGUA GELADA - TQ DE TERMO ACUMULAÇÃO</v>
      </c>
      <c r="C503" s="1181"/>
      <c r="D503" s="1181"/>
      <c r="E503" s="1181"/>
      <c r="F503" s="1181"/>
      <c r="G503" s="1181"/>
      <c r="H503" s="1182"/>
      <c r="I503" s="1183"/>
      <c r="J503" s="547">
        <f>LC.502</f>
        <v>5.1035172657566195</v>
      </c>
    </row>
    <row r="504" spans="1:10" ht="15">
      <c r="A504" s="114"/>
      <c r="B504" s="1181" t="str">
        <f>TIT.503</f>
        <v xml:space="preserve">FL.26/304.13/04734 - CENTRAL DE UTILIDADES - MANUTENÇÃO </v>
      </c>
      <c r="C504" s="1181"/>
      <c r="D504" s="1181"/>
      <c r="E504" s="1181"/>
      <c r="F504" s="1181"/>
      <c r="G504" s="1181"/>
      <c r="H504" s="1182"/>
      <c r="I504" s="1183"/>
      <c r="J504" s="547">
        <f>LC.503</f>
        <v>3.5837500000000002</v>
      </c>
    </row>
    <row r="505" spans="1:10" ht="15">
      <c r="A505" s="114"/>
      <c r="B505" s="1181" t="str">
        <f>TIT.504</f>
        <v>FL.26/304.13/04738- CENTRAL DE UTILIDADES - REFEITÓRIO</v>
      </c>
      <c r="C505" s="1181"/>
      <c r="D505" s="1181"/>
      <c r="E505" s="1181"/>
      <c r="F505" s="1181"/>
      <c r="G505" s="1181"/>
      <c r="H505" s="1182"/>
      <c r="I505" s="1183"/>
      <c r="J505" s="547">
        <f>LC.504</f>
        <v>5.9382500000000009</v>
      </c>
    </row>
    <row r="506" spans="1:10" ht="15">
      <c r="A506" s="114"/>
      <c r="B506" s="1181" t="str">
        <f>TIT.505</f>
        <v>FL.26/304.13/04743- CENTRAL DE UTILIDADES - CAG/SUBESTAÇÃO</v>
      </c>
      <c r="C506" s="1181"/>
      <c r="D506" s="1181"/>
      <c r="E506" s="1181"/>
      <c r="F506" s="1181"/>
      <c r="G506" s="1181"/>
      <c r="H506" s="1182"/>
      <c r="I506" s="1183"/>
      <c r="J506" s="547">
        <f>LC.505</f>
        <v>59.947125000000014</v>
      </c>
    </row>
    <row r="507" spans="1:10" ht="15">
      <c r="A507" s="114"/>
      <c r="B507" s="1181" t="str">
        <f>TIT.506</f>
        <v>FL.26/302.13/04751 - CENTRAL DE UTILIDADES - GUARITA</v>
      </c>
      <c r="C507" s="1181"/>
      <c r="D507" s="1181"/>
      <c r="E507" s="1181"/>
      <c r="F507" s="1181"/>
      <c r="G507" s="1181"/>
      <c r="H507" s="1182"/>
      <c r="I507" s="1183"/>
      <c r="J507" s="547">
        <f>LC.506</f>
        <v>0.84810000000000008</v>
      </c>
    </row>
    <row r="508" spans="1:10" ht="15">
      <c r="A508" s="114"/>
      <c r="B508" s="1181" t="str">
        <f>TIT.507</f>
        <v>FL.26/302.13/04753 - CENTRAL DE UTILIDADES - ACESSO PASSARELA TÉCNICA</v>
      </c>
      <c r="C508" s="1181"/>
      <c r="D508" s="1181"/>
      <c r="E508" s="1181"/>
      <c r="F508" s="1181"/>
      <c r="G508" s="1181"/>
      <c r="H508" s="1182"/>
      <c r="I508" s="1183"/>
      <c r="J508" s="547">
        <f>LC.507</f>
        <v>0.69040000000000012</v>
      </c>
    </row>
    <row r="509" spans="1:10" ht="15">
      <c r="A509" s="114"/>
      <c r="B509" s="1181" t="str">
        <f>TIT.508</f>
        <v>FL.26/304.13/04756 - CENTRAL DE UTILIDADES - OFICINA DE MANUTENÇÃO</v>
      </c>
      <c r="C509" s="1181"/>
      <c r="D509" s="1181"/>
      <c r="E509" s="1181"/>
      <c r="F509" s="1181"/>
      <c r="G509" s="1181"/>
      <c r="H509" s="1182"/>
      <c r="I509" s="1183"/>
      <c r="J509" s="547">
        <f>LC.508</f>
        <v>1.0765000000000002</v>
      </c>
    </row>
    <row r="510" spans="1:10" ht="15">
      <c r="A510" s="114"/>
      <c r="B510" s="1181" t="str">
        <f>TIT.509</f>
        <v>FL.26/304.13/04759- RESERVATÓRIO APOIADO DE ÁGUA POTÁVEL</v>
      </c>
      <c r="C510" s="1181"/>
      <c r="D510" s="1181"/>
      <c r="E510" s="1181"/>
      <c r="F510" s="1181"/>
      <c r="G510" s="1181"/>
      <c r="H510" s="1182"/>
      <c r="I510" s="1183"/>
      <c r="J510" s="547">
        <f>LC.509</f>
        <v>2.1401250000000003</v>
      </c>
    </row>
    <row r="511" spans="1:10" ht="15">
      <c r="A511" s="114"/>
      <c r="B511" s="1181" t="str">
        <f>TIT.510</f>
        <v>FL.26/304.13/04765 - RESERVATÓRIO DE ÁGUA - NORMAL E REUSO</v>
      </c>
      <c r="C511" s="1181"/>
      <c r="D511" s="1181"/>
      <c r="E511" s="1181"/>
      <c r="F511" s="1181"/>
      <c r="G511" s="1181"/>
      <c r="H511" s="1182"/>
      <c r="I511" s="1183"/>
      <c r="J511" s="561">
        <f>LC.510</f>
        <v>4.830300000000002</v>
      </c>
    </row>
    <row r="512" spans="1:10" ht="15">
      <c r="A512" s="114"/>
      <c r="B512" s="1181" t="str">
        <f>TIT.511</f>
        <v>FL.17/302.13/05743 - CENTRAL DE UTILIDADES - GUARITA - ESTACIONAMENTO</v>
      </c>
      <c r="C512" s="1181"/>
      <c r="D512" s="1181"/>
      <c r="E512" s="1181"/>
      <c r="F512" s="1181"/>
      <c r="G512" s="1181"/>
      <c r="H512" s="1182"/>
      <c r="I512" s="1183"/>
      <c r="J512" s="561">
        <f>LC.511</f>
        <v>0.48250000000000004</v>
      </c>
    </row>
    <row r="513" spans="1:10" ht="15" customHeight="1">
      <c r="A513" s="114"/>
      <c r="B513" s="1181"/>
      <c r="C513" s="1181"/>
      <c r="D513" s="1181"/>
      <c r="E513" s="1181"/>
      <c r="F513" s="1181"/>
      <c r="G513" s="1181"/>
      <c r="H513" s="1182"/>
      <c r="I513" s="1183"/>
      <c r="J513" s="548"/>
    </row>
    <row r="514" spans="1:10" ht="15" customHeight="1" thickBot="1">
      <c r="A514" s="114"/>
      <c r="B514" s="1193" t="s">
        <v>76</v>
      </c>
      <c r="C514" s="1193"/>
      <c r="D514" s="1193"/>
      <c r="E514" s="1193"/>
      <c r="F514" s="1193"/>
      <c r="G514" s="1193"/>
      <c r="H514" s="1194"/>
      <c r="I514" s="1195"/>
      <c r="J514" s="549">
        <f>SUM(J502:J512)</f>
        <v>90.868567265756639</v>
      </c>
    </row>
    <row r="515" spans="1:10" thickBot="1">
      <c r="A515" s="114"/>
      <c r="B515" s="1196" t="s">
        <v>77</v>
      </c>
      <c r="C515" s="1196"/>
      <c r="D515" s="1196"/>
      <c r="E515" s="1196"/>
      <c r="F515" s="1196"/>
      <c r="G515" s="1196"/>
      <c r="H515" s="1196"/>
      <c r="I515" s="1196"/>
      <c r="J515" s="550"/>
    </row>
    <row r="516" spans="1:10" ht="15">
      <c r="A516" s="114"/>
      <c r="B516" s="551" t="s">
        <v>92</v>
      </c>
      <c r="C516" s="154"/>
      <c r="D516" s="154"/>
      <c r="E516" s="154"/>
      <c r="F516" s="154"/>
      <c r="G516" s="154"/>
      <c r="H516" s="154"/>
      <c r="I516" s="154"/>
      <c r="J516" s="545"/>
    </row>
    <row r="517" spans="1:10" thickBot="1">
      <c r="A517" s="114"/>
      <c r="B517" s="155"/>
      <c r="C517" s="155"/>
      <c r="D517" s="155"/>
      <c r="E517" s="155"/>
      <c r="F517" s="155"/>
      <c r="G517" s="155"/>
      <c r="H517" s="155"/>
      <c r="I517" s="155"/>
      <c r="J517" s="552"/>
    </row>
    <row r="518" spans="1:10" thickTop="1">
      <c r="A518" s="114"/>
      <c r="B518" s="1211" t="s">
        <v>57</v>
      </c>
      <c r="C518" s="1211"/>
      <c r="D518" s="1211"/>
      <c r="E518" s="1211"/>
      <c r="F518" s="1211"/>
      <c r="G518" s="1211"/>
      <c r="H518" s="1211"/>
      <c r="I518" s="1211"/>
      <c r="J518" s="1212"/>
    </row>
    <row r="519" spans="1:10" ht="44.25" customHeight="1">
      <c r="A519" s="114"/>
      <c r="B519" s="1213" t="str">
        <f>'PSQ-INFRA'!C118</f>
        <v>Forma plana comum p/ fundações</v>
      </c>
      <c r="C519" s="1213"/>
      <c r="D519" s="1213"/>
      <c r="E519" s="1213"/>
      <c r="F519" s="1213"/>
      <c r="G519" s="1213"/>
      <c r="H519" s="1213"/>
      <c r="I519" s="1213"/>
      <c r="J519" s="541"/>
    </row>
    <row r="520" spans="1:10" ht="15">
      <c r="A520" s="114"/>
      <c r="B520" s="1214" t="s">
        <v>7</v>
      </c>
      <c r="C520" s="1215"/>
      <c r="D520" s="1220" t="s">
        <v>70</v>
      </c>
      <c r="E520" s="1221"/>
      <c r="F520" s="1221"/>
      <c r="G520" s="1222"/>
      <c r="H520" s="1223" t="s">
        <v>4</v>
      </c>
      <c r="I520" s="1224"/>
      <c r="J520" s="365" t="s">
        <v>71</v>
      </c>
    </row>
    <row r="521" spans="1:10" ht="56.25" customHeight="1" thickBot="1">
      <c r="A521" s="114"/>
      <c r="B521" s="1225" t="str">
        <f>'PSQ-INFRA'!B118</f>
        <v>04.02.220.01</v>
      </c>
      <c r="C521" s="1226"/>
      <c r="D521" s="1218" t="str">
        <f>B519</f>
        <v>Forma plana comum p/ fundações</v>
      </c>
      <c r="E521" s="1219"/>
      <c r="F521" s="1219"/>
      <c r="G521" s="1195"/>
      <c r="H521" s="1184" t="str">
        <f>'PSQ-INFRA'!D118</f>
        <v>m²</v>
      </c>
      <c r="I521" s="1185"/>
      <c r="J521" s="542">
        <f>J540</f>
        <v>2067.2456307031807</v>
      </c>
    </row>
    <row r="522" spans="1:10" ht="15">
      <c r="A522" s="114"/>
      <c r="B522" s="1186" t="s">
        <v>72</v>
      </c>
      <c r="C522" s="1186"/>
      <c r="D522" s="1186"/>
      <c r="E522" s="1186"/>
      <c r="F522" s="1186"/>
      <c r="G522" s="1186"/>
      <c r="H522" s="1186"/>
      <c r="I522" s="1186"/>
      <c r="J522" s="543"/>
    </row>
    <row r="523" spans="1:10" ht="15">
      <c r="A523" s="114"/>
      <c r="B523" s="162" t="s">
        <v>80</v>
      </c>
      <c r="C523" s="168"/>
      <c r="D523" s="168"/>
      <c r="E523" s="168"/>
      <c r="F523" s="168"/>
      <c r="G523" s="168"/>
      <c r="H523" s="162" t="str">
        <f>'Pág 2'!C25</f>
        <v>FL.01/302.92/04538 - Especificação Técnica - Concreto</v>
      </c>
      <c r="I523" s="168"/>
      <c r="J523" s="168"/>
    </row>
    <row r="524" spans="1:10" ht="15">
      <c r="A524" s="114"/>
      <c r="B524" s="163" t="s">
        <v>79</v>
      </c>
      <c r="C524" s="164"/>
      <c r="D524" s="164"/>
      <c r="E524" s="163" t="str">
        <f>'Pág 2'!C18</f>
        <v>FL.01/302.76/04537 - Memorial de Cálculo e Dimensionamento - Concreto.</v>
      </c>
      <c r="F524" s="114"/>
      <c r="G524" s="164"/>
      <c r="H524" s="164"/>
      <c r="I524" s="164"/>
      <c r="J524" s="164"/>
    </row>
    <row r="525" spans="1:10" ht="15">
      <c r="A525" s="114"/>
      <c r="B525" s="163" t="s">
        <v>73</v>
      </c>
      <c r="C525" s="153"/>
      <c r="D525" s="153"/>
      <c r="E525" s="163"/>
      <c r="F525" s="114"/>
      <c r="G525" s="164"/>
      <c r="H525" s="164"/>
      <c r="I525" s="164"/>
      <c r="J525" s="544"/>
    </row>
    <row r="526" spans="1:10" thickBot="1">
      <c r="A526" s="114"/>
      <c r="B526" s="165"/>
      <c r="C526" s="165"/>
      <c r="D526" s="165"/>
      <c r="E526" s="153"/>
      <c r="F526" s="153"/>
      <c r="G526" s="153"/>
      <c r="H526" s="153"/>
      <c r="I526" s="153"/>
      <c r="J526" s="545"/>
    </row>
    <row r="527" spans="1:10" ht="15">
      <c r="A527" s="114"/>
      <c r="B527" s="1187" t="s">
        <v>74</v>
      </c>
      <c r="C527" s="1187"/>
      <c r="D527" s="1187"/>
      <c r="E527" s="1187"/>
      <c r="F527" s="1187"/>
      <c r="G527" s="1187"/>
      <c r="H527" s="1188"/>
      <c r="I527" s="1189"/>
      <c r="J527" s="546" t="s">
        <v>75</v>
      </c>
    </row>
    <row r="528" spans="1:10" ht="15">
      <c r="A528" s="114"/>
      <c r="B528" s="1181" t="str">
        <f>TIT.501</f>
        <v>FL.27/304.13/04720 - CAG- CENTRAL DE ÁGUA GELADA - TORRES DE RESFRIAMENTO</v>
      </c>
      <c r="C528" s="1181"/>
      <c r="D528" s="1181"/>
      <c r="E528" s="1181"/>
      <c r="F528" s="1181"/>
      <c r="G528" s="1181"/>
      <c r="H528" s="1182"/>
      <c r="I528" s="1183"/>
      <c r="J528" s="547">
        <f>F.501</f>
        <v>93.719999999999985</v>
      </c>
    </row>
    <row r="529" spans="1:10" ht="15">
      <c r="A529" s="114"/>
      <c r="B529" s="1181" t="str">
        <f>TIT.502</f>
        <v>FL.27/304.13/04721 - CAG- CENTRAL DE ÁGUA GELADA - TQ DE TERMO ACUMULAÇÃO</v>
      </c>
      <c r="C529" s="1181"/>
      <c r="D529" s="1181"/>
      <c r="E529" s="1181"/>
      <c r="F529" s="1181"/>
      <c r="G529" s="1181"/>
      <c r="H529" s="1182"/>
      <c r="I529" s="1183"/>
      <c r="J529" s="547">
        <f>F.502</f>
        <v>55.292030703180359</v>
      </c>
    </row>
    <row r="530" spans="1:10" ht="15">
      <c r="A530" s="114"/>
      <c r="B530" s="1181" t="str">
        <f>TIT.503</f>
        <v xml:space="preserve">FL.26/304.13/04734 - CENTRAL DE UTILIDADES - MANUTENÇÃO </v>
      </c>
      <c r="C530" s="1181"/>
      <c r="D530" s="1181"/>
      <c r="E530" s="1181"/>
      <c r="F530" s="1181"/>
      <c r="G530" s="1181"/>
      <c r="H530" s="1182"/>
      <c r="I530" s="1183"/>
      <c r="J530" s="547">
        <f>F.503</f>
        <v>234.25</v>
      </c>
    </row>
    <row r="531" spans="1:10" ht="15">
      <c r="A531" s="114"/>
      <c r="B531" s="1181" t="str">
        <f>TIT.504</f>
        <v>FL.26/304.13/04738- CENTRAL DE UTILIDADES - REFEITÓRIO</v>
      </c>
      <c r="C531" s="1181"/>
      <c r="D531" s="1181"/>
      <c r="E531" s="1181"/>
      <c r="F531" s="1181"/>
      <c r="G531" s="1181"/>
      <c r="H531" s="1182"/>
      <c r="I531" s="1183"/>
      <c r="J531" s="547">
        <f>F.504</f>
        <v>425.70000000000005</v>
      </c>
    </row>
    <row r="532" spans="1:10" ht="15">
      <c r="A532" s="114"/>
      <c r="B532" s="1181" t="str">
        <f>TIT.505</f>
        <v>FL.26/304.13/04743- CENTRAL DE UTILIDADES - CAG/SUBESTAÇÃO</v>
      </c>
      <c r="C532" s="1181"/>
      <c r="D532" s="1181"/>
      <c r="E532" s="1181"/>
      <c r="F532" s="1181"/>
      <c r="G532" s="1181"/>
      <c r="H532" s="1182"/>
      <c r="I532" s="1183"/>
      <c r="J532" s="547">
        <f>F.505</f>
        <v>788.68500000000006</v>
      </c>
    </row>
    <row r="533" spans="1:10" ht="15">
      <c r="A533" s="114"/>
      <c r="B533" s="1181" t="str">
        <f>TIT.506</f>
        <v>FL.26/302.13/04751 - CENTRAL DE UTILIDADES - GUARITA</v>
      </c>
      <c r="C533" s="1181"/>
      <c r="D533" s="1181"/>
      <c r="E533" s="1181"/>
      <c r="F533" s="1181"/>
      <c r="G533" s="1181"/>
      <c r="H533" s="1182"/>
      <c r="I533" s="1183"/>
      <c r="J533" s="547">
        <f>F.506</f>
        <v>35.509500000000003</v>
      </c>
    </row>
    <row r="534" spans="1:10" ht="15">
      <c r="A534" s="114"/>
      <c r="B534" s="1181" t="str">
        <f>TIT.507</f>
        <v>FL.26/302.13/04753 - CENTRAL DE UTILIDADES - ACESSO PASSARELA TÉCNICA</v>
      </c>
      <c r="C534" s="1181"/>
      <c r="D534" s="1181"/>
      <c r="E534" s="1181"/>
      <c r="F534" s="1181"/>
      <c r="G534" s="1181"/>
      <c r="H534" s="1182"/>
      <c r="I534" s="1183"/>
      <c r="J534" s="547">
        <f>F.507</f>
        <v>52.563600000000001</v>
      </c>
    </row>
    <row r="535" spans="1:10" ht="15">
      <c r="A535" s="114"/>
      <c r="B535" s="1181" t="str">
        <f>TIT.508</f>
        <v>FL.26/304.13/04756 - CENTRAL DE UTILIDADES - OFICINA DE MANUTENÇÃO</v>
      </c>
      <c r="C535" s="1181"/>
      <c r="D535" s="1181"/>
      <c r="E535" s="1181"/>
      <c r="F535" s="1181"/>
      <c r="G535" s="1181"/>
      <c r="H535" s="1182"/>
      <c r="I535" s="1183"/>
      <c r="J535" s="547">
        <f>F.508</f>
        <v>71.89</v>
      </c>
    </row>
    <row r="536" spans="1:10" ht="15">
      <c r="A536" s="114"/>
      <c r="B536" s="1181" t="str">
        <f>TIT.509</f>
        <v>FL.26/304.13/04759- RESERVATÓRIO APOIADO DE ÁGUA POTÁVEL</v>
      </c>
      <c r="C536" s="1181"/>
      <c r="D536" s="1181"/>
      <c r="E536" s="1181"/>
      <c r="F536" s="1181"/>
      <c r="G536" s="1181"/>
      <c r="H536" s="1182"/>
      <c r="I536" s="1183"/>
      <c r="J536" s="547">
        <f>F.509</f>
        <v>154.29600000000002</v>
      </c>
    </row>
    <row r="537" spans="1:10" ht="15">
      <c r="A537" s="114"/>
      <c r="B537" s="1181" t="str">
        <f>TIT.510</f>
        <v>FL.26/304.13/04765 - RESERVATÓRIO DE ÁGUA - NORMAL E REUSO</v>
      </c>
      <c r="C537" s="1181"/>
      <c r="D537" s="1181"/>
      <c r="E537" s="1181"/>
      <c r="F537" s="1181"/>
      <c r="G537" s="1181"/>
      <c r="H537" s="1182"/>
      <c r="I537" s="1183"/>
      <c r="J537" s="561">
        <f>F.510</f>
        <v>131.637</v>
      </c>
    </row>
    <row r="538" spans="1:10" ht="15">
      <c r="A538" s="114"/>
      <c r="B538" s="1181" t="str">
        <f>TIT.511</f>
        <v>FL.17/302.13/05743 - CENTRAL DE UTILIDADES - GUARITA - ESTACIONAMENTO</v>
      </c>
      <c r="C538" s="1181"/>
      <c r="D538" s="1181"/>
      <c r="E538" s="1181"/>
      <c r="F538" s="1181"/>
      <c r="G538" s="1181"/>
      <c r="H538" s="1182"/>
      <c r="I538" s="1183"/>
      <c r="J538" s="561">
        <f>F.511</f>
        <v>23.702500000000001</v>
      </c>
    </row>
    <row r="539" spans="1:10" ht="15" customHeight="1">
      <c r="A539" s="114"/>
      <c r="B539" s="1181"/>
      <c r="C539" s="1181"/>
      <c r="D539" s="1181"/>
      <c r="E539" s="1181"/>
      <c r="F539" s="1181"/>
      <c r="G539" s="1181"/>
      <c r="H539" s="1182"/>
      <c r="I539" s="1183"/>
      <c r="J539" s="548"/>
    </row>
    <row r="540" spans="1:10" ht="15" customHeight="1" thickBot="1">
      <c r="A540" s="114"/>
      <c r="B540" s="1193" t="s">
        <v>76</v>
      </c>
      <c r="C540" s="1193"/>
      <c r="D540" s="1193"/>
      <c r="E540" s="1193"/>
      <c r="F540" s="1193"/>
      <c r="G540" s="1193"/>
      <c r="H540" s="1194"/>
      <c r="I540" s="1195"/>
      <c r="J540" s="549">
        <f>SUM(J528:J538)</f>
        <v>2067.2456307031807</v>
      </c>
    </row>
    <row r="541" spans="1:10" thickBot="1">
      <c r="A541" s="114"/>
      <c r="B541" s="1196" t="s">
        <v>77</v>
      </c>
      <c r="C541" s="1196"/>
      <c r="D541" s="1196"/>
      <c r="E541" s="1196"/>
      <c r="F541" s="1196"/>
      <c r="G541" s="1196"/>
      <c r="H541" s="1196"/>
      <c r="I541" s="1196"/>
      <c r="J541" s="550"/>
    </row>
    <row r="542" spans="1:10" ht="15">
      <c r="A542" s="114"/>
      <c r="B542" s="551" t="s">
        <v>92</v>
      </c>
      <c r="C542" s="154"/>
      <c r="D542" s="154"/>
      <c r="E542" s="154"/>
      <c r="F542" s="154"/>
      <c r="G542" s="154"/>
      <c r="H542" s="154"/>
      <c r="I542" s="154"/>
      <c r="J542" s="545"/>
    </row>
    <row r="543" spans="1:10" thickBot="1">
      <c r="A543" s="114"/>
      <c r="B543" s="155"/>
      <c r="C543" s="155"/>
      <c r="D543" s="155"/>
      <c r="E543" s="155"/>
      <c r="F543" s="155"/>
      <c r="G543" s="155"/>
      <c r="H543" s="155"/>
      <c r="I543" s="155"/>
      <c r="J543" s="552"/>
    </row>
    <row r="544" spans="1:10" thickTop="1">
      <c r="A544" s="114"/>
      <c r="B544" s="1211" t="s">
        <v>57</v>
      </c>
      <c r="C544" s="1211"/>
      <c r="D544" s="1211"/>
      <c r="E544" s="1211"/>
      <c r="F544" s="1211"/>
      <c r="G544" s="1211"/>
      <c r="H544" s="1211"/>
      <c r="I544" s="1211"/>
      <c r="J544" s="1212"/>
    </row>
    <row r="545" spans="1:10" ht="44.25" customHeight="1">
      <c r="A545" s="114"/>
      <c r="B545" s="1213" t="str">
        <f>'PSQ-INFRA'!C122</f>
        <v>Fornecimento, Dobra e Montagem de Aço CA-50</v>
      </c>
      <c r="C545" s="1213"/>
      <c r="D545" s="1213"/>
      <c r="E545" s="1213"/>
      <c r="F545" s="1213"/>
      <c r="G545" s="1213"/>
      <c r="H545" s="1213"/>
      <c r="I545" s="1213"/>
      <c r="J545" s="541"/>
    </row>
    <row r="546" spans="1:10" ht="15">
      <c r="A546" s="114"/>
      <c r="B546" s="1214" t="s">
        <v>7</v>
      </c>
      <c r="C546" s="1215"/>
      <c r="D546" s="1220" t="s">
        <v>70</v>
      </c>
      <c r="E546" s="1221"/>
      <c r="F546" s="1221"/>
      <c r="G546" s="1222"/>
      <c r="H546" s="1223" t="s">
        <v>4</v>
      </c>
      <c r="I546" s="1224"/>
      <c r="J546" s="365" t="s">
        <v>71</v>
      </c>
    </row>
    <row r="547" spans="1:10" ht="56.25" customHeight="1" thickBot="1">
      <c r="A547" s="114"/>
      <c r="B547" s="1225" t="str">
        <f>'PSQ-INFRA'!B122</f>
        <v>04.02.230.01</v>
      </c>
      <c r="C547" s="1226"/>
      <c r="D547" s="1218" t="str">
        <f>B545</f>
        <v>Fornecimento, Dobra e Montagem de Aço CA-50</v>
      </c>
      <c r="E547" s="1219"/>
      <c r="F547" s="1219"/>
      <c r="G547" s="1195"/>
      <c r="H547" s="1184" t="str">
        <f>'PSQ-INFRA'!D122</f>
        <v>kg</v>
      </c>
      <c r="I547" s="1185"/>
      <c r="J547" s="542">
        <f>J565</f>
        <v>93257</v>
      </c>
    </row>
    <row r="548" spans="1:10" ht="15">
      <c r="A548" s="114"/>
      <c r="B548" s="1186" t="s">
        <v>72</v>
      </c>
      <c r="C548" s="1186"/>
      <c r="D548" s="1186"/>
      <c r="E548" s="1186"/>
      <c r="F548" s="1186"/>
      <c r="G548" s="1186"/>
      <c r="H548" s="1186"/>
      <c r="I548" s="1186"/>
      <c r="J548" s="543"/>
    </row>
    <row r="549" spans="1:10" ht="15">
      <c r="A549" s="114"/>
      <c r="B549" s="162" t="s">
        <v>80</v>
      </c>
      <c r="C549" s="168"/>
      <c r="D549" s="168"/>
      <c r="E549" s="168"/>
      <c r="F549" s="168"/>
      <c r="G549" s="168"/>
      <c r="H549" s="162" t="str">
        <f>'Pág 2'!C25</f>
        <v>FL.01/302.92/04538 - Especificação Técnica - Concreto</v>
      </c>
      <c r="I549" s="168"/>
      <c r="J549" s="168"/>
    </row>
    <row r="550" spans="1:10" ht="15">
      <c r="A550" s="114"/>
      <c r="B550" s="163" t="s">
        <v>79</v>
      </c>
      <c r="C550" s="164"/>
      <c r="D550" s="164"/>
      <c r="E550" s="163" t="str">
        <f>'Pág 2'!C18</f>
        <v>FL.01/302.76/04537 - Memorial de Cálculo e Dimensionamento - Concreto.</v>
      </c>
      <c r="F550" s="114"/>
      <c r="G550" s="164"/>
      <c r="H550" s="164"/>
      <c r="I550" s="164"/>
      <c r="J550" s="164"/>
    </row>
    <row r="551" spans="1:10" ht="15">
      <c r="A551" s="114"/>
      <c r="B551" s="163" t="s">
        <v>1803</v>
      </c>
      <c r="C551" s="153"/>
      <c r="D551" s="153"/>
      <c r="E551" s="163"/>
      <c r="F551" s="114"/>
      <c r="G551" s="164"/>
      <c r="H551" s="164"/>
      <c r="I551" s="164"/>
      <c r="J551" s="544"/>
    </row>
    <row r="552" spans="1:10" thickBot="1">
      <c r="A552" s="114"/>
      <c r="B552" s="165"/>
      <c r="C552" s="165"/>
      <c r="D552" s="165"/>
      <c r="E552" s="153"/>
      <c r="F552" s="153"/>
      <c r="G552" s="153"/>
      <c r="H552" s="153"/>
      <c r="I552" s="153"/>
      <c r="J552" s="545"/>
    </row>
    <row r="553" spans="1:10" ht="15">
      <c r="A553" s="114"/>
      <c r="B553" s="1187" t="s">
        <v>74</v>
      </c>
      <c r="C553" s="1187"/>
      <c r="D553" s="1187"/>
      <c r="E553" s="1187"/>
      <c r="F553" s="1187"/>
      <c r="G553" s="1187"/>
      <c r="H553" s="1188"/>
      <c r="I553" s="1189"/>
      <c r="J553" s="546" t="s">
        <v>75</v>
      </c>
    </row>
    <row r="554" spans="1:10" ht="15">
      <c r="A554" s="114"/>
      <c r="B554" s="1181" t="str">
        <f>TIT.502</f>
        <v>FL.27/304.13/04721 - CAG- CENTRAL DE ÁGUA GELADA - TQ DE TERMO ACUMULAÇÃO</v>
      </c>
      <c r="C554" s="1181"/>
      <c r="D554" s="1181"/>
      <c r="E554" s="1181"/>
      <c r="F554" s="1181"/>
      <c r="G554" s="1181"/>
      <c r="H554" s="1182"/>
      <c r="I554" s="1183"/>
      <c r="J554" s="547">
        <f>A50.502</f>
        <v>29582</v>
      </c>
    </row>
    <row r="555" spans="1:10" ht="15">
      <c r="A555" s="114"/>
      <c r="B555" s="1181" t="str">
        <f>TIT.503</f>
        <v xml:space="preserve">FL.26/304.13/04734 - CENTRAL DE UTILIDADES - MANUTENÇÃO </v>
      </c>
      <c r="C555" s="1181"/>
      <c r="D555" s="1181"/>
      <c r="E555" s="1181"/>
      <c r="F555" s="1181"/>
      <c r="G555" s="1181"/>
      <c r="H555" s="1182"/>
      <c r="I555" s="1183"/>
      <c r="J555" s="547">
        <f>A50.503</f>
        <v>2287</v>
      </c>
    </row>
    <row r="556" spans="1:10" ht="15">
      <c r="A556" s="114"/>
      <c r="B556" s="1181" t="str">
        <f>TIT.504</f>
        <v>FL.26/304.13/04738- CENTRAL DE UTILIDADES - REFEITÓRIO</v>
      </c>
      <c r="C556" s="1181"/>
      <c r="D556" s="1181"/>
      <c r="E556" s="1181"/>
      <c r="F556" s="1181"/>
      <c r="G556" s="1181"/>
      <c r="H556" s="1182"/>
      <c r="I556" s="1183"/>
      <c r="J556" s="547">
        <f>A50.504</f>
        <v>7212</v>
      </c>
    </row>
    <row r="557" spans="1:10" ht="15">
      <c r="A557" s="114"/>
      <c r="B557" s="1181" t="str">
        <f>TIT.505</f>
        <v>FL.26/304.13/04743- CENTRAL DE UTILIDADES - CAG/SUBESTAÇÃO</v>
      </c>
      <c r="C557" s="1181"/>
      <c r="D557" s="1181"/>
      <c r="E557" s="1181"/>
      <c r="F557" s="1181"/>
      <c r="G557" s="1181"/>
      <c r="H557" s="1182"/>
      <c r="I557" s="1183"/>
      <c r="J557" s="547">
        <f>A50.505</f>
        <v>20541</v>
      </c>
    </row>
    <row r="558" spans="1:10" ht="15">
      <c r="A558" s="114"/>
      <c r="B558" s="1181" t="str">
        <f>TIT.506</f>
        <v>FL.26/302.13/04751 - CENTRAL DE UTILIDADES - GUARITA</v>
      </c>
      <c r="C558" s="1181"/>
      <c r="D558" s="1181"/>
      <c r="E558" s="1181"/>
      <c r="F558" s="1181"/>
      <c r="G558" s="1181"/>
      <c r="H558" s="1182"/>
      <c r="I558" s="1183"/>
      <c r="J558" s="547">
        <f>A50.506</f>
        <v>634</v>
      </c>
    </row>
    <row r="559" spans="1:10" ht="15">
      <c r="A559" s="114"/>
      <c r="B559" s="1181" t="str">
        <f>TIT.507</f>
        <v>FL.26/302.13/04753 - CENTRAL DE UTILIDADES - ACESSO PASSARELA TÉCNICA</v>
      </c>
      <c r="C559" s="1181"/>
      <c r="D559" s="1181"/>
      <c r="E559" s="1181"/>
      <c r="F559" s="1181"/>
      <c r="G559" s="1181"/>
      <c r="H559" s="1182"/>
      <c r="I559" s="1183"/>
      <c r="J559" s="547">
        <f>A50.507</f>
        <v>476</v>
      </c>
    </row>
    <row r="560" spans="1:10" ht="15">
      <c r="A560" s="114"/>
      <c r="B560" s="1181" t="str">
        <f>TIT.508</f>
        <v>FL.26/304.13/04756 - CENTRAL DE UTILIDADES - OFICINA DE MANUTENÇÃO</v>
      </c>
      <c r="C560" s="1181"/>
      <c r="D560" s="1181"/>
      <c r="E560" s="1181"/>
      <c r="F560" s="1181"/>
      <c r="G560" s="1181"/>
      <c r="H560" s="1182"/>
      <c r="I560" s="1183"/>
      <c r="J560" s="547">
        <f>A50.508</f>
        <v>628</v>
      </c>
    </row>
    <row r="561" spans="1:10" ht="15">
      <c r="A561" s="114"/>
      <c r="B561" s="1181" t="str">
        <f>TIT.509</f>
        <v>FL.26/304.13/04759- RESERVATÓRIO APOIADO DE ÁGUA POTÁVEL</v>
      </c>
      <c r="C561" s="1181"/>
      <c r="D561" s="1181"/>
      <c r="E561" s="1181"/>
      <c r="F561" s="1181"/>
      <c r="G561" s="1181"/>
      <c r="H561" s="1182"/>
      <c r="I561" s="1183"/>
      <c r="J561" s="547">
        <f>A50.509</f>
        <v>8908</v>
      </c>
    </row>
    <row r="562" spans="1:10" ht="15">
      <c r="A562" s="114"/>
      <c r="B562" s="1181" t="str">
        <f>TIT.510</f>
        <v>FL.26/304.13/04765 - RESERVATÓRIO DE ÁGUA - NORMAL E REUSO</v>
      </c>
      <c r="C562" s="1181"/>
      <c r="D562" s="1181"/>
      <c r="E562" s="1181"/>
      <c r="F562" s="1181"/>
      <c r="G562" s="1181"/>
      <c r="H562" s="1182"/>
      <c r="I562" s="1183"/>
      <c r="J562" s="561">
        <f>A50.510</f>
        <v>22781</v>
      </c>
    </row>
    <row r="563" spans="1:10" ht="15">
      <c r="A563" s="114"/>
      <c r="B563" s="1181" t="str">
        <f>TIT.511</f>
        <v>FL.17/302.13/05743 - CENTRAL DE UTILIDADES - GUARITA - ESTACIONAMENTO</v>
      </c>
      <c r="C563" s="1181"/>
      <c r="D563" s="1181"/>
      <c r="E563" s="1181"/>
      <c r="F563" s="1181"/>
      <c r="G563" s="1181"/>
      <c r="H563" s="1182"/>
      <c r="I563" s="1183"/>
      <c r="J563" s="561">
        <f>A50.511</f>
        <v>208</v>
      </c>
    </row>
    <row r="564" spans="1:10" ht="15" customHeight="1">
      <c r="A564" s="114"/>
      <c r="B564" s="1181"/>
      <c r="C564" s="1181"/>
      <c r="D564" s="1181"/>
      <c r="E564" s="1181"/>
      <c r="F564" s="1181"/>
      <c r="G564" s="1181"/>
      <c r="H564" s="1182"/>
      <c r="I564" s="1183"/>
      <c r="J564" s="548"/>
    </row>
    <row r="565" spans="1:10" ht="15" customHeight="1" thickBot="1">
      <c r="A565" s="114"/>
      <c r="B565" s="1193" t="s">
        <v>76</v>
      </c>
      <c r="C565" s="1193"/>
      <c r="D565" s="1193"/>
      <c r="E565" s="1193"/>
      <c r="F565" s="1193"/>
      <c r="G565" s="1193"/>
      <c r="H565" s="1194"/>
      <c r="I565" s="1195"/>
      <c r="J565" s="549">
        <f>SUM(J554:J563)</f>
        <v>93257</v>
      </c>
    </row>
    <row r="566" spans="1:10" thickBot="1">
      <c r="A566" s="114"/>
      <c r="B566" s="1196" t="s">
        <v>77</v>
      </c>
      <c r="C566" s="1196"/>
      <c r="D566" s="1196"/>
      <c r="E566" s="1196"/>
      <c r="F566" s="1196"/>
      <c r="G566" s="1196"/>
      <c r="H566" s="1196"/>
      <c r="I566" s="1196"/>
      <c r="J566" s="550"/>
    </row>
    <row r="567" spans="1:10" ht="15">
      <c r="A567" s="114"/>
      <c r="B567" s="551" t="s">
        <v>92</v>
      </c>
      <c r="C567" s="154"/>
      <c r="D567" s="154"/>
      <c r="E567" s="154"/>
      <c r="F567" s="154"/>
      <c r="G567" s="154"/>
      <c r="H567" s="154"/>
      <c r="I567" s="154"/>
      <c r="J567" s="545"/>
    </row>
    <row r="568" spans="1:10" thickBot="1">
      <c r="A568" s="114"/>
      <c r="B568" s="155"/>
      <c r="C568" s="155"/>
      <c r="D568" s="155"/>
      <c r="E568" s="155"/>
      <c r="F568" s="155"/>
      <c r="G568" s="155"/>
      <c r="H568" s="155"/>
      <c r="I568" s="155"/>
      <c r="J568" s="552"/>
    </row>
    <row r="569" spans="1:10" thickTop="1">
      <c r="A569" s="114"/>
      <c r="B569" s="1211" t="s">
        <v>57</v>
      </c>
      <c r="C569" s="1211"/>
      <c r="D569" s="1211"/>
      <c r="E569" s="1211"/>
      <c r="F569" s="1211"/>
      <c r="G569" s="1211"/>
      <c r="H569" s="1211"/>
      <c r="I569" s="1211"/>
      <c r="J569" s="1212"/>
    </row>
    <row r="570" spans="1:10" ht="44.25" customHeight="1">
      <c r="A570" s="114"/>
      <c r="B570" s="1213" t="str">
        <f>'PSQ-INFRA'!C124</f>
        <v>Fornecimento, Dobra e Montagem de Aço CA-60</v>
      </c>
      <c r="C570" s="1213"/>
      <c r="D570" s="1213"/>
      <c r="E570" s="1213"/>
      <c r="F570" s="1213"/>
      <c r="G570" s="1213"/>
      <c r="H570" s="1213"/>
      <c r="I570" s="1213"/>
      <c r="J570" s="541"/>
    </row>
    <row r="571" spans="1:10" ht="15">
      <c r="A571" s="114"/>
      <c r="B571" s="1214" t="s">
        <v>7</v>
      </c>
      <c r="C571" s="1215"/>
      <c r="D571" s="1220" t="s">
        <v>70</v>
      </c>
      <c r="E571" s="1221"/>
      <c r="F571" s="1221"/>
      <c r="G571" s="1222"/>
      <c r="H571" s="1223" t="s">
        <v>4</v>
      </c>
      <c r="I571" s="1224"/>
      <c r="J571" s="365" t="s">
        <v>71</v>
      </c>
    </row>
    <row r="572" spans="1:10" ht="56.25" customHeight="1" thickBot="1">
      <c r="A572" s="114"/>
      <c r="B572" s="1225" t="str">
        <f>'PSQ-INFRA'!B124</f>
        <v>04.02.230.02</v>
      </c>
      <c r="C572" s="1226"/>
      <c r="D572" s="1218" t="str">
        <f>B570</f>
        <v>Fornecimento, Dobra e Montagem de Aço CA-60</v>
      </c>
      <c r="E572" s="1219"/>
      <c r="F572" s="1219"/>
      <c r="G572" s="1195"/>
      <c r="H572" s="1184" t="str">
        <f>'PSQ-INFRA'!D124</f>
        <v>kg</v>
      </c>
      <c r="I572" s="1185"/>
      <c r="J572" s="542">
        <f>J582</f>
        <v>52</v>
      </c>
    </row>
    <row r="573" spans="1:10" ht="15">
      <c r="A573" s="114"/>
      <c r="B573" s="1186" t="s">
        <v>72</v>
      </c>
      <c r="C573" s="1186"/>
      <c r="D573" s="1186"/>
      <c r="E573" s="1186"/>
      <c r="F573" s="1186"/>
      <c r="G573" s="1186"/>
      <c r="H573" s="1186"/>
      <c r="I573" s="1186"/>
      <c r="J573" s="543"/>
    </row>
    <row r="574" spans="1:10" ht="15">
      <c r="A574" s="114"/>
      <c r="B574" s="162" t="s">
        <v>80</v>
      </c>
      <c r="C574" s="168"/>
      <c r="D574" s="168"/>
      <c r="E574" s="168"/>
      <c r="F574" s="168"/>
      <c r="G574" s="168"/>
      <c r="H574" s="162" t="str">
        <f>'Pág 2'!C25</f>
        <v>FL.01/302.92/04538 - Especificação Técnica - Concreto</v>
      </c>
      <c r="I574" s="168"/>
      <c r="J574" s="168"/>
    </row>
    <row r="575" spans="1:10" ht="15">
      <c r="A575" s="114"/>
      <c r="B575" s="163" t="s">
        <v>79</v>
      </c>
      <c r="C575" s="164"/>
      <c r="D575" s="164"/>
      <c r="E575" s="163" t="str">
        <f>'Pág 2'!C18</f>
        <v>FL.01/302.76/04537 - Memorial de Cálculo e Dimensionamento - Concreto.</v>
      </c>
      <c r="F575" s="114"/>
      <c r="G575" s="164"/>
      <c r="H575" s="164"/>
      <c r="I575" s="164"/>
      <c r="J575" s="164"/>
    </row>
    <row r="576" spans="1:10" ht="15">
      <c r="A576" s="114"/>
      <c r="B576" s="163" t="s">
        <v>1803</v>
      </c>
      <c r="C576" s="153"/>
      <c r="D576" s="153"/>
      <c r="E576" s="163"/>
      <c r="F576" s="114"/>
      <c r="G576" s="164"/>
      <c r="H576" s="164"/>
      <c r="I576" s="164"/>
      <c r="J576" s="544"/>
    </row>
    <row r="577" spans="1:10" thickBot="1">
      <c r="A577" s="114"/>
      <c r="B577" s="165"/>
      <c r="C577" s="165"/>
      <c r="D577" s="165"/>
      <c r="E577" s="153"/>
      <c r="F577" s="153"/>
      <c r="G577" s="153"/>
      <c r="H577" s="153"/>
      <c r="I577" s="153"/>
      <c r="J577" s="545"/>
    </row>
    <row r="578" spans="1:10" ht="15">
      <c r="A578" s="114"/>
      <c r="B578" s="1187" t="s">
        <v>74</v>
      </c>
      <c r="C578" s="1187"/>
      <c r="D578" s="1187"/>
      <c r="E578" s="1187"/>
      <c r="F578" s="1187"/>
      <c r="G578" s="1187"/>
      <c r="H578" s="1188"/>
      <c r="I578" s="1189"/>
      <c r="J578" s="546" t="s">
        <v>75</v>
      </c>
    </row>
    <row r="579" spans="1:10" ht="15">
      <c r="A579" s="114"/>
      <c r="B579" s="1181" t="str">
        <f>TIT.504</f>
        <v>FL.26/304.13/04738- CENTRAL DE UTILIDADES - REFEITÓRIO</v>
      </c>
      <c r="C579" s="1181"/>
      <c r="D579" s="1181"/>
      <c r="E579" s="1181"/>
      <c r="F579" s="1181"/>
      <c r="G579" s="1181"/>
      <c r="H579" s="1182"/>
      <c r="I579" s="1183"/>
      <c r="J579" s="547">
        <f>A60.504</f>
        <v>19</v>
      </c>
    </row>
    <row r="580" spans="1:10" ht="15">
      <c r="A580" s="114"/>
      <c r="B580" s="1181" t="str">
        <f>TIT.505</f>
        <v>FL.26/304.13/04743- CENTRAL DE UTILIDADES - CAG/SUBESTAÇÃO</v>
      </c>
      <c r="C580" s="1181"/>
      <c r="D580" s="1181"/>
      <c r="E580" s="1181"/>
      <c r="F580" s="1181"/>
      <c r="G580" s="1181"/>
      <c r="H580" s="1182"/>
      <c r="I580" s="1183"/>
      <c r="J580" s="547">
        <f>A60.505</f>
        <v>33</v>
      </c>
    </row>
    <row r="581" spans="1:10" ht="15" customHeight="1">
      <c r="A581" s="114"/>
      <c r="B581" s="1181"/>
      <c r="C581" s="1181"/>
      <c r="D581" s="1181"/>
      <c r="E581" s="1181"/>
      <c r="F581" s="1181"/>
      <c r="G581" s="1181"/>
      <c r="H581" s="1182"/>
      <c r="I581" s="1183"/>
      <c r="J581" s="548"/>
    </row>
    <row r="582" spans="1:10" ht="15" customHeight="1" thickBot="1">
      <c r="A582" s="114"/>
      <c r="B582" s="1193" t="s">
        <v>76</v>
      </c>
      <c r="C582" s="1193"/>
      <c r="D582" s="1193"/>
      <c r="E582" s="1193"/>
      <c r="F582" s="1193"/>
      <c r="G582" s="1193"/>
      <c r="H582" s="1194"/>
      <c r="I582" s="1195"/>
      <c r="J582" s="549">
        <f>SUM(J579:J580)</f>
        <v>52</v>
      </c>
    </row>
    <row r="583" spans="1:10" thickBot="1">
      <c r="A583" s="114"/>
      <c r="B583" s="1196" t="s">
        <v>77</v>
      </c>
      <c r="C583" s="1196"/>
      <c r="D583" s="1196"/>
      <c r="E583" s="1196"/>
      <c r="F583" s="1196"/>
      <c r="G583" s="1196"/>
      <c r="H583" s="1196"/>
      <c r="I583" s="1196"/>
      <c r="J583" s="550"/>
    </row>
    <row r="584" spans="1:10" ht="15">
      <c r="A584" s="114"/>
      <c r="B584" s="551" t="s">
        <v>92</v>
      </c>
      <c r="C584" s="154"/>
      <c r="D584" s="154"/>
      <c r="E584" s="154"/>
      <c r="F584" s="154"/>
      <c r="G584" s="154"/>
      <c r="H584" s="154"/>
      <c r="I584" s="154"/>
      <c r="J584" s="545"/>
    </row>
    <row r="585" spans="1:10" thickBot="1">
      <c r="A585" s="114"/>
      <c r="B585" s="155"/>
      <c r="C585" s="155"/>
      <c r="D585" s="155"/>
      <c r="E585" s="155"/>
      <c r="F585" s="155"/>
      <c r="G585" s="155"/>
      <c r="H585" s="155"/>
      <c r="I585" s="155"/>
      <c r="J585" s="552"/>
    </row>
    <row r="586" spans="1:10" thickTop="1">
      <c r="A586" s="114"/>
      <c r="B586" s="1211" t="s">
        <v>57</v>
      </c>
      <c r="C586" s="1211"/>
      <c r="D586" s="1211"/>
      <c r="E586" s="1211"/>
      <c r="F586" s="1211"/>
      <c r="G586" s="1211"/>
      <c r="H586" s="1211"/>
      <c r="I586" s="1211"/>
      <c r="J586" s="1212"/>
    </row>
    <row r="587" spans="1:10" ht="44.25" customHeight="1">
      <c r="A587" s="114"/>
      <c r="B587" s="1213" t="str">
        <f>'PSQ-INFRA'!C130</f>
        <v>Fornecimento e Aplicação de Concreto (fck=30MPa)</v>
      </c>
      <c r="C587" s="1213"/>
      <c r="D587" s="1213"/>
      <c r="E587" s="1213"/>
      <c r="F587" s="1213"/>
      <c r="G587" s="1213"/>
      <c r="H587" s="1213"/>
      <c r="I587" s="1213"/>
      <c r="J587" s="541"/>
    </row>
    <row r="588" spans="1:10" ht="15">
      <c r="A588" s="114"/>
      <c r="B588" s="1214" t="s">
        <v>7</v>
      </c>
      <c r="C588" s="1215"/>
      <c r="D588" s="1220" t="s">
        <v>70</v>
      </c>
      <c r="E588" s="1221"/>
      <c r="F588" s="1221"/>
      <c r="G588" s="1222"/>
      <c r="H588" s="1223" t="s">
        <v>4</v>
      </c>
      <c r="I588" s="1224"/>
      <c r="J588" s="365" t="s">
        <v>71</v>
      </c>
    </row>
    <row r="589" spans="1:10" ht="56.25" customHeight="1" thickBot="1">
      <c r="A589" s="114"/>
      <c r="B589" s="1225" t="str">
        <f>'PSQ-INFRA'!B130</f>
        <v>04.02.240.01</v>
      </c>
      <c r="C589" s="1226"/>
      <c r="D589" s="1218" t="str">
        <f>B587</f>
        <v>Fornecimento e Aplicação de Concreto (fck=30MPa)</v>
      </c>
      <c r="E589" s="1219"/>
      <c r="F589" s="1219"/>
      <c r="G589" s="1195"/>
      <c r="H589" s="1184" t="str">
        <f>'PSQ-INFRA'!D130</f>
        <v>m³</v>
      </c>
      <c r="I589" s="1185"/>
      <c r="J589" s="542">
        <f>J608</f>
        <v>668.91168721687313</v>
      </c>
    </row>
    <row r="590" spans="1:10" ht="15">
      <c r="A590" s="114"/>
      <c r="B590" s="1186" t="s">
        <v>72</v>
      </c>
      <c r="C590" s="1186"/>
      <c r="D590" s="1186"/>
      <c r="E590" s="1186"/>
      <c r="F590" s="1186"/>
      <c r="G590" s="1186"/>
      <c r="H590" s="1186"/>
      <c r="I590" s="1186"/>
      <c r="J590" s="543"/>
    </row>
    <row r="591" spans="1:10" ht="15">
      <c r="A591" s="114"/>
      <c r="B591" s="162" t="s">
        <v>80</v>
      </c>
      <c r="C591" s="168"/>
      <c r="D591" s="168"/>
      <c r="E591" s="168"/>
      <c r="F591" s="168"/>
      <c r="G591" s="168"/>
      <c r="H591" s="162" t="str">
        <f>'Pág 2'!C25</f>
        <v>FL.01/302.92/04538 - Especificação Técnica - Concreto</v>
      </c>
      <c r="I591" s="168"/>
      <c r="J591" s="168"/>
    </row>
    <row r="592" spans="1:10" ht="15">
      <c r="A592" s="114"/>
      <c r="B592" s="163" t="s">
        <v>79</v>
      </c>
      <c r="C592" s="164"/>
      <c r="D592" s="164"/>
      <c r="E592" s="163" t="str">
        <f>'Pág 2'!C18</f>
        <v>FL.01/302.76/04537 - Memorial de Cálculo e Dimensionamento - Concreto.</v>
      </c>
      <c r="F592" s="114"/>
      <c r="G592" s="164"/>
      <c r="H592" s="164"/>
      <c r="I592" s="164"/>
      <c r="J592" s="164"/>
    </row>
    <row r="593" spans="1:10" ht="15">
      <c r="A593" s="114"/>
      <c r="B593" s="163" t="s">
        <v>73</v>
      </c>
      <c r="C593" s="153"/>
      <c r="D593" s="153"/>
      <c r="E593" s="163"/>
      <c r="F593" s="114"/>
      <c r="G593" s="164"/>
      <c r="H593" s="164"/>
      <c r="I593" s="164"/>
      <c r="J593" s="544"/>
    </row>
    <row r="594" spans="1:10" thickBot="1">
      <c r="A594" s="114"/>
      <c r="B594" s="165"/>
      <c r="C594" s="165"/>
      <c r="D594" s="165"/>
      <c r="E594" s="153"/>
      <c r="F594" s="153"/>
      <c r="G594" s="153"/>
      <c r="H594" s="153"/>
      <c r="I594" s="153"/>
      <c r="J594" s="545"/>
    </row>
    <row r="595" spans="1:10" ht="15">
      <c r="A595" s="114"/>
      <c r="B595" s="1187" t="s">
        <v>74</v>
      </c>
      <c r="C595" s="1187"/>
      <c r="D595" s="1187"/>
      <c r="E595" s="1187"/>
      <c r="F595" s="1187"/>
      <c r="G595" s="1187"/>
      <c r="H595" s="1188"/>
      <c r="I595" s="1189"/>
      <c r="J595" s="546" t="s">
        <v>75</v>
      </c>
    </row>
    <row r="596" spans="1:10" ht="15">
      <c r="A596" s="114"/>
      <c r="B596" s="1181" t="str">
        <f>TIT.501</f>
        <v>FL.27/304.13/04720 - CAG- CENTRAL DE ÁGUA GELADA - TORRES DE RESFRIAMENTO</v>
      </c>
      <c r="C596" s="1181"/>
      <c r="D596" s="1181"/>
      <c r="E596" s="1181"/>
      <c r="F596" s="1181"/>
      <c r="G596" s="1181"/>
      <c r="H596" s="1182"/>
      <c r="I596" s="1183"/>
      <c r="J596" s="547">
        <f>C.501</f>
        <v>134.38800000000001</v>
      </c>
    </row>
    <row r="597" spans="1:10" ht="15">
      <c r="A597" s="114"/>
      <c r="B597" s="1181" t="str">
        <f>TIT.502</f>
        <v>FL.27/304.13/04721 - CAG- CENTRAL DE ÁGUA GELADA - TQ DE TERMO ACUMULAÇÃO</v>
      </c>
      <c r="C597" s="1181"/>
      <c r="D597" s="1181"/>
      <c r="E597" s="1181"/>
      <c r="F597" s="1181"/>
      <c r="G597" s="1181"/>
      <c r="H597" s="1182"/>
      <c r="I597" s="1183"/>
      <c r="J597" s="547">
        <f>C.502</f>
        <v>76.026542216872997</v>
      </c>
    </row>
    <row r="598" spans="1:10" ht="15">
      <c r="A598" s="114"/>
      <c r="B598" s="1181" t="str">
        <f>TIT.503</f>
        <v xml:space="preserve">FL.26/304.13/04734 - CENTRAL DE UTILIDADES - MANUTENÇÃO </v>
      </c>
      <c r="C598" s="1181"/>
      <c r="D598" s="1181"/>
      <c r="E598" s="1181"/>
      <c r="F598" s="1181"/>
      <c r="G598" s="1181"/>
      <c r="H598" s="1182"/>
      <c r="I598" s="1183"/>
      <c r="J598" s="547">
        <f>C.503</f>
        <v>29.438750000000002</v>
      </c>
    </row>
    <row r="599" spans="1:10" ht="15">
      <c r="A599" s="114"/>
      <c r="B599" s="1181" t="str">
        <f>TIT.504</f>
        <v>FL.26/304.13/04738- CENTRAL DE UTILIDADES - REFEITÓRIO</v>
      </c>
      <c r="C599" s="1181"/>
      <c r="D599" s="1181"/>
      <c r="E599" s="1181"/>
      <c r="F599" s="1181"/>
      <c r="G599" s="1181"/>
      <c r="H599" s="1182"/>
      <c r="I599" s="1183"/>
      <c r="J599" s="547">
        <f>C.504</f>
        <v>48.456250000000004</v>
      </c>
    </row>
    <row r="600" spans="1:10" ht="15">
      <c r="A600" s="114"/>
      <c r="B600" s="1181" t="str">
        <f>TIT.505</f>
        <v>FL.26/304.13/04743- CENTRAL DE UTILIDADES - CAG/SUBESTAÇÃO</v>
      </c>
      <c r="C600" s="1181"/>
      <c r="D600" s="1181"/>
      <c r="E600" s="1181"/>
      <c r="F600" s="1181"/>
      <c r="G600" s="1181"/>
      <c r="H600" s="1182"/>
      <c r="I600" s="1183"/>
      <c r="J600" s="547">
        <f>C.505</f>
        <v>252.990735</v>
      </c>
    </row>
    <row r="601" spans="1:10" ht="15">
      <c r="A601" s="114"/>
      <c r="B601" s="1181" t="str">
        <f>TIT.506</f>
        <v>FL.26/302.13/04751 - CENTRAL DE UTILIDADES - GUARITA</v>
      </c>
      <c r="C601" s="1181"/>
      <c r="D601" s="1181"/>
      <c r="E601" s="1181"/>
      <c r="F601" s="1181"/>
      <c r="G601" s="1181"/>
      <c r="H601" s="1182"/>
      <c r="I601" s="1183"/>
      <c r="J601" s="547">
        <f>C.506</f>
        <v>9.4109499999999997</v>
      </c>
    </row>
    <row r="602" spans="1:10" ht="15">
      <c r="A602" s="114"/>
      <c r="B602" s="1181" t="str">
        <f>TIT.507</f>
        <v>FL.26/302.13/04753 - CENTRAL DE UTILIDADES - ACESSO PASSARELA TÉCNICA</v>
      </c>
      <c r="C602" s="1181"/>
      <c r="D602" s="1181"/>
      <c r="E602" s="1181"/>
      <c r="F602" s="1181"/>
      <c r="G602" s="1181"/>
      <c r="H602" s="1182"/>
      <c r="I602" s="1183"/>
      <c r="J602" s="547">
        <f>C.507</f>
        <v>6.5727100000000007</v>
      </c>
    </row>
    <row r="603" spans="1:10" ht="15">
      <c r="A603" s="114"/>
      <c r="B603" s="1181" t="str">
        <f>TIT.508</f>
        <v>FL.26/304.13/04756 - CENTRAL DE UTILIDADES - OFICINA DE MANUTENÇÃO</v>
      </c>
      <c r="C603" s="1181"/>
      <c r="D603" s="1181"/>
      <c r="E603" s="1181"/>
      <c r="F603" s="1181"/>
      <c r="G603" s="1181"/>
      <c r="H603" s="1182"/>
      <c r="I603" s="1183"/>
      <c r="J603" s="547">
        <f>C.508</f>
        <v>8.5914999999999999</v>
      </c>
    </row>
    <row r="604" spans="1:10" ht="15">
      <c r="A604" s="114"/>
      <c r="B604" s="1181" t="str">
        <f>TIT.509</f>
        <v>FL.26/304.13/04759- RESERVATÓRIO APOIADO DE ÁGUA POTÁVEL</v>
      </c>
      <c r="C604" s="1181"/>
      <c r="D604" s="1181"/>
      <c r="E604" s="1181"/>
      <c r="F604" s="1181"/>
      <c r="G604" s="1181"/>
      <c r="H604" s="1182"/>
      <c r="I604" s="1183"/>
      <c r="J604" s="547">
        <f>C.509</f>
        <v>24.860800000000005</v>
      </c>
    </row>
    <row r="605" spans="1:10" ht="15">
      <c r="A605" s="114"/>
      <c r="B605" s="1181" t="str">
        <f>TIT.510</f>
        <v>FL.26/304.13/04765 - RESERVATÓRIO DE ÁGUA - NORMAL E REUSO</v>
      </c>
      <c r="C605" s="1181"/>
      <c r="D605" s="1181"/>
      <c r="E605" s="1181"/>
      <c r="F605" s="1181"/>
      <c r="G605" s="1181"/>
      <c r="H605" s="1182"/>
      <c r="I605" s="1183"/>
      <c r="J605" s="561">
        <f>C.510</f>
        <v>75.645200000000003</v>
      </c>
    </row>
    <row r="606" spans="1:10" ht="15">
      <c r="A606" s="114"/>
      <c r="B606" s="1181" t="str">
        <f>TIT.511</f>
        <v>FL.17/302.13/05743 - CENTRAL DE UTILIDADES - GUARITA - ESTACIONAMENTO</v>
      </c>
      <c r="C606" s="1181"/>
      <c r="D606" s="1181"/>
      <c r="E606" s="1181"/>
      <c r="F606" s="1181"/>
      <c r="G606" s="1181"/>
      <c r="H606" s="1182"/>
      <c r="I606" s="1183"/>
      <c r="J606" s="561">
        <f>C.511</f>
        <v>2.5302500000000006</v>
      </c>
    </row>
    <row r="607" spans="1:10" ht="15" customHeight="1">
      <c r="A607" s="114"/>
      <c r="B607" s="1181"/>
      <c r="C607" s="1181"/>
      <c r="D607" s="1181"/>
      <c r="E607" s="1181"/>
      <c r="F607" s="1181"/>
      <c r="G607" s="1181"/>
      <c r="H607" s="1182"/>
      <c r="I607" s="1183"/>
      <c r="J607" s="548"/>
    </row>
    <row r="608" spans="1:10" ht="15" customHeight="1" thickBot="1">
      <c r="A608" s="114"/>
      <c r="B608" s="1193" t="s">
        <v>76</v>
      </c>
      <c r="C608" s="1193"/>
      <c r="D608" s="1193"/>
      <c r="E608" s="1193"/>
      <c r="F608" s="1193"/>
      <c r="G608" s="1193"/>
      <c r="H608" s="1194"/>
      <c r="I608" s="1195"/>
      <c r="J608" s="549">
        <f>SUM(J596:J606)</f>
        <v>668.91168721687313</v>
      </c>
    </row>
    <row r="609" spans="1:10" thickBot="1">
      <c r="A609" s="114"/>
      <c r="B609" s="1196" t="s">
        <v>77</v>
      </c>
      <c r="C609" s="1196"/>
      <c r="D609" s="1196"/>
      <c r="E609" s="1196"/>
      <c r="F609" s="1196"/>
      <c r="G609" s="1196"/>
      <c r="H609" s="1196"/>
      <c r="I609" s="1196"/>
      <c r="J609" s="550"/>
    </row>
    <row r="610" spans="1:10" ht="15">
      <c r="A610" s="114"/>
      <c r="B610" s="551" t="s">
        <v>92</v>
      </c>
      <c r="C610" s="154"/>
      <c r="D610" s="154"/>
      <c r="E610" s="154"/>
      <c r="F610" s="154"/>
      <c r="G610" s="154"/>
      <c r="H610" s="154"/>
      <c r="I610" s="154"/>
      <c r="J610" s="545"/>
    </row>
    <row r="611" spans="1:10" thickBot="1">
      <c r="A611" s="114"/>
      <c r="B611" s="162"/>
      <c r="C611" s="154"/>
      <c r="D611" s="154"/>
      <c r="E611" s="154"/>
      <c r="F611" s="154"/>
      <c r="G611" s="154"/>
      <c r="H611" s="154"/>
      <c r="I611" s="154"/>
      <c r="J611" s="545"/>
    </row>
    <row r="612" spans="1:10" s="367" customFormat="1" ht="21" customHeight="1" thickTop="1">
      <c r="B612" s="557"/>
      <c r="C612" s="375"/>
      <c r="D612" s="376"/>
      <c r="E612" s="376"/>
      <c r="F612" s="375"/>
      <c r="G612" s="377"/>
      <c r="H612" s="377"/>
      <c r="I612" s="377"/>
      <c r="J612" s="558"/>
    </row>
    <row r="613" spans="1:10" s="367" customFormat="1" ht="21" customHeight="1">
      <c r="B613" s="540" t="s">
        <v>1089</v>
      </c>
      <c r="C613" s="371"/>
      <c r="D613" s="372"/>
      <c r="E613" s="372"/>
      <c r="F613" s="371"/>
      <c r="J613" s="539"/>
    </row>
    <row r="614" spans="1:10" s="367" customFormat="1" ht="21" customHeight="1" thickBot="1">
      <c r="B614" s="559"/>
      <c r="C614" s="378"/>
      <c r="D614" s="379"/>
      <c r="E614" s="379"/>
      <c r="F614" s="378"/>
      <c r="G614" s="380"/>
      <c r="H614" s="380"/>
      <c r="I614" s="380"/>
      <c r="J614" s="560"/>
    </row>
    <row r="615" spans="1:10" thickTop="1">
      <c r="A615" s="114"/>
      <c r="B615" s="1211" t="s">
        <v>57</v>
      </c>
      <c r="C615" s="1211"/>
      <c r="D615" s="1211"/>
      <c r="E615" s="1211"/>
      <c r="F615" s="1211"/>
      <c r="G615" s="1211"/>
      <c r="H615" s="1211"/>
      <c r="I615" s="1211"/>
      <c r="J615" s="1212"/>
    </row>
    <row r="616" spans="1:10" ht="44.25" customHeight="1">
      <c r="A616" s="114"/>
      <c r="B616" s="1213" t="str">
        <f>'PSQ-INFRA'!C141</f>
        <v>Escavação Mecanizada</v>
      </c>
      <c r="C616" s="1213"/>
      <c r="D616" s="1213"/>
      <c r="E616" s="1213"/>
      <c r="F616" s="1213"/>
      <c r="G616" s="1213"/>
      <c r="H616" s="1213"/>
      <c r="I616" s="1213"/>
      <c r="J616" s="541"/>
    </row>
    <row r="617" spans="1:10" ht="15">
      <c r="A617" s="114"/>
      <c r="B617" s="1214" t="s">
        <v>7</v>
      </c>
      <c r="C617" s="1215"/>
      <c r="D617" s="1220" t="s">
        <v>70</v>
      </c>
      <c r="E617" s="1221"/>
      <c r="F617" s="1221"/>
      <c r="G617" s="1222"/>
      <c r="H617" s="1223" t="s">
        <v>4</v>
      </c>
      <c r="I617" s="1224"/>
      <c r="J617" s="365" t="s">
        <v>71</v>
      </c>
    </row>
    <row r="618" spans="1:10" ht="56.25" customHeight="1" thickBot="1">
      <c r="A618" s="114"/>
      <c r="B618" s="1225" t="str">
        <f>'PSQ-INFRA'!B141</f>
        <v>04.01.100.02</v>
      </c>
      <c r="C618" s="1226"/>
      <c r="D618" s="1218" t="str">
        <f>B616</f>
        <v>Escavação Mecanizada</v>
      </c>
      <c r="E618" s="1219"/>
      <c r="F618" s="1219"/>
      <c r="G618" s="1195"/>
      <c r="H618" s="1184" t="str">
        <f>'PSQ-INFRA'!D141</f>
        <v>m³</v>
      </c>
      <c r="I618" s="1185"/>
      <c r="J618" s="542">
        <f>J627</f>
        <v>20580.091319074952</v>
      </c>
    </row>
    <row r="619" spans="1:10" ht="15">
      <c r="A619" s="114"/>
      <c r="B619" s="1186" t="s">
        <v>72</v>
      </c>
      <c r="C619" s="1186"/>
      <c r="D619" s="1186"/>
      <c r="E619" s="1186"/>
      <c r="F619" s="1186"/>
      <c r="G619" s="1186"/>
      <c r="H619" s="1186"/>
      <c r="I619" s="1186"/>
      <c r="J619" s="543"/>
    </row>
    <row r="620" spans="1:10" ht="15">
      <c r="A620" s="114"/>
      <c r="B620" s="162" t="s">
        <v>80</v>
      </c>
      <c r="C620" s="168"/>
      <c r="D620" s="168"/>
      <c r="E620" s="168"/>
      <c r="F620" s="168"/>
      <c r="G620" s="168"/>
      <c r="H620" s="162" t="str">
        <f>'Pág 2'!C25</f>
        <v>FL.01/302.92/04538 - Especificação Técnica - Concreto</v>
      </c>
      <c r="I620" s="168"/>
      <c r="J620" s="168"/>
    </row>
    <row r="621" spans="1:10" ht="15">
      <c r="A621" s="114"/>
      <c r="B621" s="163" t="s">
        <v>79</v>
      </c>
      <c r="C621" s="164"/>
      <c r="D621" s="164"/>
      <c r="E621" s="163" t="str">
        <f>'Pág 2'!C18</f>
        <v>FL.01/302.76/04537 - Memorial de Cálculo e Dimensionamento - Concreto.</v>
      </c>
      <c r="F621" s="114"/>
      <c r="G621" s="164"/>
      <c r="H621" s="164"/>
      <c r="I621" s="164"/>
      <c r="J621" s="164"/>
    </row>
    <row r="622" spans="1:10" ht="15" customHeight="1">
      <c r="A622" s="114"/>
      <c r="B622" s="163" t="s">
        <v>73</v>
      </c>
      <c r="C622" s="153"/>
      <c r="D622" s="153"/>
      <c r="E622" s="163"/>
      <c r="F622" s="114"/>
      <c r="G622" s="164"/>
      <c r="H622" s="164"/>
      <c r="I622" s="164"/>
      <c r="J622" s="544"/>
    </row>
    <row r="623" spans="1:10" ht="15" customHeight="1" thickBot="1">
      <c r="A623" s="114"/>
      <c r="B623" s="165"/>
      <c r="C623" s="165"/>
      <c r="D623" s="165"/>
      <c r="E623" s="153"/>
      <c r="F623" s="153"/>
      <c r="G623" s="153"/>
      <c r="H623" s="153"/>
      <c r="I623" s="153"/>
      <c r="J623" s="545"/>
    </row>
    <row r="624" spans="1:10" ht="15">
      <c r="A624" s="114"/>
      <c r="B624" s="1187" t="s">
        <v>74</v>
      </c>
      <c r="C624" s="1187"/>
      <c r="D624" s="1187"/>
      <c r="E624" s="1187"/>
      <c r="F624" s="1187"/>
      <c r="G624" s="1187"/>
      <c r="H624" s="1188"/>
      <c r="I624" s="1189"/>
      <c r="J624" s="546" t="s">
        <v>75</v>
      </c>
    </row>
    <row r="625" spans="1:10" ht="15">
      <c r="A625" s="114"/>
      <c r="B625" s="1181" t="str">
        <f>TIT.601</f>
        <v>FL.06/304.13/04543 - TPS - PLANTA DE FUNDAÇÃO</v>
      </c>
      <c r="C625" s="1181"/>
      <c r="D625" s="1181"/>
      <c r="E625" s="1181"/>
      <c r="F625" s="1181"/>
      <c r="G625" s="1181"/>
      <c r="H625" s="1182"/>
      <c r="I625" s="1183"/>
      <c r="J625" s="1249">
        <f>EM.601</f>
        <v>20580.091319074952</v>
      </c>
    </row>
    <row r="626" spans="1:10" ht="15">
      <c r="A626" s="114"/>
      <c r="B626" s="1181" t="str">
        <f>TIT.602</f>
        <v>FL.01/304.13/06246 - BASES POSTES DE ILUMINAÇÃO</v>
      </c>
      <c r="C626" s="1181"/>
      <c r="D626" s="1181"/>
      <c r="E626" s="1181"/>
      <c r="F626" s="1181"/>
      <c r="G626" s="1181"/>
      <c r="H626" s="1182"/>
      <c r="I626" s="1183"/>
      <c r="J626" s="1250"/>
    </row>
    <row r="627" spans="1:10" thickBot="1">
      <c r="A627" s="114"/>
      <c r="B627" s="1193" t="s">
        <v>76</v>
      </c>
      <c r="C627" s="1193"/>
      <c r="D627" s="1193"/>
      <c r="E627" s="1193"/>
      <c r="F627" s="1193"/>
      <c r="G627" s="1193"/>
      <c r="H627" s="1194"/>
      <c r="I627" s="1195"/>
      <c r="J627" s="549">
        <f>SUM(J625:J625)</f>
        <v>20580.091319074952</v>
      </c>
    </row>
    <row r="628" spans="1:10" thickBot="1">
      <c r="A628" s="114"/>
      <c r="B628" s="1196" t="s">
        <v>77</v>
      </c>
      <c r="C628" s="1196"/>
      <c r="D628" s="1196"/>
      <c r="E628" s="1196"/>
      <c r="F628" s="1196"/>
      <c r="G628" s="1196"/>
      <c r="H628" s="1196"/>
      <c r="I628" s="1196"/>
      <c r="J628" s="550"/>
    </row>
    <row r="629" spans="1:10" ht="15">
      <c r="A629" s="114"/>
      <c r="B629" s="551" t="s">
        <v>1091</v>
      </c>
      <c r="C629" s="154"/>
      <c r="D629" s="154"/>
      <c r="E629" s="154"/>
      <c r="F629" s="154"/>
      <c r="G629" s="154"/>
      <c r="H629" s="154"/>
      <c r="I629" s="154"/>
      <c r="J629" s="545"/>
    </row>
    <row r="630" spans="1:10" thickBot="1">
      <c r="A630" s="114"/>
      <c r="B630" s="155"/>
      <c r="C630" s="155"/>
      <c r="D630" s="155"/>
      <c r="E630" s="155"/>
      <c r="F630" s="155"/>
      <c r="G630" s="155"/>
      <c r="H630" s="155"/>
      <c r="I630" s="155"/>
      <c r="J630" s="552"/>
    </row>
    <row r="631" spans="1:10" thickTop="1">
      <c r="A631" s="114"/>
      <c r="B631" s="1211" t="s">
        <v>57</v>
      </c>
      <c r="C631" s="1211"/>
      <c r="D631" s="1211"/>
      <c r="E631" s="1211"/>
      <c r="F631" s="1211"/>
      <c r="G631" s="1211"/>
      <c r="H631" s="1211"/>
      <c r="I631" s="1211"/>
      <c r="J631" s="1212"/>
    </row>
    <row r="632" spans="1:10" ht="44.25" customHeight="1">
      <c r="A632" s="114"/>
      <c r="B632" s="1213" t="str">
        <f>'PSQ-INFRA'!C143</f>
        <v>Regularização e Apiloamento de fundo de vala</v>
      </c>
      <c r="C632" s="1213"/>
      <c r="D632" s="1213"/>
      <c r="E632" s="1213"/>
      <c r="F632" s="1213"/>
      <c r="G632" s="1213"/>
      <c r="H632" s="1213"/>
      <c r="I632" s="1213"/>
      <c r="J632" s="541"/>
    </row>
    <row r="633" spans="1:10" ht="15">
      <c r="A633" s="114"/>
      <c r="B633" s="1214" t="s">
        <v>7</v>
      </c>
      <c r="C633" s="1215"/>
      <c r="D633" s="1220" t="s">
        <v>70</v>
      </c>
      <c r="E633" s="1221"/>
      <c r="F633" s="1221"/>
      <c r="G633" s="1222"/>
      <c r="H633" s="1223" t="s">
        <v>4</v>
      </c>
      <c r="I633" s="1224"/>
      <c r="J633" s="365" t="s">
        <v>71</v>
      </c>
    </row>
    <row r="634" spans="1:10" ht="56.25" customHeight="1" thickBot="1">
      <c r="A634" s="114"/>
      <c r="B634" s="1225" t="str">
        <f>'PSQ-INFRA'!B143</f>
        <v>04.01.100.04</v>
      </c>
      <c r="C634" s="1226"/>
      <c r="D634" s="1218" t="str">
        <f>B632</f>
        <v>Regularização e Apiloamento de fundo de vala</v>
      </c>
      <c r="E634" s="1219"/>
      <c r="F634" s="1219"/>
      <c r="G634" s="1195"/>
      <c r="H634" s="1184" t="str">
        <f>'PSQ-INFRA'!D143</f>
        <v>m²</v>
      </c>
      <c r="I634" s="1185"/>
      <c r="J634" s="542">
        <f>J643</f>
        <v>3155.3109999999988</v>
      </c>
    </row>
    <row r="635" spans="1:10" ht="15">
      <c r="A635" s="114"/>
      <c r="B635" s="1186" t="s">
        <v>72</v>
      </c>
      <c r="C635" s="1186"/>
      <c r="D635" s="1186"/>
      <c r="E635" s="1186"/>
      <c r="F635" s="1186"/>
      <c r="G635" s="1186"/>
      <c r="H635" s="1186"/>
      <c r="I635" s="1186"/>
      <c r="J635" s="543"/>
    </row>
    <row r="636" spans="1:10" ht="15">
      <c r="A636" s="114"/>
      <c r="B636" s="162" t="s">
        <v>80</v>
      </c>
      <c r="C636" s="168"/>
      <c r="D636" s="168"/>
      <c r="E636" s="168"/>
      <c r="F636" s="168"/>
      <c r="G636" s="168"/>
      <c r="H636" s="162" t="str">
        <f>'Pág 2'!C25</f>
        <v>FL.01/302.92/04538 - Especificação Técnica - Concreto</v>
      </c>
      <c r="I636" s="168"/>
      <c r="J636" s="168"/>
    </row>
    <row r="637" spans="1:10" ht="15">
      <c r="A637" s="114"/>
      <c r="B637" s="163" t="s">
        <v>79</v>
      </c>
      <c r="C637" s="164"/>
      <c r="D637" s="164"/>
      <c r="E637" s="163" t="str">
        <f>'Pág 2'!C18</f>
        <v>FL.01/302.76/04537 - Memorial de Cálculo e Dimensionamento - Concreto.</v>
      </c>
      <c r="F637" s="114"/>
      <c r="G637" s="164"/>
      <c r="H637" s="164"/>
      <c r="I637" s="164"/>
      <c r="J637" s="164"/>
    </row>
    <row r="638" spans="1:10" ht="15">
      <c r="A638" s="114"/>
      <c r="B638" s="163" t="s">
        <v>73</v>
      </c>
      <c r="C638" s="153"/>
      <c r="D638" s="153"/>
      <c r="E638" s="163"/>
      <c r="F638" s="114"/>
      <c r="G638" s="164"/>
      <c r="H638" s="164"/>
      <c r="I638" s="164"/>
      <c r="J638" s="544"/>
    </row>
    <row r="639" spans="1:10" thickBot="1">
      <c r="A639" s="114"/>
      <c r="B639" s="165"/>
      <c r="C639" s="165"/>
      <c r="D639" s="165"/>
      <c r="E639" s="153"/>
      <c r="F639" s="153"/>
      <c r="G639" s="153"/>
      <c r="H639" s="153"/>
      <c r="I639" s="153"/>
      <c r="J639" s="545"/>
    </row>
    <row r="640" spans="1:10" ht="15">
      <c r="A640" s="114"/>
      <c r="B640" s="1187" t="s">
        <v>74</v>
      </c>
      <c r="C640" s="1187"/>
      <c r="D640" s="1187"/>
      <c r="E640" s="1187"/>
      <c r="F640" s="1187"/>
      <c r="G640" s="1187"/>
      <c r="H640" s="1188"/>
      <c r="I640" s="1189"/>
      <c r="J640" s="546" t="s">
        <v>75</v>
      </c>
    </row>
    <row r="641" spans="1:10" ht="15">
      <c r="A641" s="114"/>
      <c r="B641" s="1181" t="str">
        <f>TIT.601</f>
        <v>FL.06/304.13/04543 - TPS - PLANTA DE FUNDAÇÃO</v>
      </c>
      <c r="C641" s="1181"/>
      <c r="D641" s="1181"/>
      <c r="E641" s="1181"/>
      <c r="F641" s="1181"/>
      <c r="G641" s="1181"/>
      <c r="H641" s="1182"/>
      <c r="I641" s="1183"/>
      <c r="J641" s="1249">
        <f>RA.601</f>
        <v>3155.3109999999988</v>
      </c>
    </row>
    <row r="642" spans="1:10" ht="15">
      <c r="A642" s="114"/>
      <c r="B642" s="1181" t="str">
        <f>TIT.602</f>
        <v>FL.01/304.13/06246 - BASES POSTES DE ILUMINAÇÃO</v>
      </c>
      <c r="C642" s="1181"/>
      <c r="D642" s="1181"/>
      <c r="E642" s="1181"/>
      <c r="F642" s="1181"/>
      <c r="G642" s="1181"/>
      <c r="H642" s="1182"/>
      <c r="I642" s="1183"/>
      <c r="J642" s="1250"/>
    </row>
    <row r="643" spans="1:10" thickBot="1">
      <c r="A643" s="114"/>
      <c r="B643" s="1193" t="s">
        <v>76</v>
      </c>
      <c r="C643" s="1193"/>
      <c r="D643" s="1193"/>
      <c r="E643" s="1193"/>
      <c r="F643" s="1193"/>
      <c r="G643" s="1193"/>
      <c r="H643" s="1194"/>
      <c r="I643" s="1195"/>
      <c r="J643" s="549">
        <f>SUM(J641:J641)</f>
        <v>3155.3109999999988</v>
      </c>
    </row>
    <row r="644" spans="1:10" thickBot="1">
      <c r="A644" s="114"/>
      <c r="B644" s="1196" t="s">
        <v>77</v>
      </c>
      <c r="C644" s="1196"/>
      <c r="D644" s="1196"/>
      <c r="E644" s="1196"/>
      <c r="F644" s="1196"/>
      <c r="G644" s="1196"/>
      <c r="H644" s="1196"/>
      <c r="I644" s="1196"/>
      <c r="J644" s="550"/>
    </row>
    <row r="645" spans="1:10" ht="15">
      <c r="A645" s="114"/>
      <c r="B645" s="551" t="s">
        <v>1091</v>
      </c>
      <c r="C645" s="154"/>
      <c r="D645" s="154"/>
      <c r="E645" s="154"/>
      <c r="F645" s="154"/>
      <c r="G645" s="154"/>
      <c r="H645" s="154"/>
      <c r="I645" s="154"/>
      <c r="J645" s="545"/>
    </row>
    <row r="646" spans="1:10" thickBot="1">
      <c r="A646" s="114"/>
      <c r="B646" s="155"/>
      <c r="C646" s="155"/>
      <c r="D646" s="155"/>
      <c r="E646" s="155"/>
      <c r="F646" s="155"/>
      <c r="G646" s="155"/>
      <c r="H646" s="155"/>
      <c r="I646" s="155"/>
      <c r="J646" s="552"/>
    </row>
    <row r="647" spans="1:10" thickTop="1">
      <c r="A647" s="114"/>
      <c r="B647" s="1211" t="s">
        <v>57</v>
      </c>
      <c r="C647" s="1211"/>
      <c r="D647" s="1211"/>
      <c r="E647" s="1211"/>
      <c r="F647" s="1211"/>
      <c r="G647" s="1211"/>
      <c r="H647" s="1211"/>
      <c r="I647" s="1211"/>
      <c r="J647" s="1212"/>
    </row>
    <row r="648" spans="1:10" ht="44.25" customHeight="1">
      <c r="A648" s="114"/>
      <c r="B648" s="1213" t="str">
        <f>'PSQ-INFRA'!C142</f>
        <v>Reaterro Compactado</v>
      </c>
      <c r="C648" s="1213"/>
      <c r="D648" s="1213"/>
      <c r="E648" s="1213"/>
      <c r="F648" s="1213"/>
      <c r="G648" s="1213"/>
      <c r="H648" s="1213"/>
      <c r="I648" s="1213"/>
      <c r="J648" s="541"/>
    </row>
    <row r="649" spans="1:10" ht="15">
      <c r="A649" s="114"/>
      <c r="B649" s="1214" t="s">
        <v>7</v>
      </c>
      <c r="C649" s="1215"/>
      <c r="D649" s="1220" t="s">
        <v>70</v>
      </c>
      <c r="E649" s="1221"/>
      <c r="F649" s="1221"/>
      <c r="G649" s="1222"/>
      <c r="H649" s="1223" t="s">
        <v>4</v>
      </c>
      <c r="I649" s="1224"/>
      <c r="J649" s="365" t="s">
        <v>71</v>
      </c>
    </row>
    <row r="650" spans="1:10" ht="56.25" customHeight="1" thickBot="1">
      <c r="A650" s="114"/>
      <c r="B650" s="1225" t="str">
        <f>'PSQ-INFRA'!B142</f>
        <v>04.01.100.03</v>
      </c>
      <c r="C650" s="1226"/>
      <c r="D650" s="1218" t="str">
        <f>B648</f>
        <v>Reaterro Compactado</v>
      </c>
      <c r="E650" s="1219"/>
      <c r="F650" s="1219"/>
      <c r="G650" s="1195"/>
      <c r="H650" s="1184" t="str">
        <f>'PSQ-INFRA'!D142</f>
        <v>m³</v>
      </c>
      <c r="I650" s="1185"/>
      <c r="J650" s="542">
        <f>J659</f>
        <v>15068.901021774966</v>
      </c>
    </row>
    <row r="651" spans="1:10" ht="15">
      <c r="A651" s="114"/>
      <c r="B651" s="1186" t="s">
        <v>72</v>
      </c>
      <c r="C651" s="1186"/>
      <c r="D651" s="1186"/>
      <c r="E651" s="1186"/>
      <c r="F651" s="1186"/>
      <c r="G651" s="1186"/>
      <c r="H651" s="1186"/>
      <c r="I651" s="1186"/>
      <c r="J651" s="543"/>
    </row>
    <row r="652" spans="1:10" ht="15">
      <c r="A652" s="114"/>
      <c r="B652" s="162" t="s">
        <v>80</v>
      </c>
      <c r="C652" s="168"/>
      <c r="D652" s="168"/>
      <c r="E652" s="168"/>
      <c r="F652" s="168"/>
      <c r="G652" s="168"/>
      <c r="H652" s="162" t="str">
        <f>'Pág 2'!C25</f>
        <v>FL.01/302.92/04538 - Especificação Técnica - Concreto</v>
      </c>
      <c r="I652" s="168"/>
      <c r="J652" s="168"/>
    </row>
    <row r="653" spans="1:10" ht="15">
      <c r="A653" s="114"/>
      <c r="B653" s="163" t="s">
        <v>79</v>
      </c>
      <c r="C653" s="164"/>
      <c r="D653" s="164"/>
      <c r="E653" s="163" t="str">
        <f>'Pág 2'!C18</f>
        <v>FL.01/302.76/04537 - Memorial de Cálculo e Dimensionamento - Concreto.</v>
      </c>
      <c r="F653" s="114"/>
      <c r="G653" s="164"/>
      <c r="H653" s="164"/>
      <c r="I653" s="164"/>
      <c r="J653" s="164"/>
    </row>
    <row r="654" spans="1:10" ht="15">
      <c r="A654" s="114"/>
      <c r="B654" s="163" t="s">
        <v>73</v>
      </c>
      <c r="C654" s="153"/>
      <c r="D654" s="153"/>
      <c r="E654" s="163"/>
      <c r="F654" s="114"/>
      <c r="G654" s="164"/>
      <c r="H654" s="164"/>
      <c r="I654" s="164"/>
      <c r="J654" s="544"/>
    </row>
    <row r="655" spans="1:10" thickBot="1">
      <c r="A655" s="114"/>
      <c r="B655" s="165"/>
      <c r="C655" s="165"/>
      <c r="D655" s="165"/>
      <c r="E655" s="153"/>
      <c r="F655" s="153"/>
      <c r="G655" s="153"/>
      <c r="H655" s="153"/>
      <c r="I655" s="153"/>
      <c r="J655" s="545"/>
    </row>
    <row r="656" spans="1:10" ht="15">
      <c r="A656" s="114"/>
      <c r="B656" s="1187" t="s">
        <v>74</v>
      </c>
      <c r="C656" s="1187"/>
      <c r="D656" s="1187"/>
      <c r="E656" s="1187"/>
      <c r="F656" s="1187"/>
      <c r="G656" s="1187"/>
      <c r="H656" s="1188"/>
      <c r="I656" s="1189"/>
      <c r="J656" s="546" t="s">
        <v>75</v>
      </c>
    </row>
    <row r="657" spans="1:10" ht="15">
      <c r="A657" s="114"/>
      <c r="B657" s="1181" t="str">
        <f>TIT.601</f>
        <v>FL.06/304.13/04543 - TPS - PLANTA DE FUNDAÇÃO</v>
      </c>
      <c r="C657" s="1181"/>
      <c r="D657" s="1181"/>
      <c r="E657" s="1181"/>
      <c r="F657" s="1181"/>
      <c r="G657" s="1181"/>
      <c r="H657" s="1182"/>
      <c r="I657" s="1183"/>
      <c r="J657" s="1249">
        <f>R.601</f>
        <v>15068.901021774966</v>
      </c>
    </row>
    <row r="658" spans="1:10" ht="15">
      <c r="A658" s="114"/>
      <c r="B658" s="1181" t="str">
        <f>TIT.602</f>
        <v>FL.01/304.13/06246 - BASES POSTES DE ILUMINAÇÃO</v>
      </c>
      <c r="C658" s="1181"/>
      <c r="D658" s="1181"/>
      <c r="E658" s="1181"/>
      <c r="F658" s="1181"/>
      <c r="G658" s="1181"/>
      <c r="H658" s="1182"/>
      <c r="I658" s="1183"/>
      <c r="J658" s="1250"/>
    </row>
    <row r="659" spans="1:10" thickBot="1">
      <c r="A659" s="114"/>
      <c r="B659" s="1193" t="s">
        <v>76</v>
      </c>
      <c r="C659" s="1193"/>
      <c r="D659" s="1193"/>
      <c r="E659" s="1193"/>
      <c r="F659" s="1193"/>
      <c r="G659" s="1193"/>
      <c r="H659" s="1194"/>
      <c r="I659" s="1195"/>
      <c r="J659" s="549">
        <f>SUM(J657:J657)</f>
        <v>15068.901021774966</v>
      </c>
    </row>
    <row r="660" spans="1:10" thickBot="1">
      <c r="A660" s="114"/>
      <c r="B660" s="1196" t="s">
        <v>77</v>
      </c>
      <c r="C660" s="1196"/>
      <c r="D660" s="1196"/>
      <c r="E660" s="1196"/>
      <c r="F660" s="1196"/>
      <c r="G660" s="1196"/>
      <c r="H660" s="1196"/>
      <c r="I660" s="1196"/>
      <c r="J660" s="550"/>
    </row>
    <row r="661" spans="1:10" ht="15">
      <c r="A661" s="114"/>
      <c r="B661" s="551" t="s">
        <v>1091</v>
      </c>
      <c r="C661" s="154"/>
      <c r="D661" s="154"/>
      <c r="E661" s="154"/>
      <c r="F661" s="154"/>
      <c r="G661" s="154"/>
      <c r="H661" s="154"/>
      <c r="I661" s="154"/>
      <c r="J661" s="545"/>
    </row>
    <row r="662" spans="1:10" thickBot="1">
      <c r="A662" s="114"/>
      <c r="B662" s="155"/>
      <c r="C662" s="155"/>
      <c r="D662" s="155"/>
      <c r="E662" s="155"/>
      <c r="F662" s="155"/>
      <c r="G662" s="155"/>
      <c r="H662" s="155"/>
      <c r="I662" s="155"/>
      <c r="J662" s="552"/>
    </row>
    <row r="663" spans="1:10" thickTop="1">
      <c r="A663" s="114"/>
      <c r="B663" s="1211" t="s">
        <v>57</v>
      </c>
      <c r="C663" s="1211"/>
      <c r="D663" s="1211"/>
      <c r="E663" s="1211"/>
      <c r="F663" s="1211"/>
      <c r="G663" s="1211"/>
      <c r="H663" s="1211"/>
      <c r="I663" s="1211"/>
      <c r="J663" s="1211"/>
    </row>
    <row r="664" spans="1:10" ht="44.25" customHeight="1">
      <c r="A664" s="114"/>
      <c r="B664" s="1213" t="str">
        <f>'PSQ-INFRA'!C169</f>
        <v>Estaca tipo Hélice Contínua c/ diâmetro de 350 mm</v>
      </c>
      <c r="C664" s="1213"/>
      <c r="D664" s="1213"/>
      <c r="E664" s="1213"/>
      <c r="F664" s="1213"/>
      <c r="G664" s="1213"/>
      <c r="H664" s="1213"/>
      <c r="I664" s="1213"/>
      <c r="J664" s="541"/>
    </row>
    <row r="665" spans="1:10" ht="15">
      <c r="A665" s="114"/>
      <c r="B665" s="1214" t="s">
        <v>7</v>
      </c>
      <c r="C665" s="1215"/>
      <c r="D665" s="1220" t="s">
        <v>70</v>
      </c>
      <c r="E665" s="1221"/>
      <c r="F665" s="1221"/>
      <c r="G665" s="1222"/>
      <c r="H665" s="1223" t="s">
        <v>4</v>
      </c>
      <c r="I665" s="1224"/>
      <c r="J665" s="365" t="s">
        <v>71</v>
      </c>
    </row>
    <row r="666" spans="1:10" ht="56.25" customHeight="1" thickBot="1">
      <c r="A666" s="114"/>
      <c r="B666" s="1225" t="str">
        <f>'PSQ-INFRA'!B169</f>
        <v>04.02.170.03</v>
      </c>
      <c r="C666" s="1226"/>
      <c r="D666" s="1218" t="str">
        <f>B664</f>
        <v>Estaca tipo Hélice Contínua c/ diâmetro de 350 mm</v>
      </c>
      <c r="E666" s="1219"/>
      <c r="F666" s="1219"/>
      <c r="G666" s="1195"/>
      <c r="H666" s="1184" t="str">
        <f>'PSQ-INFRA'!D169</f>
        <v>m</v>
      </c>
      <c r="I666" s="1185"/>
      <c r="J666" s="542">
        <f>J675</f>
        <v>4611</v>
      </c>
    </row>
    <row r="667" spans="1:10" ht="15">
      <c r="A667" s="114"/>
      <c r="B667" s="1186" t="s">
        <v>72</v>
      </c>
      <c r="C667" s="1186"/>
      <c r="D667" s="1186"/>
      <c r="E667" s="1186"/>
      <c r="F667" s="1186"/>
      <c r="G667" s="1186"/>
      <c r="H667" s="1186"/>
      <c r="I667" s="1186"/>
      <c r="J667" s="543"/>
    </row>
    <row r="668" spans="1:10" ht="15" customHeight="1">
      <c r="A668" s="114"/>
      <c r="B668" s="162" t="s">
        <v>80</v>
      </c>
      <c r="C668" s="168"/>
      <c r="D668" s="168"/>
      <c r="E668" s="168"/>
      <c r="F668" s="168"/>
      <c r="G668" s="168"/>
      <c r="H668" s="162" t="str">
        <f>'Pág 2'!C25</f>
        <v>FL.01/302.92/04538 - Especificação Técnica - Concreto</v>
      </c>
      <c r="I668" s="168"/>
      <c r="J668" s="168"/>
    </row>
    <row r="669" spans="1:10" ht="15" customHeight="1">
      <c r="A669" s="114"/>
      <c r="B669" s="163" t="s">
        <v>79</v>
      </c>
      <c r="C669" s="164"/>
      <c r="D669" s="164"/>
      <c r="E669" s="163" t="str">
        <f>'Pág 2'!C18</f>
        <v>FL.01/302.76/04537 - Memorial de Cálculo e Dimensionamento - Concreto.</v>
      </c>
      <c r="F669" s="114"/>
      <c r="G669" s="164"/>
      <c r="H669" s="164"/>
      <c r="I669" s="164"/>
      <c r="J669" s="164"/>
    </row>
    <row r="670" spans="1:10" ht="15" customHeight="1">
      <c r="A670" s="114"/>
      <c r="B670" s="163" t="s">
        <v>73</v>
      </c>
      <c r="C670" s="153"/>
      <c r="D670" s="153"/>
      <c r="E670" s="163"/>
      <c r="F670" s="114"/>
      <c r="G670" s="164"/>
      <c r="H670" s="164"/>
      <c r="I670" s="164"/>
      <c r="J670" s="544"/>
    </row>
    <row r="671" spans="1:10" thickBot="1">
      <c r="A671" s="114"/>
      <c r="B671" s="165"/>
      <c r="C671" s="165"/>
      <c r="D671" s="165"/>
      <c r="E671" s="153"/>
      <c r="F671" s="153"/>
      <c r="G671" s="153"/>
      <c r="H671" s="153"/>
      <c r="I671" s="153"/>
      <c r="J671" s="545"/>
    </row>
    <row r="672" spans="1:10" ht="15">
      <c r="A672" s="114"/>
      <c r="B672" s="1187" t="s">
        <v>74</v>
      </c>
      <c r="C672" s="1187"/>
      <c r="D672" s="1187"/>
      <c r="E672" s="1187"/>
      <c r="F672" s="1187"/>
      <c r="G672" s="1187"/>
      <c r="H672" s="1188"/>
      <c r="I672" s="1189"/>
      <c r="J672" s="546" t="s">
        <v>75</v>
      </c>
    </row>
    <row r="673" spans="1:10" ht="15">
      <c r="A673" s="114"/>
      <c r="B673" s="1181" t="str">
        <f>TIT.601</f>
        <v>FL.06/304.13/04543 - TPS - PLANTA DE FUNDAÇÃO</v>
      </c>
      <c r="C673" s="1181"/>
      <c r="D673" s="1181"/>
      <c r="E673" s="1181"/>
      <c r="F673" s="1181"/>
      <c r="G673" s="1181"/>
      <c r="H673" s="1182"/>
      <c r="I673" s="1183"/>
      <c r="J673" s="1249">
        <f>E35.601</f>
        <v>4611</v>
      </c>
    </row>
    <row r="674" spans="1:10" ht="15" customHeight="1">
      <c r="A674" s="114"/>
      <c r="B674" s="1181" t="str">
        <f>TIT.602</f>
        <v>FL.01/304.13/06246 - BASES POSTES DE ILUMINAÇÃO</v>
      </c>
      <c r="C674" s="1181"/>
      <c r="D674" s="1181"/>
      <c r="E674" s="1181"/>
      <c r="F674" s="1181"/>
      <c r="G674" s="1181"/>
      <c r="H674" s="1182"/>
      <c r="I674" s="1183"/>
      <c r="J674" s="1250"/>
    </row>
    <row r="675" spans="1:10" ht="15" customHeight="1" thickBot="1">
      <c r="A675" s="114"/>
      <c r="B675" s="1193" t="s">
        <v>76</v>
      </c>
      <c r="C675" s="1193"/>
      <c r="D675" s="1193"/>
      <c r="E675" s="1193"/>
      <c r="F675" s="1193"/>
      <c r="G675" s="1193"/>
      <c r="H675" s="1194"/>
      <c r="I675" s="1195"/>
      <c r="J675" s="549">
        <f>SUM(J673:J673)</f>
        <v>4611</v>
      </c>
    </row>
    <row r="676" spans="1:10" ht="15" customHeight="1" thickBot="1">
      <c r="A676" s="114"/>
      <c r="B676" s="1196" t="s">
        <v>77</v>
      </c>
      <c r="C676" s="1196"/>
      <c r="D676" s="1196"/>
      <c r="E676" s="1196"/>
      <c r="F676" s="1196"/>
      <c r="G676" s="1196"/>
      <c r="H676" s="1196"/>
      <c r="I676" s="1196"/>
      <c r="J676" s="550"/>
    </row>
    <row r="677" spans="1:10" ht="15" customHeight="1">
      <c r="A677" s="114"/>
      <c r="B677" s="551" t="s">
        <v>1091</v>
      </c>
      <c r="C677" s="154"/>
      <c r="D677" s="154"/>
      <c r="E677" s="154"/>
      <c r="F677" s="154"/>
      <c r="G677" s="154"/>
      <c r="H677" s="154"/>
      <c r="I677" s="154"/>
      <c r="J677" s="545"/>
    </row>
    <row r="678" spans="1:10" ht="15" customHeight="1" thickBot="1">
      <c r="A678" s="114"/>
      <c r="B678" s="155"/>
      <c r="C678" s="155"/>
      <c r="D678" s="155"/>
      <c r="E678" s="155"/>
      <c r="F678" s="155"/>
      <c r="G678" s="155"/>
      <c r="H678" s="155"/>
      <c r="I678" s="155"/>
      <c r="J678" s="552"/>
    </row>
    <row r="679" spans="1:10" thickTop="1">
      <c r="A679" s="114"/>
      <c r="B679" s="1211" t="s">
        <v>57</v>
      </c>
      <c r="C679" s="1211"/>
      <c r="D679" s="1211"/>
      <c r="E679" s="1211"/>
      <c r="F679" s="1211"/>
      <c r="G679" s="1211"/>
      <c r="H679" s="1211"/>
      <c r="I679" s="1211"/>
      <c r="J679" s="1211"/>
    </row>
    <row r="680" spans="1:10" ht="44.25" customHeight="1">
      <c r="A680" s="114"/>
      <c r="B680" s="1213" t="str">
        <f>'PSQ-INFRA'!C170</f>
        <v>Estaca tipo Hélice Contínua c/ diâmetro de 400 mm</v>
      </c>
      <c r="C680" s="1213"/>
      <c r="D680" s="1213"/>
      <c r="E680" s="1213"/>
      <c r="F680" s="1213"/>
      <c r="G680" s="1213"/>
      <c r="H680" s="1213"/>
      <c r="I680" s="1213"/>
      <c r="J680" s="541"/>
    </row>
    <row r="681" spans="1:10" ht="15">
      <c r="A681" s="114"/>
      <c r="B681" s="1214" t="s">
        <v>7</v>
      </c>
      <c r="C681" s="1243"/>
      <c r="D681" s="1220" t="s">
        <v>70</v>
      </c>
      <c r="E681" s="1244"/>
      <c r="F681" s="1244"/>
      <c r="G681" s="1245"/>
      <c r="H681" s="1223" t="s">
        <v>4</v>
      </c>
      <c r="I681" s="1243"/>
      <c r="J681" s="365" t="s">
        <v>71</v>
      </c>
    </row>
    <row r="682" spans="1:10" ht="56.25" customHeight="1" thickBot="1">
      <c r="A682" s="114"/>
      <c r="B682" s="1246" t="str">
        <f>'PSQ-INFRA'!B170</f>
        <v>04.02.170.04</v>
      </c>
      <c r="C682" s="1247"/>
      <c r="D682" s="1218" t="str">
        <f>B680</f>
        <v>Estaca tipo Hélice Contínua c/ diâmetro de 400 mm</v>
      </c>
      <c r="E682" s="1246"/>
      <c r="F682" s="1246"/>
      <c r="G682" s="1247"/>
      <c r="H682" s="1218" t="str">
        <f>'PSQ-INFRA'!D170</f>
        <v>m</v>
      </c>
      <c r="I682" s="1247"/>
      <c r="J682" s="542">
        <f>J691</f>
        <v>4988</v>
      </c>
    </row>
    <row r="683" spans="1:10" ht="15">
      <c r="A683" s="114"/>
      <c r="B683" s="1251" t="s">
        <v>72</v>
      </c>
      <c r="C683" s="1186"/>
      <c r="D683" s="1186"/>
      <c r="E683" s="1186"/>
      <c r="F683" s="1186"/>
      <c r="G683" s="1186"/>
      <c r="H683" s="1186"/>
      <c r="I683" s="1186"/>
      <c r="J683" s="1095"/>
    </row>
    <row r="684" spans="1:10" ht="15" customHeight="1">
      <c r="A684" s="114"/>
      <c r="B684" s="1096" t="s">
        <v>80</v>
      </c>
      <c r="C684" s="168"/>
      <c r="D684" s="168"/>
      <c r="E684" s="168"/>
      <c r="F684" s="168"/>
      <c r="G684" s="168"/>
      <c r="H684" s="162" t="str">
        <f>'Pág 2'!C25</f>
        <v>FL.01/302.92/04538 - Especificação Técnica - Concreto</v>
      </c>
      <c r="I684" s="168"/>
      <c r="J684" s="1097"/>
    </row>
    <row r="685" spans="1:10" ht="15" customHeight="1">
      <c r="A685" s="114"/>
      <c r="B685" s="1098" t="s">
        <v>79</v>
      </c>
      <c r="C685" s="164"/>
      <c r="D685" s="164"/>
      <c r="E685" s="163" t="str">
        <f>'Pág 2'!C18</f>
        <v>FL.01/302.76/04537 - Memorial de Cálculo e Dimensionamento - Concreto.</v>
      </c>
      <c r="F685" s="114"/>
      <c r="G685" s="164"/>
      <c r="H685" s="164"/>
      <c r="I685" s="164"/>
      <c r="J685" s="1099"/>
    </row>
    <row r="686" spans="1:10" ht="15" customHeight="1">
      <c r="A686" s="114"/>
      <c r="B686" s="1098" t="s">
        <v>73</v>
      </c>
      <c r="C686" s="153"/>
      <c r="D686" s="153"/>
      <c r="E686" s="163"/>
      <c r="F686" s="114"/>
      <c r="G686" s="164"/>
      <c r="H686" s="164"/>
      <c r="I686" s="164"/>
      <c r="J686" s="1100"/>
    </row>
    <row r="687" spans="1:10" thickBot="1">
      <c r="A687" s="114"/>
      <c r="B687" s="1101"/>
      <c r="C687" s="165"/>
      <c r="D687" s="165"/>
      <c r="E687" s="153"/>
      <c r="F687" s="153"/>
      <c r="G687" s="153"/>
      <c r="H687" s="153"/>
      <c r="I687" s="153"/>
      <c r="J687" s="1102"/>
    </row>
    <row r="688" spans="1:10" ht="15">
      <c r="A688" s="114"/>
      <c r="B688" s="1252" t="s">
        <v>74</v>
      </c>
      <c r="C688" s="1187"/>
      <c r="D688" s="1187"/>
      <c r="E688" s="1187"/>
      <c r="F688" s="1187"/>
      <c r="G688" s="1187"/>
      <c r="H688" s="1188"/>
      <c r="I688" s="1189"/>
      <c r="J688" s="1103" t="s">
        <v>75</v>
      </c>
    </row>
    <row r="689" spans="1:10" ht="15">
      <c r="A689" s="114"/>
      <c r="B689" s="1253" t="str">
        <f>TIT.601</f>
        <v>FL.06/304.13/04543 - TPS - PLANTA DE FUNDAÇÃO</v>
      </c>
      <c r="C689" s="1181"/>
      <c r="D689" s="1181"/>
      <c r="E689" s="1181"/>
      <c r="F689" s="1181"/>
      <c r="G689" s="1181"/>
      <c r="H689" s="1182"/>
      <c r="I689" s="1183"/>
      <c r="J689" s="1104">
        <f>E40.601</f>
        <v>4988</v>
      </c>
    </row>
    <row r="690" spans="1:10" ht="15" customHeight="1">
      <c r="A690" s="114"/>
      <c r="B690" s="1253"/>
      <c r="C690" s="1181"/>
      <c r="D690" s="1181"/>
      <c r="E690" s="1181"/>
      <c r="F690" s="1181"/>
      <c r="G690" s="1181"/>
      <c r="H690" s="1182"/>
      <c r="I690" s="1183"/>
      <c r="J690" s="1104"/>
    </row>
    <row r="691" spans="1:10" ht="15" customHeight="1" thickBot="1">
      <c r="A691" s="114"/>
      <c r="B691" s="1254" t="s">
        <v>76</v>
      </c>
      <c r="C691" s="1193"/>
      <c r="D691" s="1193"/>
      <c r="E691" s="1193"/>
      <c r="F691" s="1193"/>
      <c r="G691" s="1193"/>
      <c r="H691" s="1194"/>
      <c r="I691" s="1195"/>
      <c r="J691" s="1105">
        <f>SUM(J689:J689)</f>
        <v>4988</v>
      </c>
    </row>
    <row r="692" spans="1:10" ht="15" customHeight="1" thickBot="1">
      <c r="A692" s="114"/>
      <c r="B692" s="1196" t="s">
        <v>77</v>
      </c>
      <c r="C692" s="1196"/>
      <c r="D692" s="1196"/>
      <c r="E692" s="1196"/>
      <c r="F692" s="1196"/>
      <c r="G692" s="1196"/>
      <c r="H692" s="1196"/>
      <c r="I692" s="1196"/>
      <c r="J692" s="550"/>
    </row>
    <row r="693" spans="1:10" ht="15" customHeight="1">
      <c r="A693" s="114"/>
      <c r="B693" s="551" t="s">
        <v>1091</v>
      </c>
      <c r="C693" s="154"/>
      <c r="D693" s="154"/>
      <c r="E693" s="154"/>
      <c r="F693" s="154"/>
      <c r="G693" s="154"/>
      <c r="H693" s="154"/>
      <c r="I693" s="154"/>
      <c r="J693" s="545"/>
    </row>
    <row r="694" spans="1:10" ht="15" customHeight="1" thickBot="1">
      <c r="A694" s="114"/>
      <c r="B694" s="155"/>
      <c r="C694" s="155"/>
      <c r="D694" s="155"/>
      <c r="E694" s="155"/>
      <c r="F694" s="155"/>
      <c r="G694" s="155"/>
      <c r="H694" s="155"/>
      <c r="I694" s="155"/>
      <c r="J694" s="552"/>
    </row>
    <row r="695" spans="1:10" thickTop="1">
      <c r="A695" s="114"/>
      <c r="B695" s="1211" t="s">
        <v>57</v>
      </c>
      <c r="C695" s="1211"/>
      <c r="D695" s="1211"/>
      <c r="E695" s="1211"/>
      <c r="F695" s="1211"/>
      <c r="G695" s="1211"/>
      <c r="H695" s="1211"/>
      <c r="I695" s="1211"/>
      <c r="J695" s="1211"/>
    </row>
    <row r="696" spans="1:10" ht="44.25" customHeight="1">
      <c r="A696" s="114"/>
      <c r="B696" s="1213" t="str">
        <f>'PSQ-INFRA'!C171</f>
        <v>Estaca tipo Hélice Contínua c/ diâmetro de 600 mm</v>
      </c>
      <c r="C696" s="1213"/>
      <c r="D696" s="1213"/>
      <c r="E696" s="1213"/>
      <c r="F696" s="1213"/>
      <c r="G696" s="1213"/>
      <c r="H696" s="1213"/>
      <c r="I696" s="1213"/>
      <c r="J696" s="541"/>
    </row>
    <row r="697" spans="1:10" ht="15">
      <c r="A697" s="114"/>
      <c r="B697" s="1214" t="s">
        <v>7</v>
      </c>
      <c r="C697" s="1215"/>
      <c r="D697" s="1220" t="s">
        <v>70</v>
      </c>
      <c r="E697" s="1221"/>
      <c r="F697" s="1221"/>
      <c r="G697" s="1222"/>
      <c r="H697" s="1223" t="s">
        <v>4</v>
      </c>
      <c r="I697" s="1224"/>
      <c r="J697" s="963" t="s">
        <v>71</v>
      </c>
    </row>
    <row r="698" spans="1:10" ht="56.25" customHeight="1" thickBot="1">
      <c r="A698" s="114"/>
      <c r="B698" s="1255" t="str">
        <f>'PSQ-INFRA'!B171</f>
        <v>04.02.170.05</v>
      </c>
      <c r="C698" s="1256"/>
      <c r="D698" s="1257" t="str">
        <f>B696</f>
        <v>Estaca tipo Hélice Contínua c/ diâmetro de 600 mm</v>
      </c>
      <c r="E698" s="1258"/>
      <c r="F698" s="1258"/>
      <c r="G698" s="1259"/>
      <c r="H698" s="1260" t="str">
        <f>'PSQ-INFRA'!D171</f>
        <v>m</v>
      </c>
      <c r="I698" s="1261"/>
      <c r="J698" s="1040">
        <f>J707</f>
        <v>3658</v>
      </c>
    </row>
    <row r="699" spans="1:10" ht="15">
      <c r="A699" s="114"/>
      <c r="B699" s="1186" t="s">
        <v>72</v>
      </c>
      <c r="C699" s="1186"/>
      <c r="D699" s="1186"/>
      <c r="E699" s="1186"/>
      <c r="F699" s="1186"/>
      <c r="G699" s="1186"/>
      <c r="H699" s="1186"/>
      <c r="I699" s="1186"/>
      <c r="J699" s="543"/>
    </row>
    <row r="700" spans="1:10" ht="15" customHeight="1">
      <c r="A700" s="114"/>
      <c r="B700" s="162" t="s">
        <v>80</v>
      </c>
      <c r="C700" s="168"/>
      <c r="D700" s="168"/>
      <c r="E700" s="168"/>
      <c r="F700" s="168"/>
      <c r="G700" s="168"/>
      <c r="H700" s="162" t="str">
        <f>'Pág 2'!C25</f>
        <v>FL.01/302.92/04538 - Especificação Técnica - Concreto</v>
      </c>
      <c r="I700" s="168"/>
      <c r="J700" s="168"/>
    </row>
    <row r="701" spans="1:10" ht="15" customHeight="1">
      <c r="A701" s="114"/>
      <c r="B701" s="163" t="s">
        <v>79</v>
      </c>
      <c r="C701" s="164"/>
      <c r="D701" s="164"/>
      <c r="E701" s="163" t="str">
        <f>'Pág 2'!C18</f>
        <v>FL.01/302.76/04537 - Memorial de Cálculo e Dimensionamento - Concreto.</v>
      </c>
      <c r="F701" s="114"/>
      <c r="G701" s="164"/>
      <c r="H701" s="164"/>
      <c r="I701" s="164"/>
      <c r="J701" s="164"/>
    </row>
    <row r="702" spans="1:10" ht="15" customHeight="1">
      <c r="A702" s="114"/>
      <c r="B702" s="163" t="s">
        <v>73</v>
      </c>
      <c r="C702" s="153"/>
      <c r="D702" s="153"/>
      <c r="E702" s="163"/>
      <c r="F702" s="114"/>
      <c r="G702" s="164"/>
      <c r="H702" s="164"/>
      <c r="I702" s="164"/>
      <c r="J702" s="544"/>
    </row>
    <row r="703" spans="1:10" thickBot="1">
      <c r="A703" s="114"/>
      <c r="B703" s="165"/>
      <c r="C703" s="165"/>
      <c r="D703" s="165"/>
      <c r="E703" s="153"/>
      <c r="F703" s="153"/>
      <c r="G703" s="153"/>
      <c r="H703" s="153"/>
      <c r="I703" s="153"/>
      <c r="J703" s="545"/>
    </row>
    <row r="704" spans="1:10" ht="15">
      <c r="A704" s="114"/>
      <c r="B704" s="1252" t="s">
        <v>74</v>
      </c>
      <c r="C704" s="1187"/>
      <c r="D704" s="1187"/>
      <c r="E704" s="1187"/>
      <c r="F704" s="1187"/>
      <c r="G704" s="1187"/>
      <c r="H704" s="1188"/>
      <c r="I704" s="1189"/>
      <c r="J704" s="1103" t="s">
        <v>75</v>
      </c>
    </row>
    <row r="705" spans="1:10" ht="15">
      <c r="A705" s="114"/>
      <c r="B705" s="1253" t="str">
        <f>TIT.601</f>
        <v>FL.06/304.13/04543 - TPS - PLANTA DE FUNDAÇÃO</v>
      </c>
      <c r="C705" s="1181"/>
      <c r="D705" s="1181"/>
      <c r="E705" s="1181"/>
      <c r="F705" s="1181"/>
      <c r="G705" s="1181"/>
      <c r="H705" s="1182"/>
      <c r="I705" s="1183"/>
      <c r="J705" s="1104">
        <f>E60.601</f>
        <v>3658</v>
      </c>
    </row>
    <row r="706" spans="1:10" ht="15" customHeight="1">
      <c r="A706" s="114"/>
      <c r="B706" s="1253"/>
      <c r="C706" s="1181"/>
      <c r="D706" s="1181"/>
      <c r="E706" s="1181"/>
      <c r="F706" s="1181"/>
      <c r="G706" s="1181"/>
      <c r="H706" s="1182"/>
      <c r="I706" s="1183"/>
      <c r="J706" s="1106"/>
    </row>
    <row r="707" spans="1:10" ht="15" customHeight="1" thickBot="1">
      <c r="A707" s="114"/>
      <c r="B707" s="1254" t="s">
        <v>76</v>
      </c>
      <c r="C707" s="1193"/>
      <c r="D707" s="1193"/>
      <c r="E707" s="1193"/>
      <c r="F707" s="1193"/>
      <c r="G707" s="1193"/>
      <c r="H707" s="1194"/>
      <c r="I707" s="1195"/>
      <c r="J707" s="1105">
        <f>SUM(J705:J705)</f>
        <v>3658</v>
      </c>
    </row>
    <row r="708" spans="1:10" ht="15" customHeight="1" thickBot="1">
      <c r="A708" s="114"/>
      <c r="B708" s="1196" t="s">
        <v>77</v>
      </c>
      <c r="C708" s="1196"/>
      <c r="D708" s="1196"/>
      <c r="E708" s="1196"/>
      <c r="F708" s="1196"/>
      <c r="G708" s="1196"/>
      <c r="H708" s="1196"/>
      <c r="I708" s="1196"/>
      <c r="J708" s="550"/>
    </row>
    <row r="709" spans="1:10" ht="15" customHeight="1">
      <c r="A709" s="114"/>
      <c r="B709" s="551" t="s">
        <v>1091</v>
      </c>
      <c r="C709" s="154"/>
      <c r="D709" s="154"/>
      <c r="E709" s="154"/>
      <c r="F709" s="154"/>
      <c r="G709" s="154"/>
      <c r="H709" s="154"/>
      <c r="I709" s="154"/>
      <c r="J709" s="545"/>
    </row>
    <row r="710" spans="1:10" ht="15" customHeight="1" thickBot="1">
      <c r="A710" s="114"/>
      <c r="B710" s="155"/>
      <c r="C710" s="155"/>
      <c r="D710" s="155"/>
      <c r="E710" s="155"/>
      <c r="F710" s="155"/>
      <c r="G710" s="155"/>
      <c r="H710" s="155"/>
      <c r="I710" s="155"/>
      <c r="J710" s="552"/>
    </row>
    <row r="711" spans="1:10" thickTop="1">
      <c r="A711" s="114"/>
      <c r="B711" s="1211" t="s">
        <v>57</v>
      </c>
      <c r="C711" s="1211"/>
      <c r="D711" s="1211"/>
      <c r="E711" s="1211"/>
      <c r="F711" s="1211"/>
      <c r="G711" s="1211"/>
      <c r="H711" s="1211"/>
      <c r="I711" s="1211"/>
      <c r="J711" s="1211"/>
    </row>
    <row r="712" spans="1:10" ht="44.25" customHeight="1">
      <c r="A712" s="114"/>
      <c r="B712" s="1213" t="str">
        <f>'PSQ-INFRA'!C172</f>
        <v>Estaca tipo Hélice Contínua c/ diâmetro de 700 mm</v>
      </c>
      <c r="C712" s="1213"/>
      <c r="D712" s="1213"/>
      <c r="E712" s="1213"/>
      <c r="F712" s="1213"/>
      <c r="G712" s="1213"/>
      <c r="H712" s="1213"/>
      <c r="I712" s="1213"/>
      <c r="J712" s="541"/>
    </row>
    <row r="713" spans="1:10" ht="15">
      <c r="A713" s="114"/>
      <c r="B713" s="1214" t="s">
        <v>7</v>
      </c>
      <c r="C713" s="1243"/>
      <c r="D713" s="1220" t="s">
        <v>70</v>
      </c>
      <c r="E713" s="1244"/>
      <c r="F713" s="1244"/>
      <c r="G713" s="1245"/>
      <c r="H713" s="1223" t="s">
        <v>4</v>
      </c>
      <c r="I713" s="1243"/>
      <c r="J713" s="963" t="s">
        <v>71</v>
      </c>
    </row>
    <row r="714" spans="1:10" ht="56.25" customHeight="1" thickBot="1">
      <c r="A714" s="114"/>
      <c r="B714" s="1246" t="str">
        <f>'PSQ-INFRA'!B172</f>
        <v>04.02.170.06</v>
      </c>
      <c r="C714" s="1247"/>
      <c r="D714" s="1218" t="str">
        <f>B712</f>
        <v>Estaca tipo Hélice Contínua c/ diâmetro de 700 mm</v>
      </c>
      <c r="E714" s="1246"/>
      <c r="F714" s="1246"/>
      <c r="G714" s="1247"/>
      <c r="H714" s="1218" t="str">
        <f>'PSQ-INFRA'!D172</f>
        <v>m</v>
      </c>
      <c r="I714" s="1247"/>
      <c r="J714" s="542">
        <f>J723</f>
        <v>8768</v>
      </c>
    </row>
    <row r="715" spans="1:10" ht="15">
      <c r="A715" s="114"/>
      <c r="B715" s="1186" t="s">
        <v>72</v>
      </c>
      <c r="C715" s="1186"/>
      <c r="D715" s="1186"/>
      <c r="E715" s="1186"/>
      <c r="F715" s="1186"/>
      <c r="G715" s="1186"/>
      <c r="H715" s="1186"/>
      <c r="I715" s="1186"/>
      <c r="J715" s="543"/>
    </row>
    <row r="716" spans="1:10" ht="15" customHeight="1">
      <c r="A716" s="114"/>
      <c r="B716" s="162" t="s">
        <v>80</v>
      </c>
      <c r="C716" s="168"/>
      <c r="D716" s="168"/>
      <c r="E716" s="168"/>
      <c r="F716" s="168"/>
      <c r="G716" s="168"/>
      <c r="H716" s="162" t="str">
        <f>'Pág 2'!C25</f>
        <v>FL.01/302.92/04538 - Especificação Técnica - Concreto</v>
      </c>
      <c r="I716" s="168"/>
      <c r="J716" s="168"/>
    </row>
    <row r="717" spans="1:10" ht="15" customHeight="1">
      <c r="A717" s="114"/>
      <c r="B717" s="163" t="s">
        <v>79</v>
      </c>
      <c r="C717" s="164"/>
      <c r="D717" s="164"/>
      <c r="E717" s="163" t="str">
        <f>'Pág 2'!C18</f>
        <v>FL.01/302.76/04537 - Memorial de Cálculo e Dimensionamento - Concreto.</v>
      </c>
      <c r="F717" s="114"/>
      <c r="G717" s="164"/>
      <c r="H717" s="164"/>
      <c r="I717" s="164"/>
      <c r="J717" s="164"/>
    </row>
    <row r="718" spans="1:10" ht="15" customHeight="1">
      <c r="A718" s="114"/>
      <c r="B718" s="163" t="s">
        <v>73</v>
      </c>
      <c r="C718" s="153"/>
      <c r="D718" s="153"/>
      <c r="E718" s="163"/>
      <c r="F718" s="114"/>
      <c r="G718" s="164"/>
      <c r="H718" s="164"/>
      <c r="I718" s="164"/>
      <c r="J718" s="544"/>
    </row>
    <row r="719" spans="1:10" thickBot="1">
      <c r="A719" s="114"/>
      <c r="B719" s="165"/>
      <c r="C719" s="165"/>
      <c r="D719" s="165"/>
      <c r="E719" s="153"/>
      <c r="F719" s="153"/>
      <c r="G719" s="153"/>
      <c r="H719" s="153"/>
      <c r="I719" s="153"/>
      <c r="J719" s="545"/>
    </row>
    <row r="720" spans="1:10" ht="15">
      <c r="A720" s="114"/>
      <c r="B720" s="1252" t="s">
        <v>74</v>
      </c>
      <c r="C720" s="1187"/>
      <c r="D720" s="1187"/>
      <c r="E720" s="1187"/>
      <c r="F720" s="1187"/>
      <c r="G720" s="1187"/>
      <c r="H720" s="1188"/>
      <c r="I720" s="1189"/>
      <c r="J720" s="1107" t="s">
        <v>75</v>
      </c>
    </row>
    <row r="721" spans="1:10" ht="15">
      <c r="A721" s="114"/>
      <c r="B721" s="1253" t="str">
        <f>TIT.601</f>
        <v>FL.06/304.13/04543 - TPS - PLANTA DE FUNDAÇÃO</v>
      </c>
      <c r="C721" s="1181"/>
      <c r="D721" s="1181"/>
      <c r="E721" s="1181"/>
      <c r="F721" s="1181"/>
      <c r="G721" s="1181"/>
      <c r="H721" s="1182"/>
      <c r="I721" s="1182"/>
      <c r="J721" s="1104">
        <f>E70.601</f>
        <v>8768</v>
      </c>
    </row>
    <row r="722" spans="1:10" ht="15" customHeight="1">
      <c r="A722" s="114"/>
      <c r="B722" s="1253"/>
      <c r="C722" s="1181"/>
      <c r="D722" s="1181"/>
      <c r="E722" s="1181"/>
      <c r="F722" s="1181"/>
      <c r="G722" s="1181"/>
      <c r="H722" s="1182"/>
      <c r="I722" s="1182"/>
      <c r="J722" s="1106"/>
    </row>
    <row r="723" spans="1:10" ht="15" customHeight="1" thickBot="1">
      <c r="A723" s="114"/>
      <c r="B723" s="1254"/>
      <c r="C723" s="1193"/>
      <c r="D723" s="1193"/>
      <c r="E723" s="1193"/>
      <c r="F723" s="1193"/>
      <c r="G723" s="1193"/>
      <c r="H723" s="1194"/>
      <c r="I723" s="1195"/>
      <c r="J723" s="1108">
        <f>SUM(J721:J721)</f>
        <v>8768</v>
      </c>
    </row>
    <row r="724" spans="1:10" ht="15" customHeight="1" thickBot="1">
      <c r="A724" s="114"/>
      <c r="B724" s="1196" t="s">
        <v>77</v>
      </c>
      <c r="C724" s="1196"/>
      <c r="D724" s="1196"/>
      <c r="E724" s="1196"/>
      <c r="F724" s="1196"/>
      <c r="G724" s="1196"/>
      <c r="H724" s="1196"/>
      <c r="I724" s="1196"/>
      <c r="J724" s="550"/>
    </row>
    <row r="725" spans="1:10" ht="15" customHeight="1">
      <c r="A725" s="114"/>
      <c r="B725" s="551" t="s">
        <v>1091</v>
      </c>
      <c r="C725" s="154"/>
      <c r="D725" s="154"/>
      <c r="E725" s="154"/>
      <c r="F725" s="154"/>
      <c r="G725" s="154"/>
      <c r="H725" s="154"/>
      <c r="I725" s="154"/>
      <c r="J725" s="545"/>
    </row>
    <row r="726" spans="1:10" ht="15" customHeight="1" thickBot="1">
      <c r="A726" s="114"/>
      <c r="B726" s="155"/>
      <c r="C726" s="155"/>
      <c r="D726" s="155"/>
      <c r="E726" s="155"/>
      <c r="F726" s="155"/>
      <c r="G726" s="155"/>
      <c r="H726" s="155"/>
      <c r="I726" s="155"/>
      <c r="J726" s="552"/>
    </row>
    <row r="727" spans="1:10" thickTop="1">
      <c r="A727" s="114"/>
      <c r="B727" s="1211" t="s">
        <v>57</v>
      </c>
      <c r="C727" s="1211"/>
      <c r="D727" s="1211"/>
      <c r="E727" s="1211"/>
      <c r="F727" s="1211"/>
      <c r="G727" s="1211"/>
      <c r="H727" s="1211"/>
      <c r="I727" s="1211"/>
      <c r="J727" s="1211"/>
    </row>
    <row r="728" spans="1:10" ht="44.25" customHeight="1">
      <c r="A728" s="114"/>
      <c r="B728" s="1213" t="str">
        <f>'PSQ-INFRA'!C151</f>
        <v>Preparo de Cabeças de Estacas com diâmetro de 350 mm</v>
      </c>
      <c r="C728" s="1213"/>
      <c r="D728" s="1213"/>
      <c r="E728" s="1213"/>
      <c r="F728" s="1213"/>
      <c r="G728" s="1213"/>
      <c r="H728" s="1213"/>
      <c r="I728" s="1213"/>
      <c r="J728" s="541"/>
    </row>
    <row r="729" spans="1:10" ht="15">
      <c r="A729" s="114"/>
      <c r="B729" s="1214" t="s">
        <v>7</v>
      </c>
      <c r="C729" s="1215"/>
      <c r="D729" s="1220" t="s">
        <v>70</v>
      </c>
      <c r="E729" s="1221"/>
      <c r="F729" s="1221"/>
      <c r="G729" s="1222"/>
      <c r="H729" s="1223" t="s">
        <v>4</v>
      </c>
      <c r="I729" s="1224"/>
      <c r="J729" s="365" t="s">
        <v>71</v>
      </c>
    </row>
    <row r="730" spans="1:10" ht="56.25" customHeight="1" thickBot="1">
      <c r="A730" s="114"/>
      <c r="B730" s="1225" t="str">
        <f>'PSQ-INFRA'!B151</f>
        <v>04.02.120.03</v>
      </c>
      <c r="C730" s="1226"/>
      <c r="D730" s="1218" t="str">
        <f>B728</f>
        <v>Preparo de Cabeças de Estacas com diâmetro de 350 mm</v>
      </c>
      <c r="E730" s="1219"/>
      <c r="F730" s="1219"/>
      <c r="G730" s="1195"/>
      <c r="H730" s="1184" t="str">
        <f>'PSQ-INFRA'!D151</f>
        <v>un</v>
      </c>
      <c r="I730" s="1185"/>
      <c r="J730" s="542">
        <f>J739</f>
        <v>159</v>
      </c>
    </row>
    <row r="731" spans="1:10" ht="15">
      <c r="A731" s="114"/>
      <c r="B731" s="1186" t="s">
        <v>72</v>
      </c>
      <c r="C731" s="1186"/>
      <c r="D731" s="1186"/>
      <c r="E731" s="1186"/>
      <c r="F731" s="1186"/>
      <c r="G731" s="1186"/>
      <c r="H731" s="1186"/>
      <c r="I731" s="1186"/>
      <c r="J731" s="543"/>
    </row>
    <row r="732" spans="1:10" ht="15" customHeight="1">
      <c r="A732" s="114"/>
      <c r="B732" s="162" t="s">
        <v>80</v>
      </c>
      <c r="C732" s="168"/>
      <c r="D732" s="168"/>
      <c r="E732" s="168"/>
      <c r="F732" s="168"/>
      <c r="G732" s="168"/>
      <c r="H732" s="162" t="str">
        <f>'Pág 2'!C25</f>
        <v>FL.01/302.92/04538 - Especificação Técnica - Concreto</v>
      </c>
      <c r="I732" s="168"/>
      <c r="J732" s="168"/>
    </row>
    <row r="733" spans="1:10" ht="15" customHeight="1">
      <c r="A733" s="114"/>
      <c r="B733" s="163" t="s">
        <v>79</v>
      </c>
      <c r="C733" s="164"/>
      <c r="D733" s="164"/>
      <c r="E733" s="163" t="str">
        <f>'Pág 2'!C18</f>
        <v>FL.01/302.76/04537 - Memorial de Cálculo e Dimensionamento - Concreto.</v>
      </c>
      <c r="F733" s="114"/>
      <c r="G733" s="164"/>
      <c r="H733" s="164"/>
      <c r="I733" s="164"/>
      <c r="J733" s="164"/>
    </row>
    <row r="734" spans="1:10" ht="15" customHeight="1">
      <c r="A734" s="114"/>
      <c r="B734" s="163" t="s">
        <v>73</v>
      </c>
      <c r="C734" s="153"/>
      <c r="D734" s="153"/>
      <c r="E734" s="163"/>
      <c r="F734" s="114"/>
      <c r="G734" s="164"/>
      <c r="H734" s="164"/>
      <c r="I734" s="164"/>
      <c r="J734" s="544"/>
    </row>
    <row r="735" spans="1:10" thickBot="1">
      <c r="A735" s="114"/>
      <c r="B735" s="165"/>
      <c r="C735" s="165"/>
      <c r="D735" s="165"/>
      <c r="E735" s="153"/>
      <c r="F735" s="153"/>
      <c r="G735" s="153"/>
      <c r="H735" s="153"/>
      <c r="I735" s="153"/>
      <c r="J735" s="545"/>
    </row>
    <row r="736" spans="1:10" ht="15">
      <c r="A736" s="114"/>
      <c r="B736" s="1187" t="s">
        <v>74</v>
      </c>
      <c r="C736" s="1187"/>
      <c r="D736" s="1187"/>
      <c r="E736" s="1187"/>
      <c r="F736" s="1187"/>
      <c r="G736" s="1187"/>
      <c r="H736" s="1188"/>
      <c r="I736" s="1189"/>
      <c r="J736" s="546" t="s">
        <v>75</v>
      </c>
    </row>
    <row r="737" spans="1:10" ht="15">
      <c r="A737" s="114"/>
      <c r="B737" s="1181" t="str">
        <f>TIT.601</f>
        <v>FL.06/304.13/04543 - TPS - PLANTA DE FUNDAÇÃO</v>
      </c>
      <c r="C737" s="1181"/>
      <c r="D737" s="1181"/>
      <c r="E737" s="1181"/>
      <c r="F737" s="1181"/>
      <c r="G737" s="1181"/>
      <c r="H737" s="1182"/>
      <c r="I737" s="1183"/>
      <c r="J737" s="1249">
        <f>QE35.601</f>
        <v>159</v>
      </c>
    </row>
    <row r="738" spans="1:10" ht="15" customHeight="1">
      <c r="A738" s="114"/>
      <c r="B738" s="1181" t="str">
        <f>TIT.602</f>
        <v>FL.01/304.13/06246 - BASES POSTES DE ILUMINAÇÃO</v>
      </c>
      <c r="C738" s="1181"/>
      <c r="D738" s="1181"/>
      <c r="E738" s="1181"/>
      <c r="F738" s="1181"/>
      <c r="G738" s="1181"/>
      <c r="H738" s="1182"/>
      <c r="I738" s="1183"/>
      <c r="J738" s="1250"/>
    </row>
    <row r="739" spans="1:10" ht="15" customHeight="1" thickBot="1">
      <c r="A739" s="114"/>
      <c r="B739" s="1193" t="s">
        <v>76</v>
      </c>
      <c r="C739" s="1193"/>
      <c r="D739" s="1193"/>
      <c r="E739" s="1193"/>
      <c r="F739" s="1193"/>
      <c r="G739" s="1193"/>
      <c r="H739" s="1194"/>
      <c r="I739" s="1195"/>
      <c r="J739" s="549">
        <f>SUM(J737:J737)</f>
        <v>159</v>
      </c>
    </row>
    <row r="740" spans="1:10" ht="15" customHeight="1" thickBot="1">
      <c r="A740" s="114"/>
      <c r="B740" s="1248" t="s">
        <v>77</v>
      </c>
      <c r="C740" s="1248"/>
      <c r="D740" s="1248"/>
      <c r="E740" s="1248"/>
      <c r="F740" s="1248"/>
      <c r="G740" s="1248"/>
      <c r="H740" s="1248"/>
      <c r="I740" s="1248"/>
      <c r="J740" s="555"/>
    </row>
    <row r="741" spans="1:10" ht="15" customHeight="1">
      <c r="A741" s="114"/>
      <c r="B741" s="551" t="s">
        <v>1091</v>
      </c>
      <c r="C741" s="374"/>
      <c r="D741" s="374"/>
      <c r="E741" s="374"/>
      <c r="F741" s="374"/>
      <c r="G741" s="374"/>
      <c r="H741" s="374"/>
      <c r="I741" s="374"/>
      <c r="J741" s="545"/>
    </row>
    <row r="742" spans="1:10" ht="15" customHeight="1" thickBot="1">
      <c r="A742" s="114"/>
      <c r="B742" s="155"/>
      <c r="C742" s="155"/>
      <c r="D742" s="155"/>
      <c r="E742" s="155"/>
      <c r="F742" s="155"/>
      <c r="G742" s="155"/>
      <c r="H742" s="155"/>
      <c r="I742" s="155"/>
      <c r="J742" s="552"/>
    </row>
    <row r="743" spans="1:10" thickTop="1">
      <c r="A743" s="114"/>
      <c r="B743" s="1211" t="s">
        <v>57</v>
      </c>
      <c r="C743" s="1211"/>
      <c r="D743" s="1211"/>
      <c r="E743" s="1211"/>
      <c r="F743" s="1211"/>
      <c r="G743" s="1211"/>
      <c r="H743" s="1211"/>
      <c r="I743" s="1211"/>
      <c r="J743" s="1211"/>
    </row>
    <row r="744" spans="1:10" ht="44.25" customHeight="1">
      <c r="A744" s="114"/>
      <c r="B744" s="1213" t="str">
        <f>'PSQ-INFRA'!C152</f>
        <v>Preparo de Cabeças de Estacas com diâmetro de 400 mm</v>
      </c>
      <c r="C744" s="1213"/>
      <c r="D744" s="1213"/>
      <c r="E744" s="1213"/>
      <c r="F744" s="1213"/>
      <c r="G744" s="1213"/>
      <c r="H744" s="1213"/>
      <c r="I744" s="1213"/>
      <c r="J744" s="541"/>
    </row>
    <row r="745" spans="1:10" ht="15">
      <c r="A745" s="114"/>
      <c r="B745" s="1214" t="s">
        <v>7</v>
      </c>
      <c r="C745" s="1215"/>
      <c r="D745" s="1220" t="s">
        <v>70</v>
      </c>
      <c r="E745" s="1221"/>
      <c r="F745" s="1221"/>
      <c r="G745" s="1222"/>
      <c r="H745" s="1223" t="s">
        <v>4</v>
      </c>
      <c r="I745" s="1224"/>
      <c r="J745" s="365" t="s">
        <v>71</v>
      </c>
    </row>
    <row r="746" spans="1:10" ht="56.25" customHeight="1" thickBot="1">
      <c r="A746" s="114"/>
      <c r="B746" s="1225" t="str">
        <f>'PSQ-INFRA'!B152</f>
        <v>04.02.120.04</v>
      </c>
      <c r="C746" s="1226"/>
      <c r="D746" s="1218" t="str">
        <f>B744</f>
        <v>Preparo de Cabeças de Estacas com diâmetro de 400 mm</v>
      </c>
      <c r="E746" s="1219"/>
      <c r="F746" s="1219"/>
      <c r="G746" s="1195"/>
      <c r="H746" s="1184" t="str">
        <f>'PSQ-INFRA'!D152</f>
        <v>un</v>
      </c>
      <c r="I746" s="1185"/>
      <c r="J746" s="542">
        <f>J755</f>
        <v>172</v>
      </c>
    </row>
    <row r="747" spans="1:10" ht="15">
      <c r="A747" s="114"/>
      <c r="B747" s="1186" t="s">
        <v>72</v>
      </c>
      <c r="C747" s="1186"/>
      <c r="D747" s="1186"/>
      <c r="E747" s="1186"/>
      <c r="F747" s="1186"/>
      <c r="G747" s="1186"/>
      <c r="H747" s="1186"/>
      <c r="I747" s="1186"/>
      <c r="J747" s="543"/>
    </row>
    <row r="748" spans="1:10" ht="15" customHeight="1">
      <c r="A748" s="114"/>
      <c r="B748" s="162" t="s">
        <v>80</v>
      </c>
      <c r="C748" s="168"/>
      <c r="D748" s="168"/>
      <c r="E748" s="168"/>
      <c r="F748" s="168"/>
      <c r="G748" s="168"/>
      <c r="H748" s="162" t="str">
        <f>'Pág 2'!C25</f>
        <v>FL.01/302.92/04538 - Especificação Técnica - Concreto</v>
      </c>
      <c r="I748" s="168"/>
      <c r="J748" s="168"/>
    </row>
    <row r="749" spans="1:10" ht="15" customHeight="1">
      <c r="A749" s="114"/>
      <c r="B749" s="163" t="s">
        <v>79</v>
      </c>
      <c r="C749" s="164"/>
      <c r="D749" s="164"/>
      <c r="E749" s="163" t="str">
        <f>'Pág 2'!C18</f>
        <v>FL.01/302.76/04537 - Memorial de Cálculo e Dimensionamento - Concreto.</v>
      </c>
      <c r="F749" s="114"/>
      <c r="G749" s="164"/>
      <c r="H749" s="164"/>
      <c r="I749" s="164"/>
      <c r="J749" s="164"/>
    </row>
    <row r="750" spans="1:10" ht="15" customHeight="1">
      <c r="A750" s="114"/>
      <c r="B750" s="163" t="s">
        <v>73</v>
      </c>
      <c r="C750" s="153"/>
      <c r="D750" s="153"/>
      <c r="E750" s="163"/>
      <c r="F750" s="114"/>
      <c r="G750" s="164"/>
      <c r="H750" s="164"/>
      <c r="I750" s="164"/>
      <c r="J750" s="544"/>
    </row>
    <row r="751" spans="1:10" thickBot="1">
      <c r="A751" s="114"/>
      <c r="B751" s="165"/>
      <c r="C751" s="165"/>
      <c r="D751" s="165"/>
      <c r="E751" s="153"/>
      <c r="F751" s="153"/>
      <c r="G751" s="153"/>
      <c r="H751" s="153"/>
      <c r="I751" s="153"/>
      <c r="J751" s="545"/>
    </row>
    <row r="752" spans="1:10" ht="15">
      <c r="A752" s="114"/>
      <c r="B752" s="1187" t="s">
        <v>74</v>
      </c>
      <c r="C752" s="1187"/>
      <c r="D752" s="1187"/>
      <c r="E752" s="1187"/>
      <c r="F752" s="1187"/>
      <c r="G752" s="1187"/>
      <c r="H752" s="1188"/>
      <c r="I752" s="1189"/>
      <c r="J752" s="546" t="s">
        <v>75</v>
      </c>
    </row>
    <row r="753" spans="1:10" ht="15">
      <c r="A753" s="114"/>
      <c r="B753" s="1181" t="str">
        <f>TIT.601</f>
        <v>FL.06/304.13/04543 - TPS - PLANTA DE FUNDAÇÃO</v>
      </c>
      <c r="C753" s="1181"/>
      <c r="D753" s="1181"/>
      <c r="E753" s="1181"/>
      <c r="F753" s="1181"/>
      <c r="G753" s="1181"/>
      <c r="H753" s="1182"/>
      <c r="I753" s="1183"/>
      <c r="J753" s="547">
        <f>QE40.601</f>
        <v>172</v>
      </c>
    </row>
    <row r="754" spans="1:10" ht="15" customHeight="1">
      <c r="A754" s="114"/>
      <c r="B754" s="1181"/>
      <c r="C754" s="1181"/>
      <c r="D754" s="1181"/>
      <c r="E754" s="1181"/>
      <c r="F754" s="1181"/>
      <c r="G754" s="1181"/>
      <c r="H754" s="1182"/>
      <c r="I754" s="1183"/>
      <c r="J754" s="548"/>
    </row>
    <row r="755" spans="1:10" ht="15" customHeight="1" thickBot="1">
      <c r="A755" s="114"/>
      <c r="B755" s="1193" t="s">
        <v>76</v>
      </c>
      <c r="C755" s="1193"/>
      <c r="D755" s="1193"/>
      <c r="E755" s="1193"/>
      <c r="F755" s="1193"/>
      <c r="G755" s="1193"/>
      <c r="H755" s="1194"/>
      <c r="I755" s="1195"/>
      <c r="J755" s="549">
        <f>SUM(J753:J753)</f>
        <v>172</v>
      </c>
    </row>
    <row r="756" spans="1:10" ht="15" customHeight="1" thickBot="1">
      <c r="A756" s="114"/>
      <c r="B756" s="1248" t="s">
        <v>77</v>
      </c>
      <c r="C756" s="1248"/>
      <c r="D756" s="1248"/>
      <c r="E756" s="1248"/>
      <c r="F756" s="1248"/>
      <c r="G756" s="1248"/>
      <c r="H756" s="1248"/>
      <c r="I756" s="1248"/>
      <c r="J756" s="555"/>
    </row>
    <row r="757" spans="1:10" ht="15" customHeight="1">
      <c r="A757" s="114"/>
      <c r="B757" s="551" t="s">
        <v>1091</v>
      </c>
      <c r="C757" s="374"/>
      <c r="D757" s="374"/>
      <c r="E757" s="374"/>
      <c r="F757" s="374"/>
      <c r="G757" s="374"/>
      <c r="H757" s="374"/>
      <c r="I757" s="374"/>
      <c r="J757" s="545"/>
    </row>
    <row r="758" spans="1:10" ht="15" customHeight="1" thickBot="1">
      <c r="A758" s="114"/>
      <c r="B758" s="155"/>
      <c r="C758" s="155"/>
      <c r="D758" s="155"/>
      <c r="E758" s="155"/>
      <c r="F758" s="155"/>
      <c r="G758" s="155"/>
      <c r="H758" s="155"/>
      <c r="I758" s="155"/>
      <c r="J758" s="552"/>
    </row>
    <row r="759" spans="1:10" thickTop="1">
      <c r="A759" s="114"/>
      <c r="B759" s="1211" t="s">
        <v>57</v>
      </c>
      <c r="C759" s="1211"/>
      <c r="D759" s="1211"/>
      <c r="E759" s="1211"/>
      <c r="F759" s="1211"/>
      <c r="G759" s="1211"/>
      <c r="H759" s="1211"/>
      <c r="I759" s="1211"/>
      <c r="J759" s="1211"/>
    </row>
    <row r="760" spans="1:10" ht="44.25" customHeight="1">
      <c r="A760" s="114"/>
      <c r="B760" s="1213" t="str">
        <f>'PSQ-INFRA'!C153</f>
        <v>Preparo de Cabeças de Estacas com diâmetro de 600 mm</v>
      </c>
      <c r="C760" s="1213"/>
      <c r="D760" s="1213"/>
      <c r="E760" s="1213"/>
      <c r="F760" s="1213"/>
      <c r="G760" s="1213"/>
      <c r="H760" s="1213"/>
      <c r="I760" s="1213"/>
      <c r="J760" s="541"/>
    </row>
    <row r="761" spans="1:10" ht="15">
      <c r="A761" s="114"/>
      <c r="B761" s="1214" t="s">
        <v>7</v>
      </c>
      <c r="C761" s="1215"/>
      <c r="D761" s="1220" t="s">
        <v>70</v>
      </c>
      <c r="E761" s="1221"/>
      <c r="F761" s="1221"/>
      <c r="G761" s="1222"/>
      <c r="H761" s="1223" t="s">
        <v>4</v>
      </c>
      <c r="I761" s="1224"/>
      <c r="J761" s="963" t="s">
        <v>71</v>
      </c>
    </row>
    <row r="762" spans="1:10" ht="56.25" customHeight="1" thickBot="1">
      <c r="A762" s="114"/>
      <c r="B762" s="1225" t="str">
        <f>'PSQ-INFRA'!B153</f>
        <v>04.02.120.05</v>
      </c>
      <c r="C762" s="1226"/>
      <c r="D762" s="1218" t="str">
        <f>B760</f>
        <v>Preparo de Cabeças de Estacas com diâmetro de 600 mm</v>
      </c>
      <c r="E762" s="1219"/>
      <c r="F762" s="1219"/>
      <c r="G762" s="1195"/>
      <c r="H762" s="1184" t="str">
        <f>'PSQ-INFRA'!D153</f>
        <v>un</v>
      </c>
      <c r="I762" s="1185"/>
      <c r="J762" s="542">
        <f>J771</f>
        <v>118</v>
      </c>
    </row>
    <row r="763" spans="1:10" ht="15">
      <c r="A763" s="114"/>
      <c r="B763" s="1186" t="s">
        <v>72</v>
      </c>
      <c r="C763" s="1186"/>
      <c r="D763" s="1186"/>
      <c r="E763" s="1186"/>
      <c r="F763" s="1186"/>
      <c r="G763" s="1186"/>
      <c r="H763" s="1186"/>
      <c r="I763" s="1186"/>
      <c r="J763" s="543"/>
    </row>
    <row r="764" spans="1:10" ht="15" customHeight="1">
      <c r="A764" s="114"/>
      <c r="B764" s="162" t="s">
        <v>80</v>
      </c>
      <c r="C764" s="168"/>
      <c r="D764" s="168"/>
      <c r="E764" s="168"/>
      <c r="F764" s="168"/>
      <c r="G764" s="168"/>
      <c r="H764" s="162" t="str">
        <f>'Pág 2'!C25</f>
        <v>FL.01/302.92/04538 - Especificação Técnica - Concreto</v>
      </c>
      <c r="I764" s="168"/>
      <c r="J764" s="168"/>
    </row>
    <row r="765" spans="1:10" ht="15" customHeight="1">
      <c r="A765" s="114"/>
      <c r="B765" s="163" t="s">
        <v>79</v>
      </c>
      <c r="C765" s="164"/>
      <c r="D765" s="164"/>
      <c r="E765" s="163" t="str">
        <f>'Pág 2'!C18</f>
        <v>FL.01/302.76/04537 - Memorial de Cálculo e Dimensionamento - Concreto.</v>
      </c>
      <c r="F765" s="114"/>
      <c r="G765" s="164"/>
      <c r="H765" s="164"/>
      <c r="I765" s="164"/>
      <c r="J765" s="164"/>
    </row>
    <row r="766" spans="1:10" ht="15" customHeight="1">
      <c r="A766" s="114"/>
      <c r="B766" s="163" t="s">
        <v>73</v>
      </c>
      <c r="C766" s="153"/>
      <c r="D766" s="153"/>
      <c r="E766" s="163"/>
      <c r="F766" s="114"/>
      <c r="G766" s="164"/>
      <c r="H766" s="164"/>
      <c r="I766" s="164"/>
      <c r="J766" s="544"/>
    </row>
    <row r="767" spans="1:10" thickBot="1">
      <c r="A767" s="114"/>
      <c r="B767" s="165"/>
      <c r="C767" s="165"/>
      <c r="D767" s="165"/>
      <c r="E767" s="153"/>
      <c r="F767" s="153"/>
      <c r="G767" s="153"/>
      <c r="H767" s="153"/>
      <c r="I767" s="153"/>
      <c r="J767" s="545"/>
    </row>
    <row r="768" spans="1:10" ht="15">
      <c r="A768" s="114"/>
      <c r="B768" s="1187" t="s">
        <v>74</v>
      </c>
      <c r="C768" s="1187"/>
      <c r="D768" s="1187"/>
      <c r="E768" s="1187"/>
      <c r="F768" s="1187"/>
      <c r="G768" s="1187"/>
      <c r="H768" s="1188"/>
      <c r="I768" s="1189"/>
      <c r="J768" s="546" t="s">
        <v>75</v>
      </c>
    </row>
    <row r="769" spans="1:10" ht="15">
      <c r="A769" s="114"/>
      <c r="B769" s="1181" t="str">
        <f>TIT.601</f>
        <v>FL.06/304.13/04543 - TPS - PLANTA DE FUNDAÇÃO</v>
      </c>
      <c r="C769" s="1181"/>
      <c r="D769" s="1181"/>
      <c r="E769" s="1181"/>
      <c r="F769" s="1181"/>
      <c r="G769" s="1181"/>
      <c r="H769" s="1182"/>
      <c r="I769" s="1183"/>
      <c r="J769" s="547">
        <f>QE60.601</f>
        <v>118</v>
      </c>
    </row>
    <row r="770" spans="1:10" ht="15" customHeight="1">
      <c r="A770" s="114"/>
      <c r="B770" s="1181"/>
      <c r="C770" s="1181"/>
      <c r="D770" s="1181"/>
      <c r="E770" s="1181"/>
      <c r="F770" s="1181"/>
      <c r="G770" s="1181"/>
      <c r="H770" s="1182"/>
      <c r="I770" s="1183"/>
      <c r="J770" s="548"/>
    </row>
    <row r="771" spans="1:10" ht="15" customHeight="1" thickBot="1">
      <c r="A771" s="114"/>
      <c r="B771" s="1193" t="s">
        <v>76</v>
      </c>
      <c r="C771" s="1193"/>
      <c r="D771" s="1193"/>
      <c r="E771" s="1193"/>
      <c r="F771" s="1193"/>
      <c r="G771" s="1193"/>
      <c r="H771" s="1194"/>
      <c r="I771" s="1195"/>
      <c r="J771" s="549">
        <f>SUM(J769:J769)</f>
        <v>118</v>
      </c>
    </row>
    <row r="772" spans="1:10" ht="15" customHeight="1" thickBot="1">
      <c r="A772" s="114"/>
      <c r="B772" s="1248" t="s">
        <v>77</v>
      </c>
      <c r="C772" s="1248"/>
      <c r="D772" s="1248"/>
      <c r="E772" s="1248"/>
      <c r="F772" s="1248"/>
      <c r="G772" s="1248"/>
      <c r="H772" s="1248"/>
      <c r="I772" s="1248"/>
      <c r="J772" s="555"/>
    </row>
    <row r="773" spans="1:10" ht="15" customHeight="1">
      <c r="A773" s="114"/>
      <c r="B773" s="551" t="s">
        <v>1091</v>
      </c>
      <c r="C773" s="374"/>
      <c r="D773" s="374"/>
      <c r="E773" s="374"/>
      <c r="F773" s="374"/>
      <c r="G773" s="374"/>
      <c r="H773" s="374"/>
      <c r="I773" s="374"/>
      <c r="J773" s="545"/>
    </row>
    <row r="774" spans="1:10" ht="15" customHeight="1" thickBot="1">
      <c r="A774" s="114"/>
      <c r="B774" s="155"/>
      <c r="C774" s="155"/>
      <c r="D774" s="155"/>
      <c r="E774" s="155"/>
      <c r="F774" s="155"/>
      <c r="G774" s="155"/>
      <c r="H774" s="155"/>
      <c r="I774" s="155"/>
      <c r="J774" s="552"/>
    </row>
    <row r="775" spans="1:10" thickTop="1">
      <c r="A775" s="114"/>
      <c r="B775" s="1211" t="s">
        <v>57</v>
      </c>
      <c r="C775" s="1211"/>
      <c r="D775" s="1211"/>
      <c r="E775" s="1211"/>
      <c r="F775" s="1211"/>
      <c r="G775" s="1211"/>
      <c r="H775" s="1211"/>
      <c r="I775" s="1211"/>
      <c r="J775" s="1211"/>
    </row>
    <row r="776" spans="1:10" ht="44.25" customHeight="1">
      <c r="A776" s="114"/>
      <c r="B776" s="1213" t="str">
        <f>'PSQ-INFRA'!C154</f>
        <v>Preparo de Cabeças de Estacas com diâmetro de 700 mm</v>
      </c>
      <c r="C776" s="1213"/>
      <c r="D776" s="1213"/>
      <c r="E776" s="1213"/>
      <c r="F776" s="1213"/>
      <c r="G776" s="1213"/>
      <c r="H776" s="1213"/>
      <c r="I776" s="1213"/>
      <c r="J776" s="541"/>
    </row>
    <row r="777" spans="1:10" ht="15">
      <c r="A777" s="114"/>
      <c r="B777" s="1214" t="s">
        <v>7</v>
      </c>
      <c r="C777" s="1215"/>
      <c r="D777" s="1220" t="s">
        <v>70</v>
      </c>
      <c r="E777" s="1221"/>
      <c r="F777" s="1221"/>
      <c r="G777" s="1222"/>
      <c r="H777" s="1223" t="s">
        <v>4</v>
      </c>
      <c r="I777" s="1224"/>
      <c r="J777" s="963" t="s">
        <v>71</v>
      </c>
    </row>
    <row r="778" spans="1:10" ht="56.25" customHeight="1" thickBot="1">
      <c r="A778" s="114"/>
      <c r="B778" s="1225" t="str">
        <f>'PSQ-INFRA'!B154</f>
        <v>04.02.120.06</v>
      </c>
      <c r="C778" s="1226"/>
      <c r="D778" s="1218" t="str">
        <f>B776</f>
        <v>Preparo de Cabeças de Estacas com diâmetro de 700 mm</v>
      </c>
      <c r="E778" s="1219"/>
      <c r="F778" s="1219"/>
      <c r="G778" s="1195"/>
      <c r="H778" s="1184" t="str">
        <f>'PSQ-INFRA'!D154</f>
        <v>un</v>
      </c>
      <c r="I778" s="1185"/>
      <c r="J778" s="542">
        <f>J787</f>
        <v>274</v>
      </c>
    </row>
    <row r="779" spans="1:10" ht="15">
      <c r="A779" s="114"/>
      <c r="B779" s="1186" t="s">
        <v>72</v>
      </c>
      <c r="C779" s="1186"/>
      <c r="D779" s="1186"/>
      <c r="E779" s="1186"/>
      <c r="F779" s="1186"/>
      <c r="G779" s="1186"/>
      <c r="H779" s="1186"/>
      <c r="I779" s="1186"/>
      <c r="J779" s="543"/>
    </row>
    <row r="780" spans="1:10" ht="15" customHeight="1">
      <c r="A780" s="114"/>
      <c r="B780" s="162" t="s">
        <v>80</v>
      </c>
      <c r="C780" s="168"/>
      <c r="D780" s="168"/>
      <c r="E780" s="168"/>
      <c r="F780" s="168"/>
      <c r="G780" s="168"/>
      <c r="H780" s="162" t="str">
        <f>'Pág 2'!C25</f>
        <v>FL.01/302.92/04538 - Especificação Técnica - Concreto</v>
      </c>
      <c r="I780" s="168"/>
      <c r="J780" s="168"/>
    </row>
    <row r="781" spans="1:10" ht="15" customHeight="1">
      <c r="A781" s="114"/>
      <c r="B781" s="163" t="s">
        <v>79</v>
      </c>
      <c r="C781" s="164"/>
      <c r="D781" s="164"/>
      <c r="E781" s="163" t="str">
        <f>'Pág 2'!C18</f>
        <v>FL.01/302.76/04537 - Memorial de Cálculo e Dimensionamento - Concreto.</v>
      </c>
      <c r="F781" s="114"/>
      <c r="G781" s="164"/>
      <c r="H781" s="164"/>
      <c r="I781" s="164"/>
      <c r="J781" s="164"/>
    </row>
    <row r="782" spans="1:10" ht="15" customHeight="1">
      <c r="A782" s="114"/>
      <c r="B782" s="163" t="s">
        <v>73</v>
      </c>
      <c r="C782" s="153"/>
      <c r="D782" s="153"/>
      <c r="E782" s="163"/>
      <c r="F782" s="114"/>
      <c r="G782" s="164"/>
      <c r="H782" s="164"/>
      <c r="I782" s="164"/>
      <c r="J782" s="544"/>
    </row>
    <row r="783" spans="1:10" thickBot="1">
      <c r="A783" s="114"/>
      <c r="B783" s="165"/>
      <c r="C783" s="165"/>
      <c r="D783" s="165"/>
      <c r="E783" s="153"/>
      <c r="F783" s="153"/>
      <c r="G783" s="153"/>
      <c r="H783" s="153"/>
      <c r="I783" s="153"/>
      <c r="J783" s="545"/>
    </row>
    <row r="784" spans="1:10" ht="15">
      <c r="A784" s="114"/>
      <c r="B784" s="1187" t="s">
        <v>74</v>
      </c>
      <c r="C784" s="1187"/>
      <c r="D784" s="1187"/>
      <c r="E784" s="1187"/>
      <c r="F784" s="1187"/>
      <c r="G784" s="1187"/>
      <c r="H784" s="1188"/>
      <c r="I784" s="1189"/>
      <c r="J784" s="546" t="s">
        <v>75</v>
      </c>
    </row>
    <row r="785" spans="1:12" ht="15">
      <c r="A785" s="114"/>
      <c r="B785" s="1181" t="str">
        <f>TIT.601</f>
        <v>FL.06/304.13/04543 - TPS - PLANTA DE FUNDAÇÃO</v>
      </c>
      <c r="C785" s="1181"/>
      <c r="D785" s="1181"/>
      <c r="E785" s="1181"/>
      <c r="F785" s="1181"/>
      <c r="G785" s="1181"/>
      <c r="H785" s="1182"/>
      <c r="I785" s="1183"/>
      <c r="J785" s="547">
        <f>QE70.601</f>
        <v>274</v>
      </c>
    </row>
    <row r="786" spans="1:12" ht="15" customHeight="1">
      <c r="A786" s="114"/>
      <c r="B786" s="1181"/>
      <c r="C786" s="1181"/>
      <c r="D786" s="1181"/>
      <c r="E786" s="1181"/>
      <c r="F786" s="1181"/>
      <c r="G786" s="1181"/>
      <c r="H786" s="1182"/>
      <c r="I786" s="1183"/>
      <c r="J786" s="548"/>
    </row>
    <row r="787" spans="1:12" ht="15" customHeight="1" thickBot="1">
      <c r="A787" s="114"/>
      <c r="B787" s="1193" t="s">
        <v>76</v>
      </c>
      <c r="C787" s="1193"/>
      <c r="D787" s="1193"/>
      <c r="E787" s="1193"/>
      <c r="F787" s="1193"/>
      <c r="G787" s="1193"/>
      <c r="H787" s="1194"/>
      <c r="I787" s="1195"/>
      <c r="J787" s="549">
        <f>SUM(J785:J785)</f>
        <v>274</v>
      </c>
    </row>
    <row r="788" spans="1:12" ht="15" customHeight="1" thickBot="1">
      <c r="A788" s="114"/>
      <c r="B788" s="1248" t="s">
        <v>77</v>
      </c>
      <c r="C788" s="1248"/>
      <c r="D788" s="1248"/>
      <c r="E788" s="1248"/>
      <c r="F788" s="1248"/>
      <c r="G788" s="1248"/>
      <c r="H788" s="1248"/>
      <c r="I788" s="1248"/>
      <c r="J788" s="555"/>
    </row>
    <row r="789" spans="1:12" ht="15" customHeight="1">
      <c r="A789" s="114"/>
      <c r="B789" s="551" t="s">
        <v>1091</v>
      </c>
      <c r="C789" s="374"/>
      <c r="D789" s="374"/>
      <c r="E789" s="374"/>
      <c r="F789" s="374"/>
      <c r="G789" s="374"/>
      <c r="H789" s="374"/>
      <c r="I789" s="374"/>
      <c r="J789" s="545"/>
    </row>
    <row r="790" spans="1:12" ht="15" customHeight="1" thickBot="1">
      <c r="A790" s="114"/>
      <c r="B790" s="155"/>
      <c r="C790" s="155"/>
      <c r="D790" s="155"/>
      <c r="E790" s="155"/>
      <c r="F790" s="155"/>
      <c r="G790" s="155"/>
      <c r="H790" s="155"/>
      <c r="I790" s="155"/>
      <c r="J790" s="552"/>
    </row>
    <row r="791" spans="1:12" thickTop="1">
      <c r="A791" s="114"/>
      <c r="B791" s="1211" t="s">
        <v>57</v>
      </c>
      <c r="C791" s="1211"/>
      <c r="D791" s="1211"/>
      <c r="E791" s="1211"/>
      <c r="F791" s="1211"/>
      <c r="G791" s="1211"/>
      <c r="H791" s="1211"/>
      <c r="I791" s="1211"/>
      <c r="J791" s="1212"/>
    </row>
    <row r="792" spans="1:12" ht="44.25" customHeight="1">
      <c r="A792" s="114"/>
      <c r="B792" s="1213" t="str">
        <f>'PSQ-INFRA'!C176</f>
        <v>Fornecimento, transporte, lançamento, adensamento, acabamento e cura - Lastro de Concreto  (fck=10MPa)</v>
      </c>
      <c r="C792" s="1213"/>
      <c r="D792" s="1213"/>
      <c r="E792" s="1213"/>
      <c r="F792" s="1213"/>
      <c r="G792" s="1213"/>
      <c r="H792" s="1213"/>
      <c r="I792" s="1213"/>
      <c r="J792" s="541"/>
    </row>
    <row r="793" spans="1:12" ht="15">
      <c r="A793" s="114"/>
      <c r="B793" s="1214" t="s">
        <v>7</v>
      </c>
      <c r="C793" s="1215"/>
      <c r="D793" s="1220" t="s">
        <v>70</v>
      </c>
      <c r="E793" s="1221"/>
      <c r="F793" s="1221"/>
      <c r="G793" s="1222"/>
      <c r="H793" s="1223" t="s">
        <v>4</v>
      </c>
      <c r="I793" s="1224"/>
      <c r="J793" s="365" t="s">
        <v>71</v>
      </c>
    </row>
    <row r="794" spans="1:12" ht="56.25" customHeight="1" thickBot="1">
      <c r="A794" s="114"/>
      <c r="B794" s="1225" t="str">
        <f>'PSQ-INFRA'!B176</f>
        <v>04.02.210.01</v>
      </c>
      <c r="C794" s="1226"/>
      <c r="D794" s="1218" t="str">
        <f>B792</f>
        <v>Fornecimento, transporte, lançamento, adensamento, acabamento e cura - Lastro de Concreto  (fck=10MPa)</v>
      </c>
      <c r="E794" s="1219"/>
      <c r="F794" s="1219"/>
      <c r="G794" s="1195"/>
      <c r="H794" s="1184" t="str">
        <f>'PSQ-INFRA'!D176</f>
        <v>m³</v>
      </c>
      <c r="I794" s="1185"/>
      <c r="J794" s="542">
        <f>J803</f>
        <v>1058.9802499999996</v>
      </c>
      <c r="L794" s="114" t="s">
        <v>1108</v>
      </c>
    </row>
    <row r="795" spans="1:12" ht="15">
      <c r="A795" s="114"/>
      <c r="B795" s="1186" t="s">
        <v>72</v>
      </c>
      <c r="C795" s="1186"/>
      <c r="D795" s="1186"/>
      <c r="E795" s="1186"/>
      <c r="F795" s="1186"/>
      <c r="G795" s="1186"/>
      <c r="H795" s="1186"/>
      <c r="I795" s="1186"/>
      <c r="J795" s="543"/>
    </row>
    <row r="796" spans="1:12" ht="15">
      <c r="A796" s="114"/>
      <c r="B796" s="162" t="s">
        <v>80</v>
      </c>
      <c r="C796" s="168"/>
      <c r="D796" s="168"/>
      <c r="E796" s="168"/>
      <c r="F796" s="168"/>
      <c r="G796" s="168"/>
      <c r="H796" s="162" t="str">
        <f>'Pág 2'!C25</f>
        <v>FL.01/302.92/04538 - Especificação Técnica - Concreto</v>
      </c>
      <c r="I796" s="168"/>
      <c r="J796" s="168"/>
    </row>
    <row r="797" spans="1:12" ht="15">
      <c r="A797" s="114"/>
      <c r="B797" s="163" t="s">
        <v>79</v>
      </c>
      <c r="C797" s="164"/>
      <c r="D797" s="164"/>
      <c r="E797" s="163" t="str">
        <f>'Pág 2'!C18</f>
        <v>FL.01/302.76/04537 - Memorial de Cálculo e Dimensionamento - Concreto.</v>
      </c>
      <c r="F797" s="114"/>
      <c r="G797" s="164"/>
      <c r="H797" s="164"/>
      <c r="I797" s="164"/>
      <c r="J797" s="164"/>
    </row>
    <row r="798" spans="1:12" ht="15">
      <c r="A798" s="114"/>
      <c r="B798" s="163" t="s">
        <v>73</v>
      </c>
      <c r="C798" s="153"/>
      <c r="D798" s="153"/>
      <c r="E798" s="163"/>
      <c r="F798" s="114"/>
      <c r="G798" s="164"/>
      <c r="H798" s="164"/>
      <c r="I798" s="164"/>
      <c r="J798" s="544"/>
    </row>
    <row r="799" spans="1:12" thickBot="1">
      <c r="A799" s="114"/>
      <c r="B799" s="165"/>
      <c r="C799" s="165"/>
      <c r="D799" s="165"/>
      <c r="E799" s="153"/>
      <c r="F799" s="153"/>
      <c r="G799" s="153"/>
      <c r="H799" s="153"/>
      <c r="I799" s="153"/>
      <c r="J799" s="545"/>
    </row>
    <row r="800" spans="1:12" ht="15">
      <c r="A800" s="114"/>
      <c r="B800" s="1187" t="s">
        <v>74</v>
      </c>
      <c r="C800" s="1187"/>
      <c r="D800" s="1187"/>
      <c r="E800" s="1187"/>
      <c r="F800" s="1187"/>
      <c r="G800" s="1187"/>
      <c r="H800" s="1188"/>
      <c r="I800" s="1189"/>
      <c r="J800" s="546" t="s">
        <v>75</v>
      </c>
    </row>
    <row r="801" spans="1:10" ht="15">
      <c r="A801" s="114"/>
      <c r="B801" s="1181" t="str">
        <f>TIT.601</f>
        <v>FL.06/304.13/04543 - TPS - PLANTA DE FUNDAÇÃO</v>
      </c>
      <c r="C801" s="1181"/>
      <c r="D801" s="1181"/>
      <c r="E801" s="1181"/>
      <c r="F801" s="1181"/>
      <c r="G801" s="1181"/>
      <c r="H801" s="1182"/>
      <c r="I801" s="1183"/>
      <c r="J801" s="1249">
        <f>LC.601</f>
        <v>1058.9802499999996</v>
      </c>
    </row>
    <row r="802" spans="1:10" ht="15" customHeight="1">
      <c r="A802" s="114"/>
      <c r="B802" s="1181" t="str">
        <f>TIT.602</f>
        <v>FL.01/304.13/06246 - BASES POSTES DE ILUMINAÇÃO</v>
      </c>
      <c r="C802" s="1181"/>
      <c r="D802" s="1181"/>
      <c r="E802" s="1181"/>
      <c r="F802" s="1181"/>
      <c r="G802" s="1181"/>
      <c r="H802" s="1182"/>
      <c r="I802" s="1183"/>
      <c r="J802" s="1250"/>
    </row>
    <row r="803" spans="1:10" ht="15" customHeight="1" thickBot="1">
      <c r="A803" s="114"/>
      <c r="B803" s="1193" t="s">
        <v>76</v>
      </c>
      <c r="C803" s="1193"/>
      <c r="D803" s="1193"/>
      <c r="E803" s="1193"/>
      <c r="F803" s="1193"/>
      <c r="G803" s="1193"/>
      <c r="H803" s="1194"/>
      <c r="I803" s="1195"/>
      <c r="J803" s="549">
        <f>SUM(J801:J801)</f>
        <v>1058.9802499999996</v>
      </c>
    </row>
    <row r="804" spans="1:10" thickBot="1">
      <c r="A804" s="114"/>
      <c r="B804" s="1196" t="s">
        <v>77</v>
      </c>
      <c r="C804" s="1196"/>
      <c r="D804" s="1196"/>
      <c r="E804" s="1196"/>
      <c r="F804" s="1196"/>
      <c r="G804" s="1196"/>
      <c r="H804" s="1196"/>
      <c r="I804" s="1196"/>
      <c r="J804" s="550"/>
    </row>
    <row r="805" spans="1:10" ht="15">
      <c r="A805" s="114"/>
      <c r="B805" s="551" t="s">
        <v>1091</v>
      </c>
      <c r="C805" s="154"/>
      <c r="D805" s="154"/>
      <c r="E805" s="154"/>
      <c r="F805" s="154"/>
      <c r="G805" s="154"/>
      <c r="H805" s="154"/>
      <c r="I805" s="154"/>
      <c r="J805" s="545"/>
    </row>
    <row r="806" spans="1:10" thickBot="1">
      <c r="A806" s="114"/>
      <c r="B806" s="155"/>
      <c r="C806" s="155"/>
      <c r="D806" s="155"/>
      <c r="E806" s="155"/>
      <c r="F806" s="155"/>
      <c r="G806" s="155"/>
      <c r="H806" s="155"/>
      <c r="I806" s="155"/>
      <c r="J806" s="552"/>
    </row>
    <row r="807" spans="1:10" thickTop="1">
      <c r="A807" s="114"/>
      <c r="B807" s="1211" t="s">
        <v>57</v>
      </c>
      <c r="C807" s="1211"/>
      <c r="D807" s="1211"/>
      <c r="E807" s="1211"/>
      <c r="F807" s="1211"/>
      <c r="G807" s="1211"/>
      <c r="H807" s="1211"/>
      <c r="I807" s="1211"/>
      <c r="J807" s="1212"/>
    </row>
    <row r="808" spans="1:10" ht="44.25" customHeight="1">
      <c r="A808" s="114"/>
      <c r="B808" s="1213" t="str">
        <f>'PSQ-INFRA'!C180</f>
        <v>Forma plana comum p/ fundações</v>
      </c>
      <c r="C808" s="1213"/>
      <c r="D808" s="1213"/>
      <c r="E808" s="1213"/>
      <c r="F808" s="1213"/>
      <c r="G808" s="1213"/>
      <c r="H808" s="1213"/>
      <c r="I808" s="1213"/>
      <c r="J808" s="541"/>
    </row>
    <row r="809" spans="1:10" ht="15">
      <c r="A809" s="114"/>
      <c r="B809" s="1214" t="s">
        <v>7</v>
      </c>
      <c r="C809" s="1215"/>
      <c r="D809" s="1220" t="s">
        <v>70</v>
      </c>
      <c r="E809" s="1221"/>
      <c r="F809" s="1221"/>
      <c r="G809" s="1222"/>
      <c r="H809" s="1223" t="s">
        <v>4</v>
      </c>
      <c r="I809" s="1224"/>
      <c r="J809" s="365" t="s">
        <v>71</v>
      </c>
    </row>
    <row r="810" spans="1:10" ht="56.25" customHeight="1" thickBot="1">
      <c r="A810" s="114"/>
      <c r="B810" s="1225" t="str">
        <f>'PSQ-INFRA'!B180</f>
        <v>04.02.220.01</v>
      </c>
      <c r="C810" s="1226"/>
      <c r="D810" s="1218" t="str">
        <f>B808</f>
        <v>Forma plana comum p/ fundações</v>
      </c>
      <c r="E810" s="1219"/>
      <c r="F810" s="1219"/>
      <c r="G810" s="1195"/>
      <c r="H810" s="1184" t="str">
        <f>'PSQ-INFRA'!D180</f>
        <v>m²</v>
      </c>
      <c r="I810" s="1185"/>
      <c r="J810" s="542">
        <f>J819</f>
        <v>8358.1353199161877</v>
      </c>
    </row>
    <row r="811" spans="1:10" ht="15">
      <c r="A811" s="114"/>
      <c r="B811" s="1186" t="s">
        <v>72</v>
      </c>
      <c r="C811" s="1186"/>
      <c r="D811" s="1186"/>
      <c r="E811" s="1186"/>
      <c r="F811" s="1186"/>
      <c r="G811" s="1186"/>
      <c r="H811" s="1186"/>
      <c r="I811" s="1186"/>
      <c r="J811" s="543"/>
    </row>
    <row r="812" spans="1:10" ht="15">
      <c r="A812" s="114"/>
      <c r="B812" s="162" t="s">
        <v>80</v>
      </c>
      <c r="C812" s="168"/>
      <c r="D812" s="168"/>
      <c r="E812" s="168"/>
      <c r="F812" s="168"/>
      <c r="G812" s="168"/>
      <c r="H812" s="162" t="str">
        <f>'Pág 2'!C25</f>
        <v>FL.01/302.92/04538 - Especificação Técnica - Concreto</v>
      </c>
      <c r="I812" s="168"/>
      <c r="J812" s="168"/>
    </row>
    <row r="813" spans="1:10" ht="15">
      <c r="A813" s="114"/>
      <c r="B813" s="163" t="s">
        <v>79</v>
      </c>
      <c r="C813" s="164"/>
      <c r="D813" s="164"/>
      <c r="E813" s="163" t="str">
        <f>'Pág 2'!C18</f>
        <v>FL.01/302.76/04537 - Memorial de Cálculo e Dimensionamento - Concreto.</v>
      </c>
      <c r="F813" s="114"/>
      <c r="G813" s="164"/>
      <c r="H813" s="164"/>
      <c r="I813" s="164"/>
      <c r="J813" s="164"/>
    </row>
    <row r="814" spans="1:10" ht="15">
      <c r="A814" s="114"/>
      <c r="B814" s="163" t="s">
        <v>73</v>
      </c>
      <c r="C814" s="153"/>
      <c r="D814" s="153"/>
      <c r="E814" s="163"/>
      <c r="F814" s="114"/>
      <c r="G814" s="164"/>
      <c r="H814" s="164"/>
      <c r="I814" s="164"/>
      <c r="J814" s="544"/>
    </row>
    <row r="815" spans="1:10" thickBot="1">
      <c r="A815" s="114"/>
      <c r="B815" s="165"/>
      <c r="C815" s="165"/>
      <c r="D815" s="165"/>
      <c r="E815" s="153"/>
      <c r="F815" s="153"/>
      <c r="G815" s="153"/>
      <c r="H815" s="153"/>
      <c r="I815" s="153"/>
      <c r="J815" s="545"/>
    </row>
    <row r="816" spans="1:10" ht="15">
      <c r="A816" s="114"/>
      <c r="B816" s="1187" t="s">
        <v>74</v>
      </c>
      <c r="C816" s="1187"/>
      <c r="D816" s="1187"/>
      <c r="E816" s="1187"/>
      <c r="F816" s="1187"/>
      <c r="G816" s="1187"/>
      <c r="H816" s="1188"/>
      <c r="I816" s="1189"/>
      <c r="J816" s="546" t="s">
        <v>75</v>
      </c>
    </row>
    <row r="817" spans="1:10" ht="15">
      <c r="A817" s="114"/>
      <c r="B817" s="1181" t="str">
        <f>TIT.601</f>
        <v>FL.06/304.13/04543 - TPS - PLANTA DE FUNDAÇÃO</v>
      </c>
      <c r="C817" s="1181"/>
      <c r="D817" s="1181"/>
      <c r="E817" s="1181"/>
      <c r="F817" s="1181"/>
      <c r="G817" s="1181"/>
      <c r="H817" s="1182"/>
      <c r="I817" s="1183"/>
      <c r="J817" s="1249">
        <f>F.601</f>
        <v>8358.1353199161877</v>
      </c>
    </row>
    <row r="818" spans="1:10" ht="15" customHeight="1">
      <c r="A818" s="114"/>
      <c r="B818" s="1181" t="str">
        <f>TIT.602</f>
        <v>FL.01/304.13/06246 - BASES POSTES DE ILUMINAÇÃO</v>
      </c>
      <c r="C818" s="1181"/>
      <c r="D818" s="1181"/>
      <c r="E818" s="1181"/>
      <c r="F818" s="1181"/>
      <c r="G818" s="1181"/>
      <c r="H818" s="1182"/>
      <c r="I818" s="1183"/>
      <c r="J818" s="1250"/>
    </row>
    <row r="819" spans="1:10" ht="15" customHeight="1" thickBot="1">
      <c r="A819" s="114"/>
      <c r="B819" s="1193" t="s">
        <v>76</v>
      </c>
      <c r="C819" s="1193"/>
      <c r="D819" s="1193"/>
      <c r="E819" s="1193"/>
      <c r="F819" s="1193"/>
      <c r="G819" s="1193"/>
      <c r="H819" s="1194"/>
      <c r="I819" s="1195"/>
      <c r="J819" s="549">
        <f>SUM(J817:J817)</f>
        <v>8358.1353199161877</v>
      </c>
    </row>
    <row r="820" spans="1:10" thickBot="1">
      <c r="A820" s="114"/>
      <c r="B820" s="1196" t="s">
        <v>77</v>
      </c>
      <c r="C820" s="1196"/>
      <c r="D820" s="1196"/>
      <c r="E820" s="1196"/>
      <c r="F820" s="1196"/>
      <c r="G820" s="1196"/>
      <c r="H820" s="1196"/>
      <c r="I820" s="1196"/>
      <c r="J820" s="550"/>
    </row>
    <row r="821" spans="1:10" ht="15">
      <c r="A821" s="114"/>
      <c r="B821" s="551" t="s">
        <v>1091</v>
      </c>
      <c r="C821" s="154"/>
      <c r="D821" s="154"/>
      <c r="E821" s="154"/>
      <c r="F821" s="154"/>
      <c r="G821" s="154"/>
      <c r="H821" s="154"/>
      <c r="I821" s="154"/>
      <c r="J821" s="545"/>
    </row>
    <row r="822" spans="1:10" thickBot="1">
      <c r="A822" s="114"/>
      <c r="B822" s="155"/>
      <c r="C822" s="155"/>
      <c r="D822" s="155"/>
      <c r="E822" s="155"/>
      <c r="F822" s="155"/>
      <c r="G822" s="155"/>
      <c r="H822" s="155"/>
      <c r="I822" s="155"/>
      <c r="J822" s="552"/>
    </row>
    <row r="823" spans="1:10" thickTop="1">
      <c r="A823" s="114"/>
      <c r="B823" s="1211" t="s">
        <v>57</v>
      </c>
      <c r="C823" s="1211"/>
      <c r="D823" s="1211"/>
      <c r="E823" s="1211"/>
      <c r="F823" s="1211"/>
      <c r="G823" s="1211"/>
      <c r="H823" s="1211"/>
      <c r="I823" s="1211"/>
      <c r="J823" s="1212"/>
    </row>
    <row r="824" spans="1:10" ht="44.25" customHeight="1">
      <c r="A824" s="114"/>
      <c r="B824" s="1213" t="str">
        <f>'PSQ-INFRA'!C184</f>
        <v>Fornecimento, Dobra e Montagem de Aço CA-50</v>
      </c>
      <c r="C824" s="1213"/>
      <c r="D824" s="1213"/>
      <c r="E824" s="1213"/>
      <c r="F824" s="1213"/>
      <c r="G824" s="1213"/>
      <c r="H824" s="1213"/>
      <c r="I824" s="1213"/>
      <c r="J824" s="541"/>
    </row>
    <row r="825" spans="1:10" ht="15">
      <c r="A825" s="114"/>
      <c r="B825" s="1214" t="s">
        <v>7</v>
      </c>
      <c r="C825" s="1215"/>
      <c r="D825" s="1220" t="s">
        <v>70</v>
      </c>
      <c r="E825" s="1221"/>
      <c r="F825" s="1221"/>
      <c r="G825" s="1222"/>
      <c r="H825" s="1223" t="s">
        <v>4</v>
      </c>
      <c r="I825" s="1224"/>
      <c r="J825" s="365" t="s">
        <v>71</v>
      </c>
    </row>
    <row r="826" spans="1:10" ht="56.25" customHeight="1" thickBot="1">
      <c r="A826" s="114"/>
      <c r="B826" s="1225" t="str">
        <f>'PSQ-INFRA'!B184</f>
        <v>04.02.230.01</v>
      </c>
      <c r="C826" s="1226"/>
      <c r="D826" s="1218" t="str">
        <f>B824</f>
        <v>Fornecimento, Dobra e Montagem de Aço CA-50</v>
      </c>
      <c r="E826" s="1219"/>
      <c r="F826" s="1219"/>
      <c r="G826" s="1195"/>
      <c r="H826" s="1184" t="str">
        <f>'PSQ-INFRA'!D184</f>
        <v>kg</v>
      </c>
      <c r="I826" s="1185"/>
      <c r="J826" s="542">
        <f>J835</f>
        <v>456083</v>
      </c>
    </row>
    <row r="827" spans="1:10" ht="15">
      <c r="A827" s="114"/>
      <c r="B827" s="1186" t="s">
        <v>72</v>
      </c>
      <c r="C827" s="1186"/>
      <c r="D827" s="1186"/>
      <c r="E827" s="1186"/>
      <c r="F827" s="1186"/>
      <c r="G827" s="1186"/>
      <c r="H827" s="1186"/>
      <c r="I827" s="1186"/>
      <c r="J827" s="543"/>
    </row>
    <row r="828" spans="1:10" ht="15">
      <c r="A828" s="114"/>
      <c r="B828" s="162" t="s">
        <v>80</v>
      </c>
      <c r="C828" s="168"/>
      <c r="D828" s="168"/>
      <c r="E828" s="168"/>
      <c r="F828" s="168"/>
      <c r="G828" s="168"/>
      <c r="H828" s="162" t="str">
        <f>'Pág 2'!C25</f>
        <v>FL.01/302.92/04538 - Especificação Técnica - Concreto</v>
      </c>
      <c r="I828" s="168"/>
      <c r="J828" s="168"/>
    </row>
    <row r="829" spans="1:10" ht="15">
      <c r="A829" s="114"/>
      <c r="B829" s="163" t="s">
        <v>79</v>
      </c>
      <c r="C829" s="164"/>
      <c r="D829" s="164"/>
      <c r="E829" s="163" t="str">
        <f>'Pág 2'!C18</f>
        <v>FL.01/302.76/04537 - Memorial de Cálculo e Dimensionamento - Concreto.</v>
      </c>
      <c r="F829" s="114"/>
      <c r="G829" s="164"/>
      <c r="H829" s="164"/>
      <c r="I829" s="164"/>
      <c r="J829" s="164"/>
    </row>
    <row r="830" spans="1:10" ht="15">
      <c r="A830" s="114"/>
      <c r="B830" s="163" t="s">
        <v>1803</v>
      </c>
      <c r="C830" s="153"/>
      <c r="D830" s="153"/>
      <c r="E830" s="163"/>
      <c r="F830" s="114"/>
      <c r="G830" s="164"/>
      <c r="H830" s="164"/>
      <c r="I830" s="164"/>
      <c r="J830" s="544"/>
    </row>
    <row r="831" spans="1:10" thickBot="1">
      <c r="A831" s="114"/>
      <c r="B831" s="165"/>
      <c r="C831" s="165"/>
      <c r="D831" s="165"/>
      <c r="E831" s="153"/>
      <c r="F831" s="153"/>
      <c r="G831" s="153"/>
      <c r="H831" s="153"/>
      <c r="I831" s="153"/>
      <c r="J831" s="545"/>
    </row>
    <row r="832" spans="1:10" ht="15">
      <c r="A832" s="114"/>
      <c r="B832" s="1187" t="s">
        <v>74</v>
      </c>
      <c r="C832" s="1187"/>
      <c r="D832" s="1187"/>
      <c r="E832" s="1187"/>
      <c r="F832" s="1187"/>
      <c r="G832" s="1187"/>
      <c r="H832" s="1188"/>
      <c r="I832" s="1189"/>
      <c r="J832" s="546" t="s">
        <v>75</v>
      </c>
    </row>
    <row r="833" spans="1:10" ht="15">
      <c r="A833" s="114"/>
      <c r="B833" s="1181" t="str">
        <f>TIT.601</f>
        <v>FL.06/304.13/04543 - TPS - PLANTA DE FUNDAÇÃO</v>
      </c>
      <c r="C833" s="1181"/>
      <c r="D833" s="1181"/>
      <c r="E833" s="1181"/>
      <c r="F833" s="1181"/>
      <c r="G833" s="1181"/>
      <c r="H833" s="1182"/>
      <c r="I833" s="1183"/>
      <c r="J833" s="1249">
        <f>A50.601</f>
        <v>456083</v>
      </c>
    </row>
    <row r="834" spans="1:10" ht="15" customHeight="1">
      <c r="A834" s="114"/>
      <c r="B834" s="1181" t="str">
        <f>TIT.602</f>
        <v>FL.01/304.13/06246 - BASES POSTES DE ILUMINAÇÃO</v>
      </c>
      <c r="C834" s="1181"/>
      <c r="D834" s="1181"/>
      <c r="E834" s="1181"/>
      <c r="F834" s="1181"/>
      <c r="G834" s="1181"/>
      <c r="H834" s="1182"/>
      <c r="I834" s="1183"/>
      <c r="J834" s="1250"/>
    </row>
    <row r="835" spans="1:10" ht="15" customHeight="1" thickBot="1">
      <c r="A835" s="114"/>
      <c r="B835" s="1193" t="s">
        <v>76</v>
      </c>
      <c r="C835" s="1193"/>
      <c r="D835" s="1193"/>
      <c r="E835" s="1193"/>
      <c r="F835" s="1193"/>
      <c r="G835" s="1193"/>
      <c r="H835" s="1194"/>
      <c r="I835" s="1195"/>
      <c r="J835" s="549">
        <f>SUM(J833:J833)</f>
        <v>456083</v>
      </c>
    </row>
    <row r="836" spans="1:10" thickBot="1">
      <c r="A836" s="114"/>
      <c r="B836" s="1196" t="s">
        <v>77</v>
      </c>
      <c r="C836" s="1196"/>
      <c r="D836" s="1196"/>
      <c r="E836" s="1196"/>
      <c r="F836" s="1196"/>
      <c r="G836" s="1196"/>
      <c r="H836" s="1196"/>
      <c r="I836" s="1196"/>
      <c r="J836" s="550"/>
    </row>
    <row r="837" spans="1:10" ht="15">
      <c r="A837" s="114"/>
      <c r="B837" s="551" t="s">
        <v>1091</v>
      </c>
      <c r="C837" s="154"/>
      <c r="D837" s="154"/>
      <c r="E837" s="154"/>
      <c r="F837" s="154"/>
      <c r="G837" s="154"/>
      <c r="H837" s="154"/>
      <c r="I837" s="154"/>
      <c r="J837" s="545"/>
    </row>
    <row r="838" spans="1:10" thickBot="1">
      <c r="A838" s="114"/>
      <c r="B838" s="155"/>
      <c r="C838" s="155"/>
      <c r="D838" s="155"/>
      <c r="E838" s="155"/>
      <c r="F838" s="155"/>
      <c r="G838" s="155"/>
      <c r="H838" s="155"/>
      <c r="I838" s="155"/>
      <c r="J838" s="552"/>
    </row>
    <row r="839" spans="1:10" thickTop="1">
      <c r="A839" s="114"/>
      <c r="B839" s="1211" t="s">
        <v>57</v>
      </c>
      <c r="C839" s="1211"/>
      <c r="D839" s="1211"/>
      <c r="E839" s="1211"/>
      <c r="F839" s="1211"/>
      <c r="G839" s="1211"/>
      <c r="H839" s="1211"/>
      <c r="I839" s="1211"/>
      <c r="J839" s="1212"/>
    </row>
    <row r="840" spans="1:10" ht="44.25" customHeight="1">
      <c r="A840" s="114"/>
      <c r="B840" s="1213" t="str">
        <f>'PSQ-INFRA'!C186</f>
        <v>Fornecimento, Dobra e Montagem de Aço CA-60</v>
      </c>
      <c r="C840" s="1213"/>
      <c r="D840" s="1213"/>
      <c r="E840" s="1213"/>
      <c r="F840" s="1213"/>
      <c r="G840" s="1213"/>
      <c r="H840" s="1213"/>
      <c r="I840" s="1213"/>
      <c r="J840" s="541"/>
    </row>
    <row r="841" spans="1:10" ht="15">
      <c r="A841" s="114"/>
      <c r="B841" s="1214" t="s">
        <v>7</v>
      </c>
      <c r="C841" s="1215"/>
      <c r="D841" s="1220" t="s">
        <v>70</v>
      </c>
      <c r="E841" s="1221"/>
      <c r="F841" s="1221"/>
      <c r="G841" s="1222"/>
      <c r="H841" s="1223" t="s">
        <v>4</v>
      </c>
      <c r="I841" s="1224"/>
      <c r="J841" s="365" t="s">
        <v>71</v>
      </c>
    </row>
    <row r="842" spans="1:10" ht="56.25" customHeight="1" thickBot="1">
      <c r="A842" s="114"/>
      <c r="B842" s="1225" t="str">
        <f>'PSQ-INFRA'!B186</f>
        <v>04.02.230.02</v>
      </c>
      <c r="C842" s="1226"/>
      <c r="D842" s="1218" t="str">
        <f>B840</f>
        <v>Fornecimento, Dobra e Montagem de Aço CA-60</v>
      </c>
      <c r="E842" s="1219"/>
      <c r="F842" s="1219"/>
      <c r="G842" s="1195"/>
      <c r="H842" s="1184" t="str">
        <f>'PSQ-INFRA'!D186</f>
        <v>kg</v>
      </c>
      <c r="I842" s="1185"/>
      <c r="J842" s="542">
        <f>J851</f>
        <v>59385</v>
      </c>
    </row>
    <row r="843" spans="1:10" ht="15">
      <c r="A843" s="114"/>
      <c r="B843" s="1186" t="s">
        <v>72</v>
      </c>
      <c r="C843" s="1186"/>
      <c r="D843" s="1186"/>
      <c r="E843" s="1186"/>
      <c r="F843" s="1186"/>
      <c r="G843" s="1186"/>
      <c r="H843" s="1186"/>
      <c r="I843" s="1186"/>
      <c r="J843" s="543"/>
    </row>
    <row r="844" spans="1:10" ht="15">
      <c r="A844" s="114"/>
      <c r="B844" s="162" t="s">
        <v>80</v>
      </c>
      <c r="C844" s="168"/>
      <c r="D844" s="168"/>
      <c r="E844" s="168"/>
      <c r="F844" s="168"/>
      <c r="G844" s="168"/>
      <c r="H844" s="162" t="str">
        <f>'Pág 2'!C25</f>
        <v>FL.01/302.92/04538 - Especificação Técnica - Concreto</v>
      </c>
      <c r="I844" s="168"/>
      <c r="J844" s="168"/>
    </row>
    <row r="845" spans="1:10" ht="15">
      <c r="A845" s="114"/>
      <c r="B845" s="163" t="s">
        <v>79</v>
      </c>
      <c r="C845" s="164"/>
      <c r="D845" s="164"/>
      <c r="E845" s="163" t="str">
        <f>'Pág 2'!C18</f>
        <v>FL.01/302.76/04537 - Memorial de Cálculo e Dimensionamento - Concreto.</v>
      </c>
      <c r="F845" s="114"/>
      <c r="G845" s="164"/>
      <c r="H845" s="164"/>
      <c r="I845" s="164"/>
      <c r="J845" s="164"/>
    </row>
    <row r="846" spans="1:10" ht="15">
      <c r="A846" s="114"/>
      <c r="B846" s="163" t="s">
        <v>1803</v>
      </c>
      <c r="C846" s="153"/>
      <c r="D846" s="153"/>
      <c r="E846" s="163"/>
      <c r="F846" s="114"/>
      <c r="G846" s="164"/>
      <c r="H846" s="164"/>
      <c r="I846" s="164"/>
      <c r="J846" s="544"/>
    </row>
    <row r="847" spans="1:10" thickBot="1">
      <c r="A847" s="114"/>
      <c r="B847" s="165"/>
      <c r="C847" s="165"/>
      <c r="D847" s="165"/>
      <c r="E847" s="153"/>
      <c r="F847" s="153"/>
      <c r="G847" s="153"/>
      <c r="H847" s="153"/>
      <c r="I847" s="153"/>
      <c r="J847" s="545"/>
    </row>
    <row r="848" spans="1:10" ht="15">
      <c r="A848" s="114"/>
      <c r="B848" s="1187" t="s">
        <v>74</v>
      </c>
      <c r="C848" s="1187"/>
      <c r="D848" s="1187"/>
      <c r="E848" s="1187"/>
      <c r="F848" s="1187"/>
      <c r="G848" s="1187"/>
      <c r="H848" s="1188"/>
      <c r="I848" s="1189"/>
      <c r="J848" s="546" t="s">
        <v>75</v>
      </c>
    </row>
    <row r="849" spans="1:10" ht="15">
      <c r="A849" s="114"/>
      <c r="B849" s="1181" t="str">
        <f>TIT.601</f>
        <v>FL.06/304.13/04543 - TPS - PLANTA DE FUNDAÇÃO</v>
      </c>
      <c r="C849" s="1181"/>
      <c r="D849" s="1181"/>
      <c r="E849" s="1181"/>
      <c r="F849" s="1181"/>
      <c r="G849" s="1181"/>
      <c r="H849" s="1182"/>
      <c r="I849" s="1183"/>
      <c r="J849" s="547">
        <f>A60.601</f>
        <v>59385</v>
      </c>
    </row>
    <row r="850" spans="1:10" ht="15" customHeight="1">
      <c r="A850" s="114"/>
      <c r="B850" s="1181"/>
      <c r="C850" s="1181"/>
      <c r="D850" s="1181"/>
      <c r="E850" s="1181"/>
      <c r="F850" s="1181"/>
      <c r="G850" s="1181"/>
      <c r="H850" s="1182"/>
      <c r="I850" s="1183"/>
      <c r="J850" s="548"/>
    </row>
    <row r="851" spans="1:10" ht="15" customHeight="1" thickBot="1">
      <c r="A851" s="114"/>
      <c r="B851" s="1193" t="s">
        <v>76</v>
      </c>
      <c r="C851" s="1193"/>
      <c r="D851" s="1193"/>
      <c r="E851" s="1193"/>
      <c r="F851" s="1193"/>
      <c r="G851" s="1193"/>
      <c r="H851" s="1194"/>
      <c r="I851" s="1195"/>
      <c r="J851" s="549">
        <f>SUM(J849:J849)</f>
        <v>59385</v>
      </c>
    </row>
    <row r="852" spans="1:10" thickBot="1">
      <c r="A852" s="114"/>
      <c r="B852" s="1196" t="s">
        <v>77</v>
      </c>
      <c r="C852" s="1196"/>
      <c r="D852" s="1196"/>
      <c r="E852" s="1196"/>
      <c r="F852" s="1196"/>
      <c r="G852" s="1196"/>
      <c r="H852" s="1196"/>
      <c r="I852" s="1196"/>
      <c r="J852" s="550"/>
    </row>
    <row r="853" spans="1:10" ht="15">
      <c r="A853" s="114"/>
      <c r="B853" s="551" t="s">
        <v>1091</v>
      </c>
      <c r="C853" s="154"/>
      <c r="D853" s="154"/>
      <c r="E853" s="154"/>
      <c r="F853" s="154"/>
      <c r="G853" s="154"/>
      <c r="H853" s="154"/>
      <c r="I853" s="154"/>
      <c r="J853" s="545"/>
    </row>
    <row r="854" spans="1:10" thickBot="1">
      <c r="A854" s="114"/>
      <c r="B854" s="155"/>
      <c r="C854" s="155"/>
      <c r="D854" s="155"/>
      <c r="E854" s="155"/>
      <c r="F854" s="155"/>
      <c r="G854" s="155"/>
      <c r="H854" s="155"/>
      <c r="I854" s="155"/>
      <c r="J854" s="552"/>
    </row>
    <row r="855" spans="1:10" thickTop="1">
      <c r="A855" s="114"/>
      <c r="B855" s="1211" t="s">
        <v>57</v>
      </c>
      <c r="C855" s="1211"/>
      <c r="D855" s="1211"/>
      <c r="E855" s="1211"/>
      <c r="F855" s="1211"/>
      <c r="G855" s="1211"/>
      <c r="H855" s="1211"/>
      <c r="I855" s="1211"/>
      <c r="J855" s="1212"/>
    </row>
    <row r="856" spans="1:10" ht="44.25" customHeight="1">
      <c r="A856" s="114"/>
      <c r="B856" s="1213" t="str">
        <f>'PSQ-INFRA'!C192</f>
        <v>Fornecimento e Aplicação de Concreto (fck=30MPa)</v>
      </c>
      <c r="C856" s="1213"/>
      <c r="D856" s="1213"/>
      <c r="E856" s="1213"/>
      <c r="F856" s="1213"/>
      <c r="G856" s="1213"/>
      <c r="H856" s="1213"/>
      <c r="I856" s="1213"/>
      <c r="J856" s="541"/>
    </row>
    <row r="857" spans="1:10" ht="15">
      <c r="A857" s="114"/>
      <c r="B857" s="1214" t="s">
        <v>7</v>
      </c>
      <c r="C857" s="1215"/>
      <c r="D857" s="1220" t="s">
        <v>70</v>
      </c>
      <c r="E857" s="1221"/>
      <c r="F857" s="1221"/>
      <c r="G857" s="1222"/>
      <c r="H857" s="1223" t="s">
        <v>4</v>
      </c>
      <c r="I857" s="1224"/>
      <c r="J857" s="365" t="s">
        <v>71</v>
      </c>
    </row>
    <row r="858" spans="1:10" ht="56.25" customHeight="1" thickBot="1">
      <c r="A858" s="114"/>
      <c r="B858" s="1225" t="str">
        <f>'PSQ-INFRA'!B192</f>
        <v>04.02.240.01</v>
      </c>
      <c r="C858" s="1226"/>
      <c r="D858" s="1218" t="str">
        <f>B856</f>
        <v>Fornecimento e Aplicação de Concreto (fck=30MPa)</v>
      </c>
      <c r="E858" s="1219"/>
      <c r="F858" s="1219"/>
      <c r="G858" s="1195"/>
      <c r="H858" s="1184" t="str">
        <f>'PSQ-INFRA'!D192</f>
        <v>m³</v>
      </c>
      <c r="I858" s="1185"/>
      <c r="J858" s="542">
        <f>J867</f>
        <v>5881.8642959999988</v>
      </c>
    </row>
    <row r="859" spans="1:10" ht="15">
      <c r="A859" s="114"/>
      <c r="B859" s="1186" t="s">
        <v>72</v>
      </c>
      <c r="C859" s="1186"/>
      <c r="D859" s="1186"/>
      <c r="E859" s="1186"/>
      <c r="F859" s="1186"/>
      <c r="G859" s="1186"/>
      <c r="H859" s="1186"/>
      <c r="I859" s="1186"/>
      <c r="J859" s="543"/>
    </row>
    <row r="860" spans="1:10" ht="15">
      <c r="A860" s="114"/>
      <c r="B860" s="162" t="s">
        <v>80</v>
      </c>
      <c r="C860" s="168"/>
      <c r="D860" s="168"/>
      <c r="E860" s="168"/>
      <c r="F860" s="168"/>
      <c r="G860" s="168"/>
      <c r="H860" s="162" t="str">
        <f>'Pág 2'!C25</f>
        <v>FL.01/302.92/04538 - Especificação Técnica - Concreto</v>
      </c>
      <c r="I860" s="168"/>
      <c r="J860" s="168"/>
    </row>
    <row r="861" spans="1:10" ht="15">
      <c r="A861" s="114"/>
      <c r="B861" s="163" t="s">
        <v>79</v>
      </c>
      <c r="C861" s="164"/>
      <c r="D861" s="164"/>
      <c r="E861" s="163" t="str">
        <f>'Pág 2'!C18</f>
        <v>FL.01/302.76/04537 - Memorial de Cálculo e Dimensionamento - Concreto.</v>
      </c>
      <c r="F861" s="114"/>
      <c r="G861" s="164"/>
      <c r="H861" s="164"/>
      <c r="I861" s="164"/>
      <c r="J861" s="164"/>
    </row>
    <row r="862" spans="1:10" ht="15">
      <c r="A862" s="114"/>
      <c r="B862" s="163" t="s">
        <v>73</v>
      </c>
      <c r="C862" s="153"/>
      <c r="D862" s="153"/>
      <c r="E862" s="163"/>
      <c r="F862" s="114"/>
      <c r="G862" s="164"/>
      <c r="H862" s="164"/>
      <c r="I862" s="164"/>
      <c r="J862" s="544"/>
    </row>
    <row r="863" spans="1:10" thickBot="1">
      <c r="A863" s="114"/>
      <c r="B863" s="165"/>
      <c r="C863" s="165"/>
      <c r="D863" s="165"/>
      <c r="E863" s="153"/>
      <c r="F863" s="153"/>
      <c r="G863" s="153"/>
      <c r="H863" s="153"/>
      <c r="I863" s="153"/>
      <c r="J863" s="545"/>
    </row>
    <row r="864" spans="1:10" ht="15">
      <c r="A864" s="114"/>
      <c r="B864" s="1187" t="s">
        <v>74</v>
      </c>
      <c r="C864" s="1187"/>
      <c r="D864" s="1187"/>
      <c r="E864" s="1187"/>
      <c r="F864" s="1187"/>
      <c r="G864" s="1187"/>
      <c r="H864" s="1188"/>
      <c r="I864" s="1189"/>
      <c r="J864" s="546" t="s">
        <v>75</v>
      </c>
    </row>
    <row r="865" spans="1:10" ht="15">
      <c r="A865" s="114"/>
      <c r="B865" s="1181" t="str">
        <f>TIT.601</f>
        <v>FL.06/304.13/04543 - TPS - PLANTA DE FUNDAÇÃO</v>
      </c>
      <c r="C865" s="1181"/>
      <c r="D865" s="1181"/>
      <c r="E865" s="1181"/>
      <c r="F865" s="1181"/>
      <c r="G865" s="1181"/>
      <c r="H865" s="1182"/>
      <c r="I865" s="1183"/>
      <c r="J865" s="1249">
        <f>C.601</f>
        <v>5881.8642959999988</v>
      </c>
    </row>
    <row r="866" spans="1:10" ht="15" customHeight="1">
      <c r="A866" s="114"/>
      <c r="B866" s="1181" t="str">
        <f>TIT.602</f>
        <v>FL.01/304.13/06246 - BASES POSTES DE ILUMINAÇÃO</v>
      </c>
      <c r="C866" s="1181"/>
      <c r="D866" s="1181"/>
      <c r="E866" s="1181"/>
      <c r="F866" s="1181"/>
      <c r="G866" s="1181"/>
      <c r="H866" s="1182"/>
      <c r="I866" s="1183"/>
      <c r="J866" s="1250"/>
    </row>
    <row r="867" spans="1:10" ht="15" customHeight="1" thickBot="1">
      <c r="A867" s="114"/>
      <c r="B867" s="1193" t="s">
        <v>76</v>
      </c>
      <c r="C867" s="1193"/>
      <c r="D867" s="1193"/>
      <c r="E867" s="1193"/>
      <c r="F867" s="1193"/>
      <c r="G867" s="1193"/>
      <c r="H867" s="1194"/>
      <c r="I867" s="1195"/>
      <c r="J867" s="549">
        <f>SUM(J865:J865)</f>
        <v>5881.8642959999988</v>
      </c>
    </row>
    <row r="868" spans="1:10" thickBot="1">
      <c r="A868" s="114"/>
      <c r="B868" s="1196" t="s">
        <v>77</v>
      </c>
      <c r="C868" s="1196"/>
      <c r="D868" s="1196"/>
      <c r="E868" s="1196"/>
      <c r="F868" s="1196"/>
      <c r="G868" s="1196"/>
      <c r="H868" s="1196"/>
      <c r="I868" s="1196"/>
      <c r="J868" s="550"/>
    </row>
    <row r="869" spans="1:10" ht="15">
      <c r="A869" s="114"/>
      <c r="B869" s="551" t="s">
        <v>1091</v>
      </c>
      <c r="C869" s="154"/>
      <c r="D869" s="154"/>
      <c r="E869" s="154"/>
      <c r="F869" s="154"/>
      <c r="G869" s="154"/>
      <c r="H869" s="154"/>
      <c r="I869" s="154"/>
      <c r="J869" s="545"/>
    </row>
    <row r="870" spans="1:10" thickBot="1">
      <c r="A870" s="114"/>
      <c r="B870" s="162"/>
      <c r="C870" s="154"/>
      <c r="D870" s="154"/>
      <c r="E870" s="154"/>
      <c r="F870" s="154"/>
      <c r="G870" s="154"/>
      <c r="H870" s="154"/>
      <c r="I870" s="154"/>
      <c r="J870" s="545"/>
    </row>
    <row r="871" spans="1:10" s="367" customFormat="1" ht="21" customHeight="1" thickTop="1">
      <c r="B871" s="557"/>
      <c r="C871" s="375"/>
      <c r="D871" s="376"/>
      <c r="E871" s="376"/>
      <c r="F871" s="375"/>
      <c r="G871" s="377"/>
      <c r="H871" s="377"/>
      <c r="I871" s="377"/>
      <c r="J871" s="558"/>
    </row>
    <row r="872" spans="1:10" s="367" customFormat="1" ht="21" customHeight="1">
      <c r="B872" s="540" t="s">
        <v>2014</v>
      </c>
      <c r="C872" s="371"/>
      <c r="D872" s="372"/>
      <c r="E872" s="372"/>
      <c r="F872" s="371"/>
      <c r="J872" s="539"/>
    </row>
    <row r="873" spans="1:10" s="367" customFormat="1" ht="21" customHeight="1" thickBot="1">
      <c r="B873" s="559"/>
      <c r="C873" s="378"/>
      <c r="D873" s="379"/>
      <c r="E873" s="379"/>
      <c r="F873" s="378"/>
      <c r="G873" s="380"/>
      <c r="H873" s="380"/>
      <c r="I873" s="380"/>
      <c r="J873" s="560"/>
    </row>
    <row r="874" spans="1:10" thickTop="1">
      <c r="A874" s="114"/>
      <c r="B874" s="1211" t="s">
        <v>57</v>
      </c>
      <c r="C874" s="1211"/>
      <c r="D874" s="1211"/>
      <c r="E874" s="1211"/>
      <c r="F874" s="1211"/>
      <c r="G874" s="1211"/>
      <c r="H874" s="1211"/>
      <c r="I874" s="1211"/>
      <c r="J874" s="1212"/>
    </row>
    <row r="875" spans="1:10" ht="44.25" customHeight="1">
      <c r="A875" s="114"/>
      <c r="B875" s="1213" t="str">
        <f>'PSQ-INFRA'!C202</f>
        <v>Escavação Mecanizada</v>
      </c>
      <c r="C875" s="1213"/>
      <c r="D875" s="1213"/>
      <c r="E875" s="1213"/>
      <c r="F875" s="1213"/>
      <c r="G875" s="1213"/>
      <c r="H875" s="1213"/>
      <c r="I875" s="1213"/>
      <c r="J875" s="541"/>
    </row>
    <row r="876" spans="1:10" ht="15">
      <c r="A876" s="114"/>
      <c r="B876" s="1214" t="s">
        <v>7</v>
      </c>
      <c r="C876" s="1215"/>
      <c r="D876" s="1220" t="s">
        <v>70</v>
      </c>
      <c r="E876" s="1221"/>
      <c r="F876" s="1221"/>
      <c r="G876" s="1222"/>
      <c r="H876" s="1223" t="s">
        <v>4</v>
      </c>
      <c r="I876" s="1224"/>
      <c r="J876" s="794" t="s">
        <v>71</v>
      </c>
    </row>
    <row r="877" spans="1:10" ht="56.25" customHeight="1" thickBot="1">
      <c r="A877" s="114"/>
      <c r="B877" s="1225" t="str">
        <f>'PSQ-INFRA'!B202</f>
        <v>04.01.100.02</v>
      </c>
      <c r="C877" s="1226"/>
      <c r="D877" s="1218" t="str">
        <f>B875</f>
        <v>Escavação Mecanizada</v>
      </c>
      <c r="E877" s="1219"/>
      <c r="F877" s="1219"/>
      <c r="G877" s="1195"/>
      <c r="H877" s="1184" t="str">
        <f>'PSQ-INFRA'!D202</f>
        <v>m³</v>
      </c>
      <c r="I877" s="1185"/>
      <c r="J877" s="542">
        <f>J899</f>
        <v>997.06439029145702</v>
      </c>
    </row>
    <row r="878" spans="1:10" ht="15">
      <c r="A878" s="114"/>
      <c r="B878" s="1186" t="s">
        <v>72</v>
      </c>
      <c r="C878" s="1186"/>
      <c r="D878" s="1186"/>
      <c r="E878" s="1186"/>
      <c r="F878" s="1186"/>
      <c r="G878" s="1186"/>
      <c r="H878" s="1186"/>
      <c r="I878" s="1186"/>
      <c r="J878" s="543"/>
    </row>
    <row r="879" spans="1:10" ht="15">
      <c r="A879" s="114"/>
      <c r="B879" s="162" t="s">
        <v>80</v>
      </c>
      <c r="C879" s="168"/>
      <c r="D879" s="168"/>
      <c r="E879" s="168"/>
      <c r="F879" s="168"/>
      <c r="G879" s="168"/>
      <c r="H879" s="162" t="str">
        <f>'Pág 2'!$C$24</f>
        <v>FL.01/302.92/04538 - Especificação Técnica</v>
      </c>
      <c r="I879" s="168"/>
      <c r="J879" s="168"/>
    </row>
    <row r="880" spans="1:10" ht="15">
      <c r="A880" s="114"/>
      <c r="B880" s="163" t="s">
        <v>79</v>
      </c>
      <c r="C880" s="164"/>
      <c r="D880" s="164"/>
      <c r="E880" s="163" t="str">
        <f>'Pág 2'!$C$17</f>
        <v xml:space="preserve">FL.01/302.76/04537 - Memorial de Cálculo e Dimensionamento </v>
      </c>
      <c r="F880" s="114"/>
      <c r="G880" s="164"/>
      <c r="H880" s="164"/>
      <c r="I880" s="164"/>
      <c r="J880" s="164"/>
    </row>
    <row r="881" spans="1:10" ht="15">
      <c r="A881" s="114"/>
      <c r="B881" s="163" t="s">
        <v>73</v>
      </c>
      <c r="C881" s="153"/>
      <c r="D881" s="153"/>
      <c r="E881" s="163"/>
      <c r="F881" s="114"/>
      <c r="G881" s="164"/>
      <c r="H881" s="164"/>
      <c r="I881" s="164"/>
      <c r="J881" s="544"/>
    </row>
    <row r="882" spans="1:10" ht="15" customHeight="1" thickBot="1">
      <c r="A882" s="114"/>
      <c r="B882" s="165"/>
      <c r="C882" s="165"/>
      <c r="D882" s="165"/>
      <c r="E882" s="153"/>
      <c r="F882" s="153"/>
      <c r="G882" s="153"/>
      <c r="H882" s="153"/>
      <c r="I882" s="153"/>
      <c r="J882" s="545"/>
    </row>
    <row r="883" spans="1:10" ht="15">
      <c r="A883" s="114"/>
      <c r="B883" s="1187" t="s">
        <v>74</v>
      </c>
      <c r="C883" s="1187"/>
      <c r="D883" s="1187"/>
      <c r="E883" s="1187"/>
      <c r="F883" s="1187"/>
      <c r="G883" s="1187"/>
      <c r="H883" s="1188"/>
      <c r="I883" s="1189"/>
      <c r="J883" s="546" t="s">
        <v>75</v>
      </c>
    </row>
    <row r="884" spans="1:10" ht="15">
      <c r="A884" s="114"/>
      <c r="B884" s="1181" t="str">
        <f>TIT.801</f>
        <v>FL.11/304.13/05778 - EPAR - EDIFÍCIO DE OPERAÇÕES</v>
      </c>
      <c r="C884" s="1181"/>
      <c r="D884" s="1181"/>
      <c r="E884" s="1181"/>
      <c r="F884" s="1181"/>
      <c r="G884" s="1181"/>
      <c r="H884" s="1182"/>
      <c r="I884" s="1183"/>
      <c r="J884" s="553">
        <f>EM.801</f>
        <v>106.38030176127089</v>
      </c>
    </row>
    <row r="885" spans="1:10" ht="15">
      <c r="A885" s="114"/>
      <c r="B885" s="1181" t="str">
        <f>TIT.802</f>
        <v>FL.11/302.13/05806 - EPAR - TRATAMENTO PRELIMINAR E TANQUES DE AERAÇÃO</v>
      </c>
      <c r="C885" s="1181"/>
      <c r="D885" s="1181"/>
      <c r="E885" s="1181"/>
      <c r="F885" s="1181"/>
      <c r="G885" s="1181"/>
      <c r="H885" s="1182"/>
      <c r="I885" s="1183"/>
      <c r="J885" s="553">
        <f>EM.802</f>
        <v>41.51873342316695</v>
      </c>
    </row>
    <row r="886" spans="1:10" ht="15">
      <c r="A886" s="114"/>
      <c r="B886" s="1181" t="str">
        <f>TIT.803</f>
        <v>FL.11/304.16/05796 - EPAR - RESERVATÓRIOS DE ÁGUA DE REUSO E ÁGUAS PLUVIAIS</v>
      </c>
      <c r="C886" s="1181"/>
      <c r="D886" s="1181"/>
      <c r="E886" s="1181"/>
      <c r="F886" s="1181"/>
      <c r="G886" s="1181"/>
      <c r="H886" s="1182"/>
      <c r="I886" s="1183"/>
      <c r="J886" s="553">
        <f>EM.803</f>
        <v>244.51799999999997</v>
      </c>
    </row>
    <row r="887" spans="1:10" ht="15">
      <c r="A887" s="114"/>
      <c r="B887" s="1181" t="str">
        <f>TIT.804</f>
        <v>FL.11/302.13/05783 - EPAR - ABRIGO DOS SOPRADORES</v>
      </c>
      <c r="C887" s="1181"/>
      <c r="D887" s="1181"/>
      <c r="E887" s="1181"/>
      <c r="F887" s="1181"/>
      <c r="G887" s="1181"/>
      <c r="H887" s="1182"/>
      <c r="I887" s="1183"/>
      <c r="J887" s="553">
        <f>EM.804</f>
        <v>55.209850498202584</v>
      </c>
    </row>
    <row r="888" spans="1:10" ht="15">
      <c r="A888" s="114"/>
      <c r="B888" s="1181" t="str">
        <f>TIT.805</f>
        <v>FL.11/302.13/05786 - EPAR - ESTAÇÃO DE TRATAMENTO DE ÁGUA - BASE</v>
      </c>
      <c r="C888" s="1181"/>
      <c r="D888" s="1181"/>
      <c r="E888" s="1181"/>
      <c r="F888" s="1181"/>
      <c r="G888" s="1181"/>
      <c r="H888" s="1182"/>
      <c r="I888" s="1183"/>
      <c r="J888" s="553">
        <f>EM.805</f>
        <v>15.456</v>
      </c>
    </row>
    <row r="889" spans="1:10" ht="15">
      <c r="A889" s="114"/>
      <c r="B889" s="1181" t="str">
        <f>TIT.806</f>
        <v>FL.11/302.13/05787 - EPAR - DESIDRATAÇÃO DE LODO-CENTRÍFUGAS - BASE</v>
      </c>
      <c r="C889" s="1181"/>
      <c r="D889" s="1181"/>
      <c r="E889" s="1181"/>
      <c r="F889" s="1181"/>
      <c r="G889" s="1181"/>
      <c r="H889" s="1182"/>
      <c r="I889" s="1183"/>
      <c r="J889" s="553">
        <f>EM.806</f>
        <v>10.032000000000002</v>
      </c>
    </row>
    <row r="890" spans="1:10" ht="15">
      <c r="A890" s="114"/>
      <c r="B890" s="1181" t="str">
        <f>TIT.807</f>
        <v>FL.11/302.13/05788 - EPAR - SISTEMAS DE PRODUTOS QUÍMICOS - TANQUES</v>
      </c>
      <c r="C890" s="1181"/>
      <c r="D890" s="1181"/>
      <c r="E890" s="1181"/>
      <c r="F890" s="1181"/>
      <c r="G890" s="1181"/>
      <c r="H890" s="1182"/>
      <c r="I890" s="1183"/>
      <c r="J890" s="553">
        <f>EM.807</f>
        <v>57.222000000000008</v>
      </c>
    </row>
    <row r="891" spans="1:10" ht="15">
      <c r="A891" s="114"/>
      <c r="B891" s="1181" t="str">
        <f>TIT.808</f>
        <v>FL.11/302.13/05790 - EPAR - CXA. SEPARADORA DE ESCUMA E TANQUE DE REC. DE LODO</v>
      </c>
      <c r="C891" s="1181"/>
      <c r="D891" s="1181"/>
      <c r="E891" s="1181"/>
      <c r="F891" s="1181"/>
      <c r="G891" s="1181"/>
      <c r="H891" s="1182"/>
      <c r="I891" s="1183"/>
      <c r="J891" s="553">
        <f>EM.808</f>
        <v>11.349800000000002</v>
      </c>
    </row>
    <row r="892" spans="1:10" ht="15">
      <c r="A892" s="114"/>
      <c r="B892" s="1181" t="str">
        <f>TIT.809</f>
        <v>FL.11/302.13/05792 - EPAR - TANQUE DE EQUALIZAÇÃO DE LODO</v>
      </c>
      <c r="C892" s="1181"/>
      <c r="D892" s="1181"/>
      <c r="E892" s="1181"/>
      <c r="F892" s="1181"/>
      <c r="G892" s="1181"/>
      <c r="H892" s="1182"/>
      <c r="I892" s="1183"/>
      <c r="J892" s="553">
        <f>EM.809</f>
        <v>19.306625000000004</v>
      </c>
    </row>
    <row r="893" spans="1:10" ht="15">
      <c r="A893" s="114"/>
      <c r="B893" s="1181" t="str">
        <f>TIT.810</f>
        <v>FL.11/302.13/05794 - EPAR - ESTAÇÃO ELEVATÓRIA DE ÁGUAS PLUVIAIS</v>
      </c>
      <c r="C893" s="1181"/>
      <c r="D893" s="1181"/>
      <c r="E893" s="1181"/>
      <c r="F893" s="1181"/>
      <c r="G893" s="1181"/>
      <c r="H893" s="1182"/>
      <c r="I893" s="1183"/>
      <c r="J893" s="553">
        <f>EM.810</f>
        <v>166.57929827434498</v>
      </c>
    </row>
    <row r="894" spans="1:10" ht="15">
      <c r="A894" s="114"/>
      <c r="B894" s="1181" t="str">
        <f>TIT.811</f>
        <v>FL.11/302.13/05803 - EPAR - ESTAÇÃO ELEVATÓRIA DE ESGOTO BRUTO, ESTAÇÃO ELEVATÓRIA DE RETORNO, MEDIDOR DE VAZÃO E CX DE DESCARGA</v>
      </c>
      <c r="C894" s="1181"/>
      <c r="D894" s="1181"/>
      <c r="E894" s="1181"/>
      <c r="F894" s="1181"/>
      <c r="G894" s="1181"/>
      <c r="H894" s="1182"/>
      <c r="I894" s="1183"/>
      <c r="J894" s="553">
        <f>EM.811</f>
        <v>71.573243066730299</v>
      </c>
    </row>
    <row r="895" spans="1:10" ht="15">
      <c r="A895" s="114"/>
      <c r="B895" s="1181" t="str">
        <f>TIT.812</f>
        <v>FL.11/302.13/05803 - EPAR - ESTAÇÃO ELEVATÓRIA DE RETORNO</v>
      </c>
      <c r="C895" s="1181"/>
      <c r="D895" s="1181"/>
      <c r="E895" s="1181"/>
      <c r="F895" s="1181"/>
      <c r="G895" s="1181"/>
      <c r="H895" s="1182"/>
      <c r="I895" s="1183"/>
      <c r="J895" s="553">
        <f>EM.812</f>
        <v>105.35545202730363</v>
      </c>
    </row>
    <row r="896" spans="1:10" ht="15">
      <c r="A896" s="114"/>
      <c r="B896" s="1181" t="str">
        <f>TIT.813</f>
        <v>FL.11/302.13/05803 - EPAR - MEDIDOR DE VAZÃO</v>
      </c>
      <c r="C896" s="1181"/>
      <c r="D896" s="1181"/>
      <c r="E896" s="1181"/>
      <c r="F896" s="1181"/>
      <c r="G896" s="1181"/>
      <c r="H896" s="1182"/>
      <c r="I896" s="1183"/>
      <c r="J896" s="553">
        <f>EM.813</f>
        <v>15.286759795134133</v>
      </c>
    </row>
    <row r="897" spans="1:10" ht="15">
      <c r="A897" s="114"/>
      <c r="B897" s="1181" t="str">
        <f>TIT.814</f>
        <v>FL.11/302.13/05803 - EPAR - CAIXA DE DESCARGA</v>
      </c>
      <c r="C897" s="1181"/>
      <c r="D897" s="1181"/>
      <c r="E897" s="1181"/>
      <c r="F897" s="1181"/>
      <c r="G897" s="1181"/>
      <c r="H897" s="1182"/>
      <c r="I897" s="1183"/>
      <c r="J897" s="553">
        <f>EM.814</f>
        <v>77.276326445303667</v>
      </c>
    </row>
    <row r="898" spans="1:10" ht="15">
      <c r="A898" s="114"/>
      <c r="B898" s="1181"/>
      <c r="C898" s="1181"/>
      <c r="D898" s="1181"/>
      <c r="E898" s="1181"/>
      <c r="F898" s="1181"/>
      <c r="G898" s="1181"/>
      <c r="H898" s="1182"/>
      <c r="I898" s="1183"/>
      <c r="J898" s="553"/>
    </row>
    <row r="899" spans="1:10" thickBot="1">
      <c r="A899" s="114"/>
      <c r="B899" s="1193" t="s">
        <v>76</v>
      </c>
      <c r="C899" s="1193"/>
      <c r="D899" s="1193"/>
      <c r="E899" s="1193"/>
      <c r="F899" s="1193"/>
      <c r="G899" s="1193"/>
      <c r="H899" s="1194"/>
      <c r="I899" s="1195"/>
      <c r="J899" s="549">
        <f>SUM(J884:J898)</f>
        <v>997.06439029145702</v>
      </c>
    </row>
    <row r="900" spans="1:10" thickBot="1">
      <c r="A900" s="114"/>
      <c r="B900" s="1196" t="s">
        <v>77</v>
      </c>
      <c r="C900" s="1196"/>
      <c r="D900" s="1196"/>
      <c r="E900" s="1196"/>
      <c r="F900" s="1196"/>
      <c r="G900" s="1196"/>
      <c r="H900" s="1196"/>
      <c r="I900" s="1196"/>
      <c r="J900" s="550"/>
    </row>
    <row r="901" spans="1:10" ht="15">
      <c r="A901" s="114"/>
      <c r="B901" s="551" t="s">
        <v>2011</v>
      </c>
      <c r="C901" s="154"/>
      <c r="D901" s="154"/>
      <c r="E901" s="154"/>
      <c r="F901" s="154"/>
      <c r="G901" s="154"/>
      <c r="H901" s="154"/>
      <c r="I901" s="154"/>
      <c r="J901" s="545"/>
    </row>
    <row r="902" spans="1:10" thickBot="1">
      <c r="A902" s="114"/>
      <c r="B902" s="155"/>
      <c r="C902" s="155"/>
      <c r="D902" s="155"/>
      <c r="E902" s="155"/>
      <c r="F902" s="155"/>
      <c r="G902" s="155"/>
      <c r="H902" s="155"/>
      <c r="I902" s="155"/>
      <c r="J902" s="552"/>
    </row>
    <row r="903" spans="1:10" thickTop="1">
      <c r="A903" s="114"/>
      <c r="B903" s="1211" t="s">
        <v>57</v>
      </c>
      <c r="C903" s="1211"/>
      <c r="D903" s="1211"/>
      <c r="E903" s="1211"/>
      <c r="F903" s="1211"/>
      <c r="G903" s="1211"/>
      <c r="H903" s="1211"/>
      <c r="I903" s="1211"/>
      <c r="J903" s="1212"/>
    </row>
    <row r="904" spans="1:10" ht="44.25" customHeight="1">
      <c r="A904" s="114"/>
      <c r="B904" s="1213" t="str">
        <f>'PSQ-INFRA'!C203</f>
        <v>Reaterro Compactado</v>
      </c>
      <c r="C904" s="1213"/>
      <c r="D904" s="1213"/>
      <c r="E904" s="1213"/>
      <c r="F904" s="1213"/>
      <c r="G904" s="1213"/>
      <c r="H904" s="1213"/>
      <c r="I904" s="1213"/>
      <c r="J904" s="541"/>
    </row>
    <row r="905" spans="1:10" ht="15">
      <c r="A905" s="114"/>
      <c r="B905" s="1214" t="s">
        <v>7</v>
      </c>
      <c r="C905" s="1215"/>
      <c r="D905" s="1220" t="s">
        <v>70</v>
      </c>
      <c r="E905" s="1221"/>
      <c r="F905" s="1221"/>
      <c r="G905" s="1222"/>
      <c r="H905" s="1223" t="s">
        <v>4</v>
      </c>
      <c r="I905" s="1224"/>
      <c r="J905" s="794" t="s">
        <v>71</v>
      </c>
    </row>
    <row r="906" spans="1:10" ht="56.25" customHeight="1" thickBot="1">
      <c r="A906" s="114"/>
      <c r="B906" s="1225" t="str">
        <f>'PSQ-INFRA'!B203</f>
        <v>04.01.100.03</v>
      </c>
      <c r="C906" s="1226"/>
      <c r="D906" s="1218" t="str">
        <f>B904</f>
        <v>Reaterro Compactado</v>
      </c>
      <c r="E906" s="1219"/>
      <c r="F906" s="1219"/>
      <c r="G906" s="1195"/>
      <c r="H906" s="1184" t="str">
        <f>'PSQ-INFRA'!D203</f>
        <v>m³</v>
      </c>
      <c r="I906" s="1185"/>
      <c r="J906" s="542">
        <f>J928</f>
        <v>619.2519902914571</v>
      </c>
    </row>
    <row r="907" spans="1:10" ht="15">
      <c r="A907" s="114"/>
      <c r="B907" s="1186" t="s">
        <v>72</v>
      </c>
      <c r="C907" s="1186"/>
      <c r="D907" s="1186"/>
      <c r="E907" s="1186"/>
      <c r="F907" s="1186"/>
      <c r="G907" s="1186"/>
      <c r="H907" s="1186"/>
      <c r="I907" s="1186"/>
      <c r="J907" s="543"/>
    </row>
    <row r="908" spans="1:10" ht="15">
      <c r="A908" s="114"/>
      <c r="B908" s="162" t="s">
        <v>80</v>
      </c>
      <c r="C908" s="168"/>
      <c r="D908" s="168"/>
      <c r="E908" s="168"/>
      <c r="F908" s="168"/>
      <c r="G908" s="168"/>
      <c r="H908" s="162" t="str">
        <f>'Pág 2'!$C$24</f>
        <v>FL.01/302.92/04538 - Especificação Técnica</v>
      </c>
      <c r="I908" s="168"/>
      <c r="J908" s="168"/>
    </row>
    <row r="909" spans="1:10" ht="15">
      <c r="A909" s="114"/>
      <c r="B909" s="163" t="s">
        <v>79</v>
      </c>
      <c r="C909" s="164"/>
      <c r="D909" s="164"/>
      <c r="E909" s="163" t="str">
        <f>'Pág 2'!$C$17</f>
        <v xml:space="preserve">FL.01/302.76/04537 - Memorial de Cálculo e Dimensionamento </v>
      </c>
      <c r="F909" s="114"/>
      <c r="G909" s="164"/>
      <c r="H909" s="164"/>
      <c r="I909" s="164"/>
      <c r="J909" s="164"/>
    </row>
    <row r="910" spans="1:10" ht="15">
      <c r="A910" s="114"/>
      <c r="B910" s="163" t="s">
        <v>73</v>
      </c>
      <c r="C910" s="153"/>
      <c r="D910" s="153"/>
      <c r="E910" s="163"/>
      <c r="F910" s="114"/>
      <c r="G910" s="164"/>
      <c r="H910" s="164"/>
      <c r="I910" s="164"/>
      <c r="J910" s="544"/>
    </row>
    <row r="911" spans="1:10" thickBot="1">
      <c r="A911" s="114"/>
      <c r="B911" s="165"/>
      <c r="C911" s="165"/>
      <c r="D911" s="165"/>
      <c r="E911" s="153"/>
      <c r="F911" s="153"/>
      <c r="G911" s="153"/>
      <c r="H911" s="153"/>
      <c r="I911" s="153"/>
      <c r="J911" s="545"/>
    </row>
    <row r="912" spans="1:10" ht="15">
      <c r="A912" s="114"/>
      <c r="B912" s="1187" t="s">
        <v>74</v>
      </c>
      <c r="C912" s="1187"/>
      <c r="D912" s="1187"/>
      <c r="E912" s="1187"/>
      <c r="F912" s="1187"/>
      <c r="G912" s="1187"/>
      <c r="H912" s="1188"/>
      <c r="I912" s="1189"/>
      <c r="J912" s="546" t="s">
        <v>75</v>
      </c>
    </row>
    <row r="913" spans="1:10" ht="15" customHeight="1">
      <c r="A913" s="114"/>
      <c r="B913" s="1181" t="str">
        <f>TIT.801</f>
        <v>FL.11/304.13/05778 - EPAR - EDIFÍCIO DE OPERAÇÕES</v>
      </c>
      <c r="C913" s="1181"/>
      <c r="D913" s="1181"/>
      <c r="E913" s="1181"/>
      <c r="F913" s="1181"/>
      <c r="G913" s="1181"/>
      <c r="H913" s="1182"/>
      <c r="I913" s="1183"/>
      <c r="J913" s="553">
        <f>R.801</f>
        <v>99.307051761270884</v>
      </c>
    </row>
    <row r="914" spans="1:10" ht="15" customHeight="1">
      <c r="A914" s="114"/>
      <c r="B914" s="1181" t="str">
        <f>TIT.802</f>
        <v>FL.11/302.13/05806 - EPAR - TRATAMENTO PRELIMINAR E TANQUES DE AERAÇÃO</v>
      </c>
      <c r="C914" s="1181"/>
      <c r="D914" s="1181"/>
      <c r="E914" s="1181"/>
      <c r="F914" s="1181"/>
      <c r="G914" s="1181"/>
      <c r="H914" s="1182"/>
      <c r="I914" s="1183"/>
      <c r="J914" s="553">
        <f>R.802</f>
        <v>33.568733423166954</v>
      </c>
    </row>
    <row r="915" spans="1:10" ht="15" customHeight="1">
      <c r="A915" s="114"/>
      <c r="B915" s="1181" t="str">
        <f>TIT.803</f>
        <v>FL.11/304.16/05796 - EPAR - RESERVATÓRIOS DE ÁGUA DE REUSO E ÁGUAS PLUVIAIS</v>
      </c>
      <c r="C915" s="1181"/>
      <c r="D915" s="1181"/>
      <c r="E915" s="1181"/>
      <c r="F915" s="1181"/>
      <c r="G915" s="1181"/>
      <c r="H915" s="1182"/>
      <c r="I915" s="1183"/>
      <c r="J915" s="553">
        <f>R.803</f>
        <v>50.455499999999972</v>
      </c>
    </row>
    <row r="916" spans="1:10" ht="15">
      <c r="A916" s="114"/>
      <c r="B916" s="1181" t="str">
        <f>TIT.804</f>
        <v>FL.11/302.13/05783 - EPAR - ABRIGO DOS SOPRADORES</v>
      </c>
      <c r="C916" s="1181"/>
      <c r="D916" s="1181"/>
      <c r="E916" s="1181"/>
      <c r="F916" s="1181"/>
      <c r="G916" s="1181"/>
      <c r="H916" s="1182"/>
      <c r="I916" s="1183"/>
      <c r="J916" s="553">
        <f>R.804</f>
        <v>50.854850498202588</v>
      </c>
    </row>
    <row r="917" spans="1:10" ht="15">
      <c r="A917" s="114"/>
      <c r="B917" s="1181" t="str">
        <f>TIT.805</f>
        <v>FL.11/302.13/05786 - EPAR - ESTAÇÃO DE TRATAMENTO DE ÁGUA - BASE</v>
      </c>
      <c r="C917" s="1181"/>
      <c r="D917" s="1181"/>
      <c r="E917" s="1181"/>
      <c r="F917" s="1181"/>
      <c r="G917" s="1181"/>
      <c r="H917" s="1182"/>
      <c r="I917" s="1183"/>
      <c r="J917" s="553">
        <f>R.805</f>
        <v>5.8559999999999999</v>
      </c>
    </row>
    <row r="918" spans="1:10" ht="15">
      <c r="A918" s="114"/>
      <c r="B918" s="1181" t="str">
        <f>TIT.806</f>
        <v>FL.11/302.13/05787 - EPAR - DESIDRATAÇÃO DE LODO-CENTRÍFUGAS - BASE</v>
      </c>
      <c r="C918" s="1181"/>
      <c r="D918" s="1181"/>
      <c r="E918" s="1181"/>
      <c r="F918" s="1181"/>
      <c r="G918" s="1181"/>
      <c r="H918" s="1182"/>
      <c r="I918" s="1183"/>
      <c r="J918" s="553">
        <f>R.806</f>
        <v>4.1184000000000021</v>
      </c>
    </row>
    <row r="919" spans="1:10" ht="15">
      <c r="A919" s="114"/>
      <c r="B919" s="1181" t="str">
        <f>TIT.807</f>
        <v>FL.11/302.13/05788 - EPAR - SISTEMAS DE PRODUTOS QUÍMICOS - TANQUES</v>
      </c>
      <c r="C919" s="1181"/>
      <c r="D919" s="1181"/>
      <c r="E919" s="1181"/>
      <c r="F919" s="1181"/>
      <c r="G919" s="1181"/>
      <c r="H919" s="1182"/>
      <c r="I919" s="1183"/>
      <c r="J919" s="553">
        <f>R.807</f>
        <v>19.800000000000008</v>
      </c>
    </row>
    <row r="920" spans="1:10" ht="15">
      <c r="A920" s="114"/>
      <c r="B920" s="1181" t="str">
        <f>TIT.808</f>
        <v>FL.11/302.13/05790 - EPAR - CXA. SEPARADORA DE ESCUMA E TANQUE DE REC. DE LODO</v>
      </c>
      <c r="C920" s="1181"/>
      <c r="D920" s="1181"/>
      <c r="E920" s="1181"/>
      <c r="F920" s="1181"/>
      <c r="G920" s="1181"/>
      <c r="H920" s="1182"/>
      <c r="I920" s="1183"/>
      <c r="J920" s="553">
        <f>R.808</f>
        <v>6.8724000000000025</v>
      </c>
    </row>
    <row r="921" spans="1:10" ht="15">
      <c r="A921" s="114"/>
      <c r="B921" s="1181" t="str">
        <f>TIT.809</f>
        <v>FL.11/302.13/05792 - EPAR - TANQUE DE EQUALIZAÇÃO DE LODO</v>
      </c>
      <c r="C921" s="1181"/>
      <c r="D921" s="1181"/>
      <c r="E921" s="1181"/>
      <c r="F921" s="1181"/>
      <c r="G921" s="1181"/>
      <c r="H921" s="1182"/>
      <c r="I921" s="1183"/>
      <c r="J921" s="553">
        <f>R.809</f>
        <v>8.1847500000000011</v>
      </c>
    </row>
    <row r="922" spans="1:10" ht="15">
      <c r="A922" s="114"/>
      <c r="B922" s="1181" t="str">
        <f>TIT.810</f>
        <v>FL.11/302.13/05794 - EPAR - ESTAÇÃO ELEVATÓRIA DE ÁGUAS PLUVIAIS</v>
      </c>
      <c r="C922" s="1181"/>
      <c r="D922" s="1181"/>
      <c r="E922" s="1181"/>
      <c r="F922" s="1181"/>
      <c r="G922" s="1181"/>
      <c r="H922" s="1182"/>
      <c r="I922" s="1183"/>
      <c r="J922" s="553">
        <f>R.810</f>
        <v>129.38042327434499</v>
      </c>
    </row>
    <row r="923" spans="1:10" ht="15">
      <c r="A923" s="114"/>
      <c r="B923" s="1181" t="str">
        <f>TIT.811</f>
        <v>FL.11/302.13/05803 - EPAR - ESTAÇÃO ELEVATÓRIA DE ESGOTO BRUTO, ESTAÇÃO ELEVATÓRIA DE RETORNO, MEDIDOR DE VAZÃO E CX DE DESCARGA</v>
      </c>
      <c r="C923" s="1181"/>
      <c r="D923" s="1181"/>
      <c r="E923" s="1181"/>
      <c r="F923" s="1181"/>
      <c r="G923" s="1181"/>
      <c r="H923" s="1182"/>
      <c r="I923" s="1183"/>
      <c r="J923" s="553">
        <f>R.811</f>
        <v>56.163243066730303</v>
      </c>
    </row>
    <row r="924" spans="1:10" ht="15">
      <c r="A924" s="114"/>
      <c r="B924" s="1181" t="str">
        <f>TIT.812</f>
        <v>FL.11/302.13/05803 - EPAR - ESTAÇÃO ELEVATÓRIA DE RETORNO</v>
      </c>
      <c r="C924" s="1181"/>
      <c r="D924" s="1181"/>
      <c r="E924" s="1181"/>
      <c r="F924" s="1181"/>
      <c r="G924" s="1181"/>
      <c r="H924" s="1182"/>
      <c r="I924" s="1183"/>
      <c r="J924" s="553">
        <f>R.812</f>
        <v>75.255452027303633</v>
      </c>
    </row>
    <row r="925" spans="1:10" ht="15">
      <c r="A925" s="114"/>
      <c r="B925" s="1181" t="str">
        <f>TIT.813</f>
        <v>FL.11/302.13/05803 - EPAR - MEDIDOR DE VAZÃO</v>
      </c>
      <c r="C925" s="1181"/>
      <c r="D925" s="1181"/>
      <c r="E925" s="1181"/>
      <c r="F925" s="1181"/>
      <c r="G925" s="1181"/>
      <c r="H925" s="1182"/>
      <c r="I925" s="1183"/>
      <c r="J925" s="553">
        <f>R.813</f>
        <v>13.532259795134133</v>
      </c>
    </row>
    <row r="926" spans="1:10" ht="15">
      <c r="A926" s="114"/>
      <c r="B926" s="1181" t="str">
        <f>TIT.814</f>
        <v>FL.11/302.13/05803 - EPAR - CAIXA DE DESCARGA</v>
      </c>
      <c r="C926" s="1181"/>
      <c r="D926" s="1181"/>
      <c r="E926" s="1181"/>
      <c r="F926" s="1181"/>
      <c r="G926" s="1181"/>
      <c r="H926" s="1182"/>
      <c r="I926" s="1183"/>
      <c r="J926" s="553">
        <f>R.814</f>
        <v>65.902926445303663</v>
      </c>
    </row>
    <row r="927" spans="1:10" ht="15">
      <c r="A927" s="114"/>
      <c r="B927" s="1181"/>
      <c r="C927" s="1181"/>
      <c r="D927" s="1181"/>
      <c r="E927" s="1181"/>
      <c r="F927" s="1181"/>
      <c r="G927" s="1181"/>
      <c r="H927" s="1182"/>
      <c r="I927" s="1183"/>
      <c r="J927" s="562"/>
    </row>
    <row r="928" spans="1:10" thickBot="1">
      <c r="A928" s="114"/>
      <c r="B928" s="1193" t="s">
        <v>76</v>
      </c>
      <c r="C928" s="1193"/>
      <c r="D928" s="1193"/>
      <c r="E928" s="1193"/>
      <c r="F928" s="1193"/>
      <c r="G928" s="1193"/>
      <c r="H928" s="1194"/>
      <c r="I928" s="1195"/>
      <c r="J928" s="549">
        <f>SUM(J913:J927)</f>
        <v>619.2519902914571</v>
      </c>
    </row>
    <row r="929" spans="1:10" thickBot="1">
      <c r="A929" s="114"/>
      <c r="B929" s="1196" t="s">
        <v>77</v>
      </c>
      <c r="C929" s="1196"/>
      <c r="D929" s="1196"/>
      <c r="E929" s="1196"/>
      <c r="F929" s="1196"/>
      <c r="G929" s="1196"/>
      <c r="H929" s="1196"/>
      <c r="I929" s="1196"/>
      <c r="J929" s="550"/>
    </row>
    <row r="930" spans="1:10" ht="15">
      <c r="A930" s="114"/>
      <c r="B930" s="551" t="s">
        <v>2011</v>
      </c>
      <c r="C930" s="154"/>
      <c r="D930" s="154"/>
      <c r="E930" s="154"/>
      <c r="F930" s="154"/>
      <c r="G930" s="154"/>
      <c r="H930" s="154"/>
      <c r="I930" s="154"/>
      <c r="J930" s="545"/>
    </row>
    <row r="931" spans="1:10" thickBot="1">
      <c r="A931" s="114"/>
      <c r="B931" s="155"/>
      <c r="C931" s="155"/>
      <c r="D931" s="155"/>
      <c r="E931" s="155"/>
      <c r="F931" s="155"/>
      <c r="G931" s="155"/>
      <c r="H931" s="155"/>
      <c r="I931" s="155"/>
      <c r="J931" s="552"/>
    </row>
    <row r="932" spans="1:10" thickTop="1">
      <c r="A932" s="114"/>
      <c r="B932" s="1211" t="s">
        <v>57</v>
      </c>
      <c r="C932" s="1211"/>
      <c r="D932" s="1211"/>
      <c r="E932" s="1211"/>
      <c r="F932" s="1211"/>
      <c r="G932" s="1211"/>
      <c r="H932" s="1211"/>
      <c r="I932" s="1211"/>
      <c r="J932" s="1212"/>
    </row>
    <row r="933" spans="1:10" ht="44.25" customHeight="1">
      <c r="A933" s="114"/>
      <c r="B933" s="1213" t="str">
        <f>'PSQ-INFRA'!C204</f>
        <v>Regularização e Apiloamento de fundo de vala</v>
      </c>
      <c r="C933" s="1213"/>
      <c r="D933" s="1213"/>
      <c r="E933" s="1213"/>
      <c r="F933" s="1213"/>
      <c r="G933" s="1213"/>
      <c r="H933" s="1213"/>
      <c r="I933" s="1213"/>
      <c r="J933" s="541"/>
    </row>
    <row r="934" spans="1:10" ht="15">
      <c r="A934" s="114"/>
      <c r="B934" s="1214" t="s">
        <v>7</v>
      </c>
      <c r="C934" s="1215"/>
      <c r="D934" s="1220" t="s">
        <v>70</v>
      </c>
      <c r="E934" s="1221"/>
      <c r="F934" s="1221"/>
      <c r="G934" s="1222"/>
      <c r="H934" s="1223" t="s">
        <v>4</v>
      </c>
      <c r="I934" s="1224"/>
      <c r="J934" s="794" t="s">
        <v>71</v>
      </c>
    </row>
    <row r="935" spans="1:10" ht="56.25" customHeight="1" thickBot="1">
      <c r="A935" s="114"/>
      <c r="B935" s="1225" t="str">
        <f>'PSQ-INFRA'!B204</f>
        <v>04.01.100.04</v>
      </c>
      <c r="C935" s="1226"/>
      <c r="D935" s="1218" t="str">
        <f>B933</f>
        <v>Regularização e Apiloamento de fundo de vala</v>
      </c>
      <c r="E935" s="1219"/>
      <c r="F935" s="1219"/>
      <c r="G935" s="1195"/>
      <c r="H935" s="1184" t="str">
        <f>'PSQ-INFRA'!D204</f>
        <v>m²</v>
      </c>
      <c r="I935" s="1185"/>
      <c r="J935" s="542">
        <f>J957</f>
        <v>524.29800000000012</v>
      </c>
    </row>
    <row r="936" spans="1:10" ht="15">
      <c r="A936" s="114"/>
      <c r="B936" s="1186" t="s">
        <v>72</v>
      </c>
      <c r="C936" s="1186"/>
      <c r="D936" s="1186"/>
      <c r="E936" s="1186"/>
      <c r="F936" s="1186"/>
      <c r="G936" s="1186"/>
      <c r="H936" s="1186"/>
      <c r="I936" s="1186"/>
      <c r="J936" s="543"/>
    </row>
    <row r="937" spans="1:10" ht="15">
      <c r="A937" s="114"/>
      <c r="B937" s="162" t="s">
        <v>80</v>
      </c>
      <c r="C937" s="168"/>
      <c r="D937" s="168"/>
      <c r="E937" s="168"/>
      <c r="F937" s="168"/>
      <c r="G937" s="168"/>
      <c r="H937" s="162" t="str">
        <f>'Pág 2'!$C$24</f>
        <v>FL.01/302.92/04538 - Especificação Técnica</v>
      </c>
      <c r="I937" s="168"/>
      <c r="J937" s="168"/>
    </row>
    <row r="938" spans="1:10" ht="15">
      <c r="A938" s="114"/>
      <c r="B938" s="163" t="s">
        <v>79</v>
      </c>
      <c r="C938" s="164"/>
      <c r="D938" s="164"/>
      <c r="E938" s="163" t="str">
        <f>'Pág 2'!$C$17</f>
        <v xml:space="preserve">FL.01/302.76/04537 - Memorial de Cálculo e Dimensionamento </v>
      </c>
      <c r="F938" s="114"/>
      <c r="G938" s="164"/>
      <c r="H938" s="164"/>
      <c r="I938" s="164"/>
      <c r="J938" s="164"/>
    </row>
    <row r="939" spans="1:10" ht="15">
      <c r="A939" s="114"/>
      <c r="B939" s="163" t="s">
        <v>73</v>
      </c>
      <c r="C939" s="153"/>
      <c r="D939" s="153"/>
      <c r="E939" s="163"/>
      <c r="F939" s="114"/>
      <c r="G939" s="164"/>
      <c r="H939" s="164"/>
      <c r="I939" s="164"/>
      <c r="J939" s="544"/>
    </row>
    <row r="940" spans="1:10" thickBot="1">
      <c r="A940" s="114"/>
      <c r="B940" s="165"/>
      <c r="C940" s="165"/>
      <c r="D940" s="165"/>
      <c r="E940" s="153"/>
      <c r="F940" s="153"/>
      <c r="G940" s="153"/>
      <c r="H940" s="153"/>
      <c r="I940" s="153"/>
      <c r="J940" s="545"/>
    </row>
    <row r="941" spans="1:10" ht="15">
      <c r="A941" s="114"/>
      <c r="B941" s="1187" t="s">
        <v>74</v>
      </c>
      <c r="C941" s="1187"/>
      <c r="D941" s="1187"/>
      <c r="E941" s="1187"/>
      <c r="F941" s="1187"/>
      <c r="G941" s="1187"/>
      <c r="H941" s="1188"/>
      <c r="I941" s="1189"/>
      <c r="J941" s="546" t="s">
        <v>75</v>
      </c>
    </row>
    <row r="942" spans="1:10" ht="15" customHeight="1">
      <c r="A942" s="114"/>
      <c r="B942" s="1181" t="str">
        <f>TIT.801</f>
        <v>FL.11/304.13/05778 - EPAR - EDIFÍCIO DE OPERAÇÕES</v>
      </c>
      <c r="C942" s="1181"/>
      <c r="D942" s="1181"/>
      <c r="E942" s="1181"/>
      <c r="F942" s="1181"/>
      <c r="G942" s="1181"/>
      <c r="H942" s="1182"/>
      <c r="I942" s="1183"/>
      <c r="J942" s="553">
        <f>RA.801</f>
        <v>3.9199999999999995</v>
      </c>
    </row>
    <row r="943" spans="1:10" ht="15" customHeight="1">
      <c r="A943" s="114"/>
      <c r="B943" s="1181" t="str">
        <f>TIT.802</f>
        <v>FL.11/302.13/05806 - EPAR - TRATAMENTO PRELIMINAR E TANQUES DE AERAÇÃO</v>
      </c>
      <c r="C943" s="1181"/>
      <c r="D943" s="1181"/>
      <c r="E943" s="1181"/>
      <c r="F943" s="1181"/>
      <c r="G943" s="1181"/>
      <c r="H943" s="1182"/>
      <c r="I943" s="1183"/>
      <c r="J943" s="553">
        <f>RA.802</f>
        <v>11.84</v>
      </c>
    </row>
    <row r="944" spans="1:10" ht="15" customHeight="1">
      <c r="A944" s="114"/>
      <c r="B944" s="1181" t="str">
        <f>TIT.803</f>
        <v>FL.11/304.16/05796 - EPAR - RESERVATÓRIOS DE ÁGUA DE REUSO E ÁGUAS PLUVIAIS</v>
      </c>
      <c r="C944" s="1181"/>
      <c r="D944" s="1181"/>
      <c r="E944" s="1181"/>
      <c r="F944" s="1181"/>
      <c r="G944" s="1181"/>
      <c r="H944" s="1182"/>
      <c r="I944" s="1183"/>
      <c r="J944" s="553">
        <f>RA.803</f>
        <v>189.24</v>
      </c>
    </row>
    <row r="945" spans="1:10" ht="15">
      <c r="A945" s="114"/>
      <c r="B945" s="1181" t="str">
        <f>TIT.804</f>
        <v>FL.11/302.13/05783 - EPAR - ABRIGO DOS SOPRADORES</v>
      </c>
      <c r="C945" s="1181"/>
      <c r="D945" s="1181"/>
      <c r="E945" s="1181"/>
      <c r="F945" s="1181"/>
      <c r="G945" s="1181"/>
      <c r="H945" s="1182"/>
      <c r="I945" s="1183"/>
      <c r="J945" s="553">
        <f>RA.804</f>
        <v>8.7800000000000011</v>
      </c>
    </row>
    <row r="946" spans="1:10" ht="15">
      <c r="A946" s="114"/>
      <c r="B946" s="1181" t="str">
        <f>TIT.805</f>
        <v>FL.11/302.13/05786 - EPAR - ESTAÇÃO DE TRATAMENTO DE ÁGUA - BASE</v>
      </c>
      <c r="C946" s="1181"/>
      <c r="D946" s="1181"/>
      <c r="E946" s="1181"/>
      <c r="F946" s="1181"/>
      <c r="G946" s="1181"/>
      <c r="H946" s="1182"/>
      <c r="I946" s="1183"/>
      <c r="J946" s="553">
        <f>RA.805</f>
        <v>38.64</v>
      </c>
    </row>
    <row r="947" spans="1:10" ht="15">
      <c r="A947" s="114"/>
      <c r="B947" s="1181" t="str">
        <f>TIT.806</f>
        <v>FL.11/302.13/05787 - EPAR - DESIDRATAÇÃO DE LODO-CENTRÍFUGAS - BASE</v>
      </c>
      <c r="C947" s="1181"/>
      <c r="D947" s="1181"/>
      <c r="E947" s="1181"/>
      <c r="F947" s="1181"/>
      <c r="G947" s="1181"/>
      <c r="H947" s="1182"/>
      <c r="I947" s="1183"/>
      <c r="J947" s="553">
        <f>RA.806</f>
        <v>30.400000000000002</v>
      </c>
    </row>
    <row r="948" spans="1:10" ht="15">
      <c r="A948" s="114"/>
      <c r="B948" s="1181" t="str">
        <f>TIT.807</f>
        <v>FL.11/302.13/05788 - EPAR - SISTEMAS DE PRODUTOS QUÍMICOS - TANQUES</v>
      </c>
      <c r="C948" s="1181"/>
      <c r="D948" s="1181"/>
      <c r="E948" s="1181"/>
      <c r="F948" s="1181"/>
      <c r="G948" s="1181"/>
      <c r="H948" s="1182"/>
      <c r="I948" s="1183"/>
      <c r="J948" s="553">
        <f>RA.807</f>
        <v>104.04</v>
      </c>
    </row>
    <row r="949" spans="1:10" ht="15">
      <c r="A949" s="114"/>
      <c r="B949" s="1181" t="str">
        <f>TIT.808</f>
        <v>FL.11/302.13/05790 - EPAR - CXA. SEPARADORA DE ESCUMA E TANQUE DE REC. DE LODO</v>
      </c>
      <c r="C949" s="1181"/>
      <c r="D949" s="1181"/>
      <c r="E949" s="1181"/>
      <c r="F949" s="1181"/>
      <c r="G949" s="1181"/>
      <c r="H949" s="1182"/>
      <c r="I949" s="1183"/>
      <c r="J949" s="553">
        <f>RA.808</f>
        <v>23.788000000000004</v>
      </c>
    </row>
    <row r="950" spans="1:10" ht="15">
      <c r="A950" s="114"/>
      <c r="B950" s="1181" t="str">
        <f>TIT.809</f>
        <v>FL.11/302.13/05792 - EPAR - TANQUE DE EQUALIZAÇÃO DE LODO</v>
      </c>
      <c r="C950" s="1181"/>
      <c r="D950" s="1181"/>
      <c r="E950" s="1181"/>
      <c r="F950" s="1181"/>
      <c r="G950" s="1181"/>
      <c r="H950" s="1182"/>
      <c r="I950" s="1183"/>
      <c r="J950" s="553">
        <f>RA.809</f>
        <v>29.702500000000001</v>
      </c>
    </row>
    <row r="951" spans="1:10" ht="15">
      <c r="A951" s="114"/>
      <c r="B951" s="1181" t="str">
        <f>TIT.810</f>
        <v>FL.11/302.13/05794 - EPAR - ESTAÇÃO ELEVATÓRIA DE ÁGUAS PLUVIAIS</v>
      </c>
      <c r="C951" s="1181"/>
      <c r="D951" s="1181"/>
      <c r="E951" s="1181"/>
      <c r="F951" s="1181"/>
      <c r="G951" s="1181"/>
      <c r="H951" s="1182"/>
      <c r="I951" s="1183"/>
      <c r="J951" s="553">
        <f>RA.810</f>
        <v>23.482500000000002</v>
      </c>
    </row>
    <row r="952" spans="1:10" ht="15">
      <c r="A952" s="114"/>
      <c r="B952" s="1181" t="str">
        <f>TIT.811</f>
        <v>FL.11/302.13/05803 - EPAR - ESTAÇÃO ELEVATÓRIA DE ESGOTO BRUTO, ESTAÇÃO ELEVATÓRIA DE RETORNO, MEDIDOR DE VAZÃO E CX DE DESCARGA</v>
      </c>
      <c r="C952" s="1181"/>
      <c r="D952" s="1181"/>
      <c r="E952" s="1181"/>
      <c r="F952" s="1181"/>
      <c r="G952" s="1181"/>
      <c r="H952" s="1182"/>
      <c r="I952" s="1183"/>
      <c r="J952" s="553">
        <f>RA.811</f>
        <v>18.059999999999999</v>
      </c>
    </row>
    <row r="953" spans="1:10" ht="15">
      <c r="A953" s="114"/>
      <c r="B953" s="1181" t="str">
        <f>TIT.812</f>
        <v>FL.11/302.13/05803 - EPAR - ESTAÇÃO ELEVATÓRIA DE RETORNO</v>
      </c>
      <c r="C953" s="1181"/>
      <c r="D953" s="1181"/>
      <c r="E953" s="1181"/>
      <c r="F953" s="1181"/>
      <c r="G953" s="1181"/>
      <c r="H953" s="1182"/>
      <c r="I953" s="1183"/>
      <c r="J953" s="553">
        <f>RA.812</f>
        <v>27.040000000000003</v>
      </c>
    </row>
    <row r="954" spans="1:10" ht="15">
      <c r="A954" s="114"/>
      <c r="B954" s="1181" t="str">
        <f>TIT.813</f>
        <v>FL.11/302.13/05803 - EPAR - MEDIDOR DE VAZÃO</v>
      </c>
      <c r="C954" s="1181"/>
      <c r="D954" s="1181"/>
      <c r="E954" s="1181"/>
      <c r="F954" s="1181"/>
      <c r="G954" s="1181"/>
      <c r="H954" s="1182"/>
      <c r="I954" s="1183"/>
      <c r="J954" s="553">
        <f>RA.813</f>
        <v>5.2899999999999991</v>
      </c>
    </row>
    <row r="955" spans="1:10" ht="15">
      <c r="A955" s="114"/>
      <c r="B955" s="1181" t="str">
        <f>TIT.814</f>
        <v>FL.11/302.13/05803 - EPAR - CAIXA DE DESCARGA</v>
      </c>
      <c r="C955" s="1181"/>
      <c r="D955" s="1181"/>
      <c r="E955" s="1181"/>
      <c r="F955" s="1181"/>
      <c r="G955" s="1181"/>
      <c r="H955" s="1182"/>
      <c r="I955" s="1183"/>
      <c r="J955" s="553">
        <f>RA.814</f>
        <v>10.074999999999999</v>
      </c>
    </row>
    <row r="956" spans="1:10" ht="15">
      <c r="A956" s="114"/>
      <c r="B956" s="1181"/>
      <c r="C956" s="1181"/>
      <c r="D956" s="1181"/>
      <c r="E956" s="1181"/>
      <c r="F956" s="1181"/>
      <c r="G956" s="1181"/>
      <c r="H956" s="1182"/>
      <c r="I956" s="1183"/>
      <c r="J956" s="562"/>
    </row>
    <row r="957" spans="1:10" thickBot="1">
      <c r="A957" s="114"/>
      <c r="B957" s="1193" t="s">
        <v>76</v>
      </c>
      <c r="C957" s="1193"/>
      <c r="D957" s="1193"/>
      <c r="E957" s="1193"/>
      <c r="F957" s="1193"/>
      <c r="G957" s="1193"/>
      <c r="H957" s="1194"/>
      <c r="I957" s="1195"/>
      <c r="J957" s="549">
        <f>SUM(J942:J955)</f>
        <v>524.29800000000012</v>
      </c>
    </row>
    <row r="958" spans="1:10" thickBot="1">
      <c r="A958" s="114"/>
      <c r="B958" s="1196" t="s">
        <v>77</v>
      </c>
      <c r="C958" s="1196"/>
      <c r="D958" s="1196"/>
      <c r="E958" s="1196"/>
      <c r="F958" s="1196"/>
      <c r="G958" s="1196"/>
      <c r="H958" s="1196"/>
      <c r="I958" s="1196"/>
      <c r="J958" s="550"/>
    </row>
    <row r="959" spans="1:10" ht="15">
      <c r="A959" s="114"/>
      <c r="B959" s="551" t="s">
        <v>2011</v>
      </c>
      <c r="C959" s="154"/>
      <c r="D959" s="154"/>
      <c r="E959" s="154"/>
      <c r="F959" s="154"/>
      <c r="G959" s="154"/>
      <c r="H959" s="154"/>
      <c r="I959" s="154"/>
      <c r="J959" s="545"/>
    </row>
    <row r="960" spans="1:10" thickBot="1">
      <c r="A960" s="114"/>
      <c r="B960" s="155"/>
      <c r="C960" s="155"/>
      <c r="D960" s="155"/>
      <c r="E960" s="155"/>
      <c r="F960" s="155"/>
      <c r="G960" s="155"/>
      <c r="H960" s="155"/>
      <c r="I960" s="155"/>
      <c r="J960" s="552"/>
    </row>
    <row r="961" spans="1:10" thickTop="1">
      <c r="A961" s="114"/>
      <c r="B961" s="1211" t="s">
        <v>57</v>
      </c>
      <c r="C961" s="1211"/>
      <c r="D961" s="1211"/>
      <c r="E961" s="1211"/>
      <c r="F961" s="1211"/>
      <c r="G961" s="1211"/>
      <c r="H961" s="1211"/>
      <c r="I961" s="1211"/>
      <c r="J961" s="1211"/>
    </row>
    <row r="962" spans="1:10" ht="44.25" customHeight="1">
      <c r="A962" s="114"/>
      <c r="B962" s="1213" t="str">
        <f>'PSQ-INFRA'!C228</f>
        <v xml:space="preserve">Estaca Hélice Contínua com diâmetro de 250 mm </v>
      </c>
      <c r="C962" s="1213"/>
      <c r="D962" s="1213"/>
      <c r="E962" s="1213"/>
      <c r="F962" s="1213"/>
      <c r="G962" s="1213"/>
      <c r="H962" s="1213"/>
      <c r="I962" s="1213"/>
      <c r="J962" s="541"/>
    </row>
    <row r="963" spans="1:10" ht="15">
      <c r="A963" s="114"/>
      <c r="B963" s="1267" t="s">
        <v>7</v>
      </c>
      <c r="C963" s="1266"/>
      <c r="D963" s="1262" t="s">
        <v>70</v>
      </c>
      <c r="E963" s="1263"/>
      <c r="F963" s="1263"/>
      <c r="G963" s="1264"/>
      <c r="H963" s="1265" t="s">
        <v>4</v>
      </c>
      <c r="I963" s="1266"/>
      <c r="J963" s="794" t="s">
        <v>71</v>
      </c>
    </row>
    <row r="964" spans="1:10" ht="56.25" customHeight="1" thickBot="1">
      <c r="A964" s="114"/>
      <c r="B964" s="1246" t="str">
        <f>'PSQ-INFRA'!B228</f>
        <v>04.02.170.01</v>
      </c>
      <c r="C964" s="1247"/>
      <c r="D964" s="1218" t="str">
        <f>B962</f>
        <v xml:space="preserve">Estaca Hélice Contínua com diâmetro de 250 mm </v>
      </c>
      <c r="E964" s="1246"/>
      <c r="F964" s="1246"/>
      <c r="G964" s="1247"/>
      <c r="H964" s="1218" t="str">
        <f>'PSQ-INFRA'!D228</f>
        <v>m</v>
      </c>
      <c r="I964" s="1247"/>
      <c r="J964" s="542">
        <f>J974</f>
        <v>168</v>
      </c>
    </row>
    <row r="965" spans="1:10" ht="15">
      <c r="A965" s="114"/>
      <c r="B965" s="1186" t="s">
        <v>72</v>
      </c>
      <c r="C965" s="1186"/>
      <c r="D965" s="1186"/>
      <c r="E965" s="1186"/>
      <c r="F965" s="1186"/>
      <c r="G965" s="1186"/>
      <c r="H965" s="1186"/>
      <c r="I965" s="1186"/>
      <c r="J965" s="543"/>
    </row>
    <row r="966" spans="1:10" ht="15">
      <c r="A966" s="114"/>
      <c r="B966" s="162" t="s">
        <v>80</v>
      </c>
      <c r="C966" s="168"/>
      <c r="D966" s="168"/>
      <c r="E966" s="168"/>
      <c r="F966" s="168"/>
      <c r="G966" s="168"/>
      <c r="H966" s="162" t="str">
        <f>'Pág 2'!$C$24</f>
        <v>FL.01/302.92/04538 - Especificação Técnica</v>
      </c>
      <c r="I966" s="168"/>
      <c r="J966" s="168"/>
    </row>
    <row r="967" spans="1:10" ht="15">
      <c r="A967" s="114"/>
      <c r="B967" s="163" t="s">
        <v>79</v>
      </c>
      <c r="C967" s="164"/>
      <c r="D967" s="164"/>
      <c r="E967" s="163" t="str">
        <f>'Pág 2'!$C$17</f>
        <v xml:space="preserve">FL.01/302.76/04537 - Memorial de Cálculo e Dimensionamento </v>
      </c>
      <c r="F967" s="114"/>
      <c r="G967" s="164"/>
      <c r="H967" s="164"/>
      <c r="I967" s="164"/>
      <c r="J967" s="164"/>
    </row>
    <row r="968" spans="1:10" ht="15">
      <c r="A968" s="114"/>
      <c r="B968" s="163" t="s">
        <v>73</v>
      </c>
      <c r="C968" s="153"/>
      <c r="D968" s="153"/>
      <c r="E968" s="163"/>
      <c r="F968" s="114"/>
      <c r="G968" s="164"/>
      <c r="H968" s="164"/>
      <c r="I968" s="164"/>
      <c r="J968" s="544"/>
    </row>
    <row r="969" spans="1:10" thickBot="1">
      <c r="A969" s="114"/>
      <c r="B969" s="165"/>
      <c r="C969" s="165"/>
      <c r="D969" s="165"/>
      <c r="E969" s="153"/>
      <c r="F969" s="153"/>
      <c r="G969" s="153"/>
      <c r="H969" s="153"/>
      <c r="I969" s="153"/>
      <c r="J969" s="545"/>
    </row>
    <row r="970" spans="1:10" ht="15">
      <c r="A970" s="114"/>
      <c r="B970" s="1187" t="s">
        <v>74</v>
      </c>
      <c r="C970" s="1187"/>
      <c r="D970" s="1187"/>
      <c r="E970" s="1187"/>
      <c r="F970" s="1187"/>
      <c r="G970" s="1187"/>
      <c r="H970" s="1187"/>
      <c r="I970" s="1210"/>
      <c r="J970" s="546" t="s">
        <v>75</v>
      </c>
    </row>
    <row r="971" spans="1:10" ht="15">
      <c r="A971" s="114"/>
      <c r="B971" s="1181" t="str">
        <f>TIT.801</f>
        <v>FL.11/304.13/05778 - EPAR - EDIFÍCIO DE OPERAÇÕES</v>
      </c>
      <c r="C971" s="1181"/>
      <c r="D971" s="1181"/>
      <c r="E971" s="1181"/>
      <c r="F971" s="1181"/>
      <c r="G971" s="1181"/>
      <c r="H971" s="1182"/>
      <c r="I971" s="1183"/>
      <c r="J971" s="547">
        <f>E25.801</f>
        <v>96</v>
      </c>
    </row>
    <row r="972" spans="1:10" ht="15">
      <c r="A972" s="114"/>
      <c r="B972" s="1181" t="str">
        <f>TIT.804</f>
        <v>FL.11/302.13/05783 - EPAR - ABRIGO DOS SOPRADORES</v>
      </c>
      <c r="C972" s="1181"/>
      <c r="D972" s="1181"/>
      <c r="E972" s="1181"/>
      <c r="F972" s="1181"/>
      <c r="G972" s="1181"/>
      <c r="H972" s="1182"/>
      <c r="I972" s="1183"/>
      <c r="J972" s="547">
        <f>E25.804</f>
        <v>72</v>
      </c>
    </row>
    <row r="973" spans="1:10" ht="15" customHeight="1">
      <c r="A973" s="114"/>
      <c r="B973" s="1181"/>
      <c r="C973" s="1181"/>
      <c r="D973" s="1181"/>
      <c r="E973" s="1181"/>
      <c r="F973" s="1181"/>
      <c r="G973" s="1181"/>
      <c r="H973" s="1181"/>
      <c r="I973" s="1209"/>
      <c r="J973" s="548"/>
    </row>
    <row r="974" spans="1:10" ht="15" customHeight="1" thickBot="1">
      <c r="A974" s="114"/>
      <c r="B974" s="1193" t="s">
        <v>76</v>
      </c>
      <c r="C974" s="1193"/>
      <c r="D974" s="1193"/>
      <c r="E974" s="1193"/>
      <c r="F974" s="1193"/>
      <c r="G974" s="1193"/>
      <c r="H974" s="1193"/>
      <c r="I974" s="1208"/>
      <c r="J974" s="549">
        <f>SUM(J971:J972)</f>
        <v>168</v>
      </c>
    </row>
    <row r="975" spans="1:10" ht="15" customHeight="1" thickBot="1">
      <c r="A975" s="114"/>
      <c r="B975" s="1196" t="s">
        <v>77</v>
      </c>
      <c r="C975" s="1196"/>
      <c r="D975" s="1196"/>
      <c r="E975" s="1196"/>
      <c r="F975" s="1196"/>
      <c r="G975" s="1196"/>
      <c r="H975" s="1196"/>
      <c r="I975" s="1196"/>
      <c r="J975" s="550"/>
    </row>
    <row r="976" spans="1:10" ht="15" customHeight="1">
      <c r="A976" s="114"/>
      <c r="B976" s="551" t="s">
        <v>2011</v>
      </c>
      <c r="C976" s="154"/>
      <c r="D976" s="154"/>
      <c r="E976" s="154"/>
      <c r="F976" s="154"/>
      <c r="G976" s="154"/>
      <c r="H976" s="154"/>
      <c r="I976" s="154"/>
      <c r="J976" s="545"/>
    </row>
    <row r="977" spans="1:56" ht="15" customHeight="1" thickBot="1">
      <c r="A977" s="114"/>
      <c r="B977" s="155"/>
      <c r="C977" s="155"/>
      <c r="D977" s="155"/>
      <c r="E977" s="155"/>
      <c r="F977" s="155"/>
      <c r="G977" s="155"/>
      <c r="H977" s="155"/>
      <c r="I977" s="155"/>
      <c r="J977" s="552"/>
    </row>
    <row r="978" spans="1:56" ht="16.5" thickTop="1" thickBot="1">
      <c r="A978" s="114"/>
      <c r="B978" s="1207" t="s">
        <v>57</v>
      </c>
      <c r="C978" s="1207"/>
      <c r="D978" s="1207"/>
      <c r="E978" s="1207"/>
      <c r="F978" s="1207"/>
      <c r="G978" s="1207"/>
      <c r="H978" s="1207"/>
      <c r="I978" s="1207"/>
      <c r="J978" s="1207"/>
    </row>
    <row r="979" spans="1:56" ht="44.25" customHeight="1" thickTop="1">
      <c r="A979" s="114"/>
      <c r="B979" s="1268" t="str">
        <f>'PSQ-INFRA'!C229</f>
        <v>Estaca Hélice Contínua com diâmetro de 300 mm</v>
      </c>
      <c r="C979" s="1268"/>
      <c r="D979" s="1268"/>
      <c r="E979" s="1268"/>
      <c r="F979" s="1268"/>
      <c r="G979" s="1268"/>
      <c r="H979" s="1268"/>
      <c r="I979" s="1268"/>
      <c r="J979" s="541"/>
    </row>
    <row r="980" spans="1:56" ht="15">
      <c r="A980" s="114"/>
      <c r="B980" s="1267" t="s">
        <v>7</v>
      </c>
      <c r="C980" s="1266"/>
      <c r="D980" s="1262" t="s">
        <v>70</v>
      </c>
      <c r="E980" s="1263"/>
      <c r="F980" s="1263"/>
      <c r="G980" s="1264"/>
      <c r="H980" s="1265" t="s">
        <v>4</v>
      </c>
      <c r="I980" s="1266"/>
      <c r="J980" s="794" t="s">
        <v>71</v>
      </c>
    </row>
    <row r="981" spans="1:56" s="470" customFormat="1" ht="56.25" customHeight="1" thickBot="1">
      <c r="A981" s="264"/>
      <c r="B981" s="1269" t="str">
        <f>'PSQ-INFRA'!B229</f>
        <v>04.02.170.02</v>
      </c>
      <c r="C981" s="1270"/>
      <c r="D981" s="1271" t="str">
        <f>B979</f>
        <v>Estaca Hélice Contínua com diâmetro de 300 mm</v>
      </c>
      <c r="E981" s="1269"/>
      <c r="F981" s="1269"/>
      <c r="G981" s="1270"/>
      <c r="H981" s="1271" t="str">
        <f>'PSQ-INFRA'!D229</f>
        <v>m</v>
      </c>
      <c r="I981" s="1270"/>
      <c r="J981" s="1111">
        <f>J990</f>
        <v>91</v>
      </c>
      <c r="K981" s="264"/>
      <c r="L981" s="264"/>
      <c r="M981" s="264"/>
      <c r="N981" s="264"/>
      <c r="O981" s="264"/>
      <c r="P981" s="264"/>
      <c r="Q981" s="264"/>
      <c r="R981" s="264"/>
      <c r="S981" s="264"/>
      <c r="T981" s="264"/>
      <c r="U981" s="264"/>
      <c r="V981" s="264"/>
      <c r="W981" s="264"/>
      <c r="X981" s="264"/>
      <c r="Y981" s="264"/>
      <c r="Z981" s="264"/>
      <c r="AA981" s="264"/>
      <c r="AB981" s="264"/>
      <c r="AC981" s="264"/>
      <c r="AD981" s="264"/>
      <c r="AE981" s="264"/>
      <c r="AF981" s="264"/>
      <c r="AG981" s="264"/>
      <c r="AH981" s="264"/>
      <c r="AI981" s="264"/>
      <c r="AJ981" s="264"/>
      <c r="AK981" s="264"/>
      <c r="AL981" s="264"/>
      <c r="AM981" s="264"/>
      <c r="AN981" s="264"/>
      <c r="AO981" s="264"/>
      <c r="AP981" s="264"/>
      <c r="AQ981" s="264"/>
      <c r="AR981" s="264"/>
      <c r="AS981" s="264"/>
      <c r="AT981" s="264"/>
      <c r="AU981" s="264"/>
      <c r="AV981" s="264"/>
      <c r="AW981" s="264"/>
      <c r="AX981" s="264"/>
      <c r="AY981" s="264"/>
      <c r="AZ981" s="264"/>
      <c r="BA981" s="264"/>
      <c r="BB981" s="264"/>
      <c r="BC981" s="264"/>
      <c r="BD981" s="264"/>
    </row>
    <row r="982" spans="1:56" ht="15">
      <c r="A982" s="114"/>
      <c r="B982" s="1186" t="s">
        <v>72</v>
      </c>
      <c r="C982" s="1186"/>
      <c r="D982" s="1186"/>
      <c r="E982" s="1186"/>
      <c r="F982" s="1186"/>
      <c r="G982" s="1186"/>
      <c r="H982" s="1186"/>
      <c r="I982" s="1186"/>
      <c r="J982" s="543"/>
    </row>
    <row r="983" spans="1:56" ht="15">
      <c r="A983" s="114"/>
      <c r="B983" s="162" t="s">
        <v>80</v>
      </c>
      <c r="C983" s="168"/>
      <c r="D983" s="168"/>
      <c r="E983" s="168"/>
      <c r="F983" s="168"/>
      <c r="G983" s="168"/>
      <c r="H983" s="162" t="str">
        <f>'Pág 2'!$C$24</f>
        <v>FL.01/302.92/04538 - Especificação Técnica</v>
      </c>
      <c r="I983" s="168"/>
      <c r="J983" s="168"/>
    </row>
    <row r="984" spans="1:56" ht="15">
      <c r="A984" s="114"/>
      <c r="B984" s="163" t="s">
        <v>79</v>
      </c>
      <c r="C984" s="164"/>
      <c r="D984" s="164"/>
      <c r="E984" s="163" t="str">
        <f>'Pág 2'!$C$17</f>
        <v xml:space="preserve">FL.01/302.76/04537 - Memorial de Cálculo e Dimensionamento </v>
      </c>
      <c r="F984" s="114"/>
      <c r="G984" s="164"/>
      <c r="H984" s="164"/>
      <c r="I984" s="164"/>
      <c r="J984" s="164"/>
    </row>
    <row r="985" spans="1:56" ht="15">
      <c r="A985" s="114"/>
      <c r="B985" s="163" t="s">
        <v>73</v>
      </c>
      <c r="C985" s="153"/>
      <c r="D985" s="153"/>
      <c r="E985" s="163"/>
      <c r="F985" s="114"/>
      <c r="G985" s="164"/>
      <c r="H985" s="164"/>
      <c r="I985" s="164"/>
      <c r="J985" s="544"/>
    </row>
    <row r="986" spans="1:56" thickBot="1">
      <c r="A986" s="114"/>
      <c r="B986" s="165"/>
      <c r="C986" s="165"/>
      <c r="D986" s="165"/>
      <c r="E986" s="153"/>
      <c r="F986" s="153"/>
      <c r="G986" s="153"/>
      <c r="H986" s="153"/>
      <c r="I986" s="153"/>
      <c r="J986" s="545"/>
    </row>
    <row r="987" spans="1:56" ht="15">
      <c r="A987" s="114"/>
      <c r="B987" s="1187" t="s">
        <v>74</v>
      </c>
      <c r="C987" s="1187"/>
      <c r="D987" s="1187"/>
      <c r="E987" s="1187"/>
      <c r="F987" s="1187"/>
      <c r="G987" s="1187"/>
      <c r="H987" s="1187"/>
      <c r="I987" s="1210"/>
      <c r="J987" s="546" t="s">
        <v>75</v>
      </c>
    </row>
    <row r="988" spans="1:56" ht="15">
      <c r="A988" s="114"/>
      <c r="B988" s="1181" t="str">
        <f>TIT.802</f>
        <v>FL.11/302.13/05806 - EPAR - TRATAMENTO PRELIMINAR E TANQUES DE AERAÇÃO</v>
      </c>
      <c r="C988" s="1181"/>
      <c r="D988" s="1181"/>
      <c r="E988" s="1181"/>
      <c r="F988" s="1181"/>
      <c r="G988" s="1181"/>
      <c r="H988" s="1182"/>
      <c r="I988" s="1183"/>
      <c r="J988" s="547">
        <f>E30.802</f>
        <v>91</v>
      </c>
    </row>
    <row r="989" spans="1:56" ht="15" customHeight="1">
      <c r="A989" s="114"/>
      <c r="B989" s="1181"/>
      <c r="C989" s="1181"/>
      <c r="D989" s="1181"/>
      <c r="E989" s="1181"/>
      <c r="F989" s="1181"/>
      <c r="G989" s="1181"/>
      <c r="H989" s="1181"/>
      <c r="I989" s="1209"/>
      <c r="J989" s="548"/>
    </row>
    <row r="990" spans="1:56" ht="15" customHeight="1" thickBot="1">
      <c r="A990" s="114"/>
      <c r="B990" s="1193" t="s">
        <v>76</v>
      </c>
      <c r="C990" s="1193"/>
      <c r="D990" s="1193"/>
      <c r="E990" s="1193"/>
      <c r="F990" s="1193"/>
      <c r="G990" s="1193"/>
      <c r="H990" s="1193"/>
      <c r="I990" s="1208"/>
      <c r="J990" s="549">
        <f>SUM(J988:J988)</f>
        <v>91</v>
      </c>
    </row>
    <row r="991" spans="1:56" ht="15" customHeight="1" thickBot="1">
      <c r="A991" s="114"/>
      <c r="B991" s="1196" t="s">
        <v>77</v>
      </c>
      <c r="C991" s="1196"/>
      <c r="D991" s="1196"/>
      <c r="E991" s="1196"/>
      <c r="F991" s="1196"/>
      <c r="G991" s="1196"/>
      <c r="H991" s="1196"/>
      <c r="I991" s="1196"/>
      <c r="J991" s="550"/>
    </row>
    <row r="992" spans="1:56" ht="15" customHeight="1">
      <c r="A992" s="114"/>
      <c r="B992" s="551" t="s">
        <v>2011</v>
      </c>
      <c r="C992" s="154"/>
      <c r="D992" s="154"/>
      <c r="E992" s="154"/>
      <c r="F992" s="154"/>
      <c r="G992" s="154"/>
      <c r="H992" s="154"/>
      <c r="I992" s="154"/>
      <c r="J992" s="545"/>
    </row>
    <row r="993" spans="1:10" ht="15" customHeight="1" thickBot="1">
      <c r="A993" s="114"/>
      <c r="B993" s="155"/>
      <c r="C993" s="155"/>
      <c r="D993" s="155"/>
      <c r="E993" s="155"/>
      <c r="F993" s="155"/>
      <c r="G993" s="155"/>
      <c r="H993" s="155"/>
      <c r="I993" s="155"/>
      <c r="J993" s="552"/>
    </row>
    <row r="994" spans="1:10" thickTop="1">
      <c r="A994" s="114"/>
      <c r="B994" s="1211" t="s">
        <v>57</v>
      </c>
      <c r="C994" s="1211"/>
      <c r="D994" s="1211"/>
      <c r="E994" s="1211"/>
      <c r="F994" s="1211"/>
      <c r="G994" s="1211"/>
      <c r="H994" s="1211"/>
      <c r="I994" s="1211"/>
      <c r="J994" s="1211"/>
    </row>
    <row r="995" spans="1:10" ht="44.25" customHeight="1">
      <c r="A995" s="114"/>
      <c r="B995" s="1213" t="str">
        <f>'PSQ-INFRA'!C230</f>
        <v>Estaca Hélice Contínua com diâmetro de 350 mm</v>
      </c>
      <c r="C995" s="1213"/>
      <c r="D995" s="1213"/>
      <c r="E995" s="1213"/>
      <c r="F995" s="1213"/>
      <c r="G995" s="1213"/>
      <c r="H995" s="1213"/>
      <c r="I995" s="1213"/>
      <c r="J995" s="541"/>
    </row>
    <row r="996" spans="1:10" ht="15">
      <c r="A996" s="114"/>
      <c r="B996" s="1214" t="s">
        <v>7</v>
      </c>
      <c r="C996" s="1215"/>
      <c r="D996" s="1220" t="s">
        <v>70</v>
      </c>
      <c r="E996" s="1221"/>
      <c r="F996" s="1221"/>
      <c r="G996" s="1222"/>
      <c r="H996" s="1223" t="s">
        <v>4</v>
      </c>
      <c r="I996" s="1224"/>
      <c r="J996" s="794" t="s">
        <v>71</v>
      </c>
    </row>
    <row r="997" spans="1:10" ht="56.25" customHeight="1" thickBot="1">
      <c r="A997" s="114"/>
      <c r="B997" s="1225" t="str">
        <f>'PSQ-INFRA'!B230</f>
        <v>04.02.170.03</v>
      </c>
      <c r="C997" s="1226"/>
      <c r="D997" s="1218" t="str">
        <f>B995</f>
        <v>Estaca Hélice Contínua com diâmetro de 350 mm</v>
      </c>
      <c r="E997" s="1219"/>
      <c r="F997" s="1219"/>
      <c r="G997" s="1195"/>
      <c r="H997" s="1184" t="str">
        <f>'PSQ-INFRA'!D230</f>
        <v>m</v>
      </c>
      <c r="I997" s="1185"/>
      <c r="J997" s="542">
        <f>J1007</f>
        <v>1040</v>
      </c>
    </row>
    <row r="998" spans="1:10" ht="15">
      <c r="A998" s="114"/>
      <c r="B998" s="1186" t="s">
        <v>72</v>
      </c>
      <c r="C998" s="1186"/>
      <c r="D998" s="1186"/>
      <c r="E998" s="1186"/>
      <c r="F998" s="1186"/>
      <c r="G998" s="1186"/>
      <c r="H998" s="1186"/>
      <c r="I998" s="1186"/>
      <c r="J998" s="543"/>
    </row>
    <row r="999" spans="1:10" ht="15">
      <c r="A999" s="114"/>
      <c r="B999" s="162" t="s">
        <v>80</v>
      </c>
      <c r="C999" s="168"/>
      <c r="D999" s="168"/>
      <c r="E999" s="168"/>
      <c r="F999" s="168"/>
      <c r="G999" s="168"/>
      <c r="H999" s="162" t="str">
        <f>'Pág 2'!$C$24</f>
        <v>FL.01/302.92/04538 - Especificação Técnica</v>
      </c>
      <c r="I999" s="168"/>
      <c r="J999" s="168"/>
    </row>
    <row r="1000" spans="1:10" ht="15">
      <c r="A1000" s="114"/>
      <c r="B1000" s="163" t="s">
        <v>79</v>
      </c>
      <c r="C1000" s="164"/>
      <c r="D1000" s="164"/>
      <c r="E1000" s="163" t="str">
        <f>'Pág 2'!$C$17</f>
        <v xml:space="preserve">FL.01/302.76/04537 - Memorial de Cálculo e Dimensionamento </v>
      </c>
      <c r="F1000" s="114"/>
      <c r="G1000" s="164"/>
      <c r="H1000" s="164"/>
      <c r="I1000" s="164"/>
      <c r="J1000" s="164"/>
    </row>
    <row r="1001" spans="1:10" ht="15">
      <c r="A1001" s="114"/>
      <c r="B1001" s="163" t="s">
        <v>73</v>
      </c>
      <c r="C1001" s="153"/>
      <c r="D1001" s="153"/>
      <c r="E1001" s="163"/>
      <c r="F1001" s="114"/>
      <c r="G1001" s="164"/>
      <c r="H1001" s="164"/>
      <c r="I1001" s="164"/>
      <c r="J1001" s="544"/>
    </row>
    <row r="1002" spans="1:10" thickBot="1">
      <c r="A1002" s="114"/>
      <c r="B1002" s="165"/>
      <c r="C1002" s="165"/>
      <c r="D1002" s="165"/>
      <c r="E1002" s="153"/>
      <c r="F1002" s="153"/>
      <c r="G1002" s="153"/>
      <c r="H1002" s="153"/>
      <c r="I1002" s="153"/>
      <c r="J1002" s="545"/>
    </row>
    <row r="1003" spans="1:10" ht="15">
      <c r="A1003" s="114"/>
      <c r="B1003" s="1187" t="s">
        <v>74</v>
      </c>
      <c r="C1003" s="1187"/>
      <c r="D1003" s="1187"/>
      <c r="E1003" s="1187"/>
      <c r="F1003" s="1187"/>
      <c r="G1003" s="1187"/>
      <c r="H1003" s="1188"/>
      <c r="I1003" s="1189"/>
      <c r="J1003" s="546" t="s">
        <v>75</v>
      </c>
    </row>
    <row r="1004" spans="1:10" ht="15" customHeight="1">
      <c r="A1004" s="114"/>
      <c r="B1004" s="1181" t="str">
        <f>TIT.802</f>
        <v>FL.11/302.13/05806 - EPAR - TRATAMENTO PRELIMINAR E TANQUES DE AERAÇÃO</v>
      </c>
      <c r="C1004" s="1181"/>
      <c r="D1004" s="1181"/>
      <c r="E1004" s="1181"/>
      <c r="F1004" s="1181"/>
      <c r="G1004" s="1181"/>
      <c r="H1004" s="1181"/>
      <c r="I1004" s="1209"/>
      <c r="J1004" s="547">
        <f>E35.802</f>
        <v>640</v>
      </c>
    </row>
    <row r="1005" spans="1:10" ht="15" customHeight="1">
      <c r="A1005" s="114"/>
      <c r="B1005" s="1181" t="str">
        <f>TIT.803</f>
        <v>FL.11/304.16/05796 - EPAR - RESERVATÓRIOS DE ÁGUA DE REUSO E ÁGUAS PLUVIAIS</v>
      </c>
      <c r="C1005" s="1181"/>
      <c r="D1005" s="1181"/>
      <c r="E1005" s="1181"/>
      <c r="F1005" s="1181"/>
      <c r="G1005" s="1181"/>
      <c r="H1005" s="1181"/>
      <c r="I1005" s="1209"/>
      <c r="J1005" s="547">
        <f>E35.803</f>
        <v>400</v>
      </c>
    </row>
    <row r="1006" spans="1:10" ht="15" customHeight="1">
      <c r="A1006" s="114"/>
      <c r="B1006" s="1181"/>
      <c r="C1006" s="1181"/>
      <c r="D1006" s="1181"/>
      <c r="E1006" s="1181"/>
      <c r="F1006" s="1181"/>
      <c r="G1006" s="1181"/>
      <c r="H1006" s="1182"/>
      <c r="I1006" s="1183"/>
      <c r="J1006" s="548"/>
    </row>
    <row r="1007" spans="1:10" ht="15" customHeight="1" thickBot="1">
      <c r="A1007" s="114"/>
      <c r="B1007" s="1193" t="s">
        <v>76</v>
      </c>
      <c r="C1007" s="1193"/>
      <c r="D1007" s="1193"/>
      <c r="E1007" s="1193"/>
      <c r="F1007" s="1193"/>
      <c r="G1007" s="1193"/>
      <c r="H1007" s="1194"/>
      <c r="I1007" s="1195"/>
      <c r="J1007" s="549">
        <f>SUM(J1004:J1005)</f>
        <v>1040</v>
      </c>
    </row>
    <row r="1008" spans="1:10" ht="15" customHeight="1" thickBot="1">
      <c r="A1008" s="114"/>
      <c r="B1008" s="1248" t="s">
        <v>77</v>
      </c>
      <c r="C1008" s="1248"/>
      <c r="D1008" s="1248"/>
      <c r="E1008" s="1248"/>
      <c r="F1008" s="1248"/>
      <c r="G1008" s="1248"/>
      <c r="H1008" s="1248"/>
      <c r="I1008" s="1248"/>
      <c r="J1008" s="555"/>
    </row>
    <row r="1009" spans="1:10" ht="15" customHeight="1">
      <c r="A1009" s="114"/>
      <c r="B1009" s="551" t="s">
        <v>2011</v>
      </c>
      <c r="C1009" s="374"/>
      <c r="D1009" s="374"/>
      <c r="E1009" s="374"/>
      <c r="F1009" s="374"/>
      <c r="G1009" s="374"/>
      <c r="H1009" s="374"/>
      <c r="I1009" s="374"/>
      <c r="J1009" s="545"/>
    </row>
    <row r="1010" spans="1:10" ht="15" customHeight="1" thickBot="1">
      <c r="A1010" s="114"/>
      <c r="B1010" s="155"/>
      <c r="C1010" s="155"/>
      <c r="D1010" s="155"/>
      <c r="E1010" s="155"/>
      <c r="F1010" s="155"/>
      <c r="G1010" s="155"/>
      <c r="H1010" s="155"/>
      <c r="I1010" s="155"/>
      <c r="J1010" s="552"/>
    </row>
    <row r="1011" spans="1:10" thickTop="1">
      <c r="A1011" s="114"/>
      <c r="B1011" s="1211" t="s">
        <v>57</v>
      </c>
      <c r="C1011" s="1211"/>
      <c r="D1011" s="1211"/>
      <c r="E1011" s="1211"/>
      <c r="F1011" s="1211"/>
      <c r="G1011" s="1211"/>
      <c r="H1011" s="1211"/>
      <c r="I1011" s="1211"/>
      <c r="J1011" s="1211"/>
    </row>
    <row r="1012" spans="1:10" ht="44.25" customHeight="1">
      <c r="A1012" s="114"/>
      <c r="B1012" s="1213" t="str">
        <f>'PSQ-INFRA'!C212</f>
        <v>Preparo de Cabeças de Estacas com diâmetro de 250 mm</v>
      </c>
      <c r="C1012" s="1213"/>
      <c r="D1012" s="1213"/>
      <c r="E1012" s="1213"/>
      <c r="F1012" s="1213"/>
      <c r="G1012" s="1213"/>
      <c r="H1012" s="1213"/>
      <c r="I1012" s="1213"/>
      <c r="J1012" s="541"/>
    </row>
    <row r="1013" spans="1:10" ht="15">
      <c r="A1013" s="114"/>
      <c r="B1013" s="1214" t="s">
        <v>7</v>
      </c>
      <c r="C1013" s="1215"/>
      <c r="D1013" s="1220" t="s">
        <v>70</v>
      </c>
      <c r="E1013" s="1221"/>
      <c r="F1013" s="1221"/>
      <c r="G1013" s="1222"/>
      <c r="H1013" s="1223" t="s">
        <v>4</v>
      </c>
      <c r="I1013" s="1224"/>
      <c r="J1013" s="794" t="s">
        <v>71</v>
      </c>
    </row>
    <row r="1014" spans="1:10" ht="56.25" customHeight="1" thickBot="1">
      <c r="A1014" s="114"/>
      <c r="B1014" s="1225" t="str">
        <f>'PSQ-INFRA'!B212</f>
        <v>04.02.120.01</v>
      </c>
      <c r="C1014" s="1226"/>
      <c r="D1014" s="1218" t="str">
        <f>B1012</f>
        <v>Preparo de Cabeças de Estacas com diâmetro de 250 mm</v>
      </c>
      <c r="E1014" s="1219"/>
      <c r="F1014" s="1219"/>
      <c r="G1014" s="1195"/>
      <c r="H1014" s="1184" t="str">
        <f>'PSQ-INFRA'!D212</f>
        <v>un</v>
      </c>
      <c r="I1014" s="1185"/>
      <c r="J1014" s="542">
        <f>J1024</f>
        <v>14</v>
      </c>
    </row>
    <row r="1015" spans="1:10" ht="15">
      <c r="A1015" s="114"/>
      <c r="B1015" s="1186" t="s">
        <v>72</v>
      </c>
      <c r="C1015" s="1186"/>
      <c r="D1015" s="1186"/>
      <c r="E1015" s="1186"/>
      <c r="F1015" s="1186"/>
      <c r="G1015" s="1186"/>
      <c r="H1015" s="1186"/>
      <c r="I1015" s="1186"/>
      <c r="J1015" s="543"/>
    </row>
    <row r="1016" spans="1:10" ht="15">
      <c r="A1016" s="114"/>
      <c r="B1016" s="162" t="s">
        <v>80</v>
      </c>
      <c r="C1016" s="168"/>
      <c r="D1016" s="168"/>
      <c r="E1016" s="168"/>
      <c r="F1016" s="168"/>
      <c r="G1016" s="168"/>
      <c r="H1016" s="162" t="str">
        <f>'Pág 2'!$C$24</f>
        <v>FL.01/302.92/04538 - Especificação Técnica</v>
      </c>
      <c r="I1016" s="168"/>
      <c r="J1016" s="168"/>
    </row>
    <row r="1017" spans="1:10" ht="15">
      <c r="A1017" s="114"/>
      <c r="B1017" s="163" t="s">
        <v>79</v>
      </c>
      <c r="C1017" s="164"/>
      <c r="D1017" s="164"/>
      <c r="E1017" s="163" t="str">
        <f>'Pág 2'!$C$17</f>
        <v xml:space="preserve">FL.01/302.76/04537 - Memorial de Cálculo e Dimensionamento </v>
      </c>
      <c r="F1017" s="114"/>
      <c r="G1017" s="164"/>
      <c r="H1017" s="164"/>
      <c r="I1017" s="164"/>
      <c r="J1017" s="164"/>
    </row>
    <row r="1018" spans="1:10" ht="15">
      <c r="A1018" s="114"/>
      <c r="B1018" s="163" t="s">
        <v>73</v>
      </c>
      <c r="C1018" s="153"/>
      <c r="D1018" s="153"/>
      <c r="E1018" s="163"/>
      <c r="F1018" s="114"/>
      <c r="G1018" s="164"/>
      <c r="H1018" s="164"/>
      <c r="I1018" s="164"/>
      <c r="J1018" s="544"/>
    </row>
    <row r="1019" spans="1:10" thickBot="1">
      <c r="A1019" s="114"/>
      <c r="B1019" s="165"/>
      <c r="C1019" s="165"/>
      <c r="D1019" s="165"/>
      <c r="E1019" s="153"/>
      <c r="F1019" s="153"/>
      <c r="G1019" s="153"/>
      <c r="H1019" s="153"/>
      <c r="I1019" s="153"/>
      <c r="J1019" s="545"/>
    </row>
    <row r="1020" spans="1:10" ht="15">
      <c r="A1020" s="114"/>
      <c r="B1020" s="1187" t="s">
        <v>74</v>
      </c>
      <c r="C1020" s="1187"/>
      <c r="D1020" s="1187"/>
      <c r="E1020" s="1187"/>
      <c r="F1020" s="1187"/>
      <c r="G1020" s="1187"/>
      <c r="H1020" s="1188"/>
      <c r="I1020" s="1189"/>
      <c r="J1020" s="546" t="s">
        <v>75</v>
      </c>
    </row>
    <row r="1021" spans="1:10" ht="15">
      <c r="A1021" s="114"/>
      <c r="B1021" s="1181" t="str">
        <f>TIT.801</f>
        <v>FL.11/304.13/05778 - EPAR - EDIFÍCIO DE OPERAÇÕES</v>
      </c>
      <c r="C1021" s="1181"/>
      <c r="D1021" s="1181"/>
      <c r="E1021" s="1181"/>
      <c r="F1021" s="1181"/>
      <c r="G1021" s="1181"/>
      <c r="H1021" s="1182"/>
      <c r="I1021" s="1183"/>
      <c r="J1021" s="547">
        <f>QE25.801</f>
        <v>8</v>
      </c>
    </row>
    <row r="1022" spans="1:10" ht="15">
      <c r="A1022" s="114"/>
      <c r="B1022" s="1181" t="str">
        <f>TIT.804</f>
        <v>FL.11/302.13/05783 - EPAR - ABRIGO DOS SOPRADORES</v>
      </c>
      <c r="C1022" s="1181"/>
      <c r="D1022" s="1181"/>
      <c r="E1022" s="1181"/>
      <c r="F1022" s="1181"/>
      <c r="G1022" s="1181"/>
      <c r="H1022" s="1182"/>
      <c r="I1022" s="1183"/>
      <c r="J1022" s="547">
        <f>QE25.804</f>
        <v>6</v>
      </c>
    </row>
    <row r="1023" spans="1:10" ht="15" customHeight="1">
      <c r="A1023" s="114"/>
      <c r="B1023" s="1181"/>
      <c r="C1023" s="1181"/>
      <c r="D1023" s="1181"/>
      <c r="E1023" s="1181"/>
      <c r="F1023" s="1181"/>
      <c r="G1023" s="1181"/>
      <c r="H1023" s="1182"/>
      <c r="I1023" s="1183"/>
      <c r="J1023" s="548"/>
    </row>
    <row r="1024" spans="1:10" ht="15" customHeight="1" thickBot="1">
      <c r="A1024" s="114"/>
      <c r="B1024" s="1193" t="s">
        <v>76</v>
      </c>
      <c r="C1024" s="1193"/>
      <c r="D1024" s="1193"/>
      <c r="E1024" s="1193"/>
      <c r="F1024" s="1193"/>
      <c r="G1024" s="1193"/>
      <c r="H1024" s="1194"/>
      <c r="I1024" s="1195"/>
      <c r="J1024" s="549">
        <f>SUM(J1021:J1022)</f>
        <v>14</v>
      </c>
    </row>
    <row r="1025" spans="1:12" ht="15" customHeight="1" thickBot="1">
      <c r="A1025" s="114"/>
      <c r="B1025" s="1248" t="s">
        <v>77</v>
      </c>
      <c r="C1025" s="1248"/>
      <c r="D1025" s="1248"/>
      <c r="E1025" s="1248"/>
      <c r="F1025" s="1248"/>
      <c r="G1025" s="1248"/>
      <c r="H1025" s="1248"/>
      <c r="I1025" s="1248"/>
      <c r="J1025" s="555"/>
    </row>
    <row r="1026" spans="1:12" ht="15" customHeight="1">
      <c r="A1026" s="114"/>
      <c r="B1026" s="551" t="s">
        <v>2011</v>
      </c>
      <c r="C1026" s="374"/>
      <c r="D1026" s="374"/>
      <c r="E1026" s="374"/>
      <c r="F1026" s="374"/>
      <c r="G1026" s="374"/>
      <c r="H1026" s="374"/>
      <c r="I1026" s="374"/>
      <c r="J1026" s="545"/>
    </row>
    <row r="1027" spans="1:12" ht="15" customHeight="1" thickBot="1">
      <c r="A1027" s="114"/>
      <c r="B1027" s="155"/>
      <c r="C1027" s="155"/>
      <c r="D1027" s="155"/>
      <c r="E1027" s="155"/>
      <c r="F1027" s="155"/>
      <c r="G1027" s="155"/>
      <c r="H1027" s="155"/>
      <c r="I1027" s="155"/>
      <c r="J1027" s="552"/>
    </row>
    <row r="1028" spans="1:12" thickTop="1">
      <c r="A1028" s="114"/>
      <c r="B1028" s="1211" t="s">
        <v>57</v>
      </c>
      <c r="C1028" s="1211"/>
      <c r="D1028" s="1211"/>
      <c r="E1028" s="1211"/>
      <c r="F1028" s="1211"/>
      <c r="G1028" s="1211"/>
      <c r="H1028" s="1211"/>
      <c r="I1028" s="1211"/>
      <c r="J1028" s="1212"/>
    </row>
    <row r="1029" spans="1:12" ht="44.25" customHeight="1">
      <c r="A1029" s="114"/>
      <c r="B1029" s="1213" t="str">
        <f>'PSQ-INFRA'!C213</f>
        <v>Preparo de Cabeças de Estacas com diâmetro de 300 mm</v>
      </c>
      <c r="C1029" s="1213"/>
      <c r="D1029" s="1213"/>
      <c r="E1029" s="1213"/>
      <c r="F1029" s="1213"/>
      <c r="G1029" s="1213"/>
      <c r="H1029" s="1213"/>
      <c r="I1029" s="1213"/>
      <c r="J1029" s="541"/>
    </row>
    <row r="1030" spans="1:12" ht="15">
      <c r="A1030" s="114"/>
      <c r="B1030" s="1214" t="s">
        <v>7</v>
      </c>
      <c r="C1030" s="1215"/>
      <c r="D1030" s="1220" t="s">
        <v>70</v>
      </c>
      <c r="E1030" s="1221"/>
      <c r="F1030" s="1221"/>
      <c r="G1030" s="1222"/>
      <c r="H1030" s="1223" t="s">
        <v>4</v>
      </c>
      <c r="I1030" s="1224"/>
      <c r="J1030" s="794" t="s">
        <v>71</v>
      </c>
    </row>
    <row r="1031" spans="1:12" ht="56.25" customHeight="1" thickBot="1">
      <c r="A1031" s="114"/>
      <c r="B1031" s="1225" t="str">
        <f>'PSQ-INFRA'!B213</f>
        <v>04.02.120.02</v>
      </c>
      <c r="C1031" s="1226"/>
      <c r="D1031" s="1218" t="str">
        <f>B1029</f>
        <v>Preparo de Cabeças de Estacas com diâmetro de 300 mm</v>
      </c>
      <c r="E1031" s="1219"/>
      <c r="F1031" s="1219"/>
      <c r="G1031" s="1195"/>
      <c r="H1031" s="1184" t="str">
        <f>'PSQ-INFRA'!D213</f>
        <v>un</v>
      </c>
      <c r="I1031" s="1185"/>
      <c r="J1031" s="542">
        <f>J1040</f>
        <v>7</v>
      </c>
      <c r="L1031" s="114" t="s">
        <v>1108</v>
      </c>
    </row>
    <row r="1032" spans="1:12" ht="15">
      <c r="A1032" s="114"/>
      <c r="B1032" s="1186" t="s">
        <v>72</v>
      </c>
      <c r="C1032" s="1186"/>
      <c r="D1032" s="1186"/>
      <c r="E1032" s="1186"/>
      <c r="F1032" s="1186"/>
      <c r="G1032" s="1186"/>
      <c r="H1032" s="1186"/>
      <c r="I1032" s="1186"/>
      <c r="J1032" s="543"/>
    </row>
    <row r="1033" spans="1:12" ht="15">
      <c r="A1033" s="114"/>
      <c r="B1033" s="162" t="s">
        <v>80</v>
      </c>
      <c r="C1033" s="168"/>
      <c r="D1033" s="168"/>
      <c r="E1033" s="168"/>
      <c r="F1033" s="168"/>
      <c r="G1033" s="168"/>
      <c r="H1033" s="162" t="str">
        <f>'Pág 2'!$C$24</f>
        <v>FL.01/302.92/04538 - Especificação Técnica</v>
      </c>
      <c r="I1033" s="168"/>
      <c r="J1033" s="168"/>
    </row>
    <row r="1034" spans="1:12" ht="15">
      <c r="A1034" s="114"/>
      <c r="B1034" s="163" t="s">
        <v>79</v>
      </c>
      <c r="C1034" s="164"/>
      <c r="D1034" s="164"/>
      <c r="E1034" s="163" t="str">
        <f>'Pág 2'!$C$17</f>
        <v xml:space="preserve">FL.01/302.76/04537 - Memorial de Cálculo e Dimensionamento </v>
      </c>
      <c r="F1034" s="114"/>
      <c r="G1034" s="164"/>
      <c r="H1034" s="164"/>
      <c r="I1034" s="164"/>
      <c r="J1034" s="164"/>
    </row>
    <row r="1035" spans="1:12" ht="15">
      <c r="A1035" s="114"/>
      <c r="B1035" s="163" t="s">
        <v>73</v>
      </c>
      <c r="C1035" s="153"/>
      <c r="D1035" s="153"/>
      <c r="E1035" s="163"/>
      <c r="F1035" s="114"/>
      <c r="G1035" s="164"/>
      <c r="H1035" s="164"/>
      <c r="I1035" s="164"/>
      <c r="J1035" s="544"/>
    </row>
    <row r="1036" spans="1:12" thickBot="1">
      <c r="A1036" s="114"/>
      <c r="B1036" s="165"/>
      <c r="C1036" s="165"/>
      <c r="D1036" s="165"/>
      <c r="E1036" s="153"/>
      <c r="F1036" s="153"/>
      <c r="G1036" s="153"/>
      <c r="H1036" s="153"/>
      <c r="I1036" s="153"/>
      <c r="J1036" s="545"/>
    </row>
    <row r="1037" spans="1:12" ht="15">
      <c r="A1037" s="114"/>
      <c r="B1037" s="1187" t="s">
        <v>74</v>
      </c>
      <c r="C1037" s="1187"/>
      <c r="D1037" s="1187"/>
      <c r="E1037" s="1187"/>
      <c r="F1037" s="1187"/>
      <c r="G1037" s="1187"/>
      <c r="H1037" s="1188"/>
      <c r="I1037" s="1189"/>
      <c r="J1037" s="546" t="s">
        <v>75</v>
      </c>
    </row>
    <row r="1038" spans="1:12" ht="15">
      <c r="A1038" s="114"/>
      <c r="B1038" s="1181" t="str">
        <f>TIT.802</f>
        <v>FL.11/302.13/05806 - EPAR - TRATAMENTO PRELIMINAR E TANQUES DE AERAÇÃO</v>
      </c>
      <c r="C1038" s="1181"/>
      <c r="D1038" s="1181"/>
      <c r="E1038" s="1181"/>
      <c r="F1038" s="1181"/>
      <c r="G1038" s="1181"/>
      <c r="H1038" s="1182"/>
      <c r="I1038" s="1183"/>
      <c r="J1038" s="547">
        <f>QE30.802</f>
        <v>7</v>
      </c>
    </row>
    <row r="1039" spans="1:12" ht="15" customHeight="1">
      <c r="A1039" s="114"/>
      <c r="B1039" s="1181"/>
      <c r="C1039" s="1181"/>
      <c r="D1039" s="1181"/>
      <c r="E1039" s="1181"/>
      <c r="F1039" s="1181"/>
      <c r="G1039" s="1181"/>
      <c r="H1039" s="1182"/>
      <c r="I1039" s="1183"/>
      <c r="J1039" s="548"/>
    </row>
    <row r="1040" spans="1:12" ht="15" customHeight="1" thickBot="1">
      <c r="A1040" s="114"/>
      <c r="B1040" s="1193" t="s">
        <v>76</v>
      </c>
      <c r="C1040" s="1193"/>
      <c r="D1040" s="1193"/>
      <c r="E1040" s="1193"/>
      <c r="F1040" s="1193"/>
      <c r="G1040" s="1193"/>
      <c r="H1040" s="1194"/>
      <c r="I1040" s="1195"/>
      <c r="J1040" s="549">
        <f>SUM(J1038:J1038)</f>
        <v>7</v>
      </c>
    </row>
    <row r="1041" spans="1:10" thickBot="1">
      <c r="A1041" s="114"/>
      <c r="B1041" s="1196" t="s">
        <v>77</v>
      </c>
      <c r="C1041" s="1196"/>
      <c r="D1041" s="1196"/>
      <c r="E1041" s="1196"/>
      <c r="F1041" s="1196"/>
      <c r="G1041" s="1196"/>
      <c r="H1041" s="1196"/>
      <c r="I1041" s="1196"/>
      <c r="J1041" s="550"/>
    </row>
    <row r="1042" spans="1:10" ht="15">
      <c r="A1042" s="114"/>
      <c r="B1042" s="551" t="s">
        <v>2011</v>
      </c>
      <c r="C1042" s="154"/>
      <c r="D1042" s="154"/>
      <c r="E1042" s="154"/>
      <c r="F1042" s="154"/>
      <c r="G1042" s="154"/>
      <c r="H1042" s="154"/>
      <c r="I1042" s="154"/>
      <c r="J1042" s="545"/>
    </row>
    <row r="1043" spans="1:10" thickBot="1">
      <c r="A1043" s="114"/>
      <c r="B1043" s="155"/>
      <c r="C1043" s="155"/>
      <c r="D1043" s="155"/>
      <c r="E1043" s="155"/>
      <c r="F1043" s="155"/>
      <c r="G1043" s="155"/>
      <c r="H1043" s="155"/>
      <c r="I1043" s="155"/>
      <c r="J1043" s="552"/>
    </row>
    <row r="1044" spans="1:10" thickTop="1">
      <c r="A1044" s="114"/>
      <c r="B1044" s="1211" t="s">
        <v>57</v>
      </c>
      <c r="C1044" s="1211"/>
      <c r="D1044" s="1211"/>
      <c r="E1044" s="1211"/>
      <c r="F1044" s="1211"/>
      <c r="G1044" s="1211"/>
      <c r="H1044" s="1211"/>
      <c r="I1044" s="1211"/>
      <c r="J1044" s="1212"/>
    </row>
    <row r="1045" spans="1:10" ht="44.25" customHeight="1">
      <c r="A1045" s="114"/>
      <c r="B1045" s="1213" t="str">
        <f>'PSQ-INFRA'!C214</f>
        <v>Preparo de Cabeças de Estacas com diâmetro de 350 mm</v>
      </c>
      <c r="C1045" s="1213"/>
      <c r="D1045" s="1213"/>
      <c r="E1045" s="1213"/>
      <c r="F1045" s="1213"/>
      <c r="G1045" s="1213"/>
      <c r="H1045" s="1213"/>
      <c r="I1045" s="1213"/>
      <c r="J1045" s="541"/>
    </row>
    <row r="1046" spans="1:10" ht="15">
      <c r="A1046" s="114"/>
      <c r="B1046" s="1214" t="s">
        <v>7</v>
      </c>
      <c r="C1046" s="1215"/>
      <c r="D1046" s="1220" t="s">
        <v>70</v>
      </c>
      <c r="E1046" s="1221"/>
      <c r="F1046" s="1221"/>
      <c r="G1046" s="1222"/>
      <c r="H1046" s="1223" t="s">
        <v>4</v>
      </c>
      <c r="I1046" s="1224"/>
      <c r="J1046" s="794" t="s">
        <v>71</v>
      </c>
    </row>
    <row r="1047" spans="1:10" ht="56.25" customHeight="1" thickBot="1">
      <c r="A1047" s="114"/>
      <c r="B1047" s="1225" t="str">
        <f>'PSQ-INFRA'!B214</f>
        <v>04.02.120.03</v>
      </c>
      <c r="C1047" s="1226"/>
      <c r="D1047" s="1218" t="str">
        <f>B1045</f>
        <v>Preparo de Cabeças de Estacas com diâmetro de 350 mm</v>
      </c>
      <c r="E1047" s="1219"/>
      <c r="F1047" s="1219"/>
      <c r="G1047" s="1195"/>
      <c r="H1047" s="1184" t="str">
        <f>'PSQ-INFRA'!D214</f>
        <v>un</v>
      </c>
      <c r="I1047" s="1185"/>
      <c r="J1047" s="542">
        <f>J1057</f>
        <v>65</v>
      </c>
    </row>
    <row r="1048" spans="1:10" ht="15">
      <c r="A1048" s="114"/>
      <c r="B1048" s="1186" t="s">
        <v>72</v>
      </c>
      <c r="C1048" s="1186"/>
      <c r="D1048" s="1186"/>
      <c r="E1048" s="1186"/>
      <c r="F1048" s="1186"/>
      <c r="G1048" s="1186"/>
      <c r="H1048" s="1186"/>
      <c r="I1048" s="1186"/>
      <c r="J1048" s="543"/>
    </row>
    <row r="1049" spans="1:10" ht="15">
      <c r="A1049" s="114"/>
      <c r="B1049" s="162" t="s">
        <v>80</v>
      </c>
      <c r="C1049" s="168"/>
      <c r="D1049" s="168"/>
      <c r="E1049" s="168"/>
      <c r="F1049" s="168"/>
      <c r="G1049" s="168"/>
      <c r="H1049" s="162" t="str">
        <f>'Pág 2'!$C$24</f>
        <v>FL.01/302.92/04538 - Especificação Técnica</v>
      </c>
      <c r="I1049" s="168"/>
      <c r="J1049" s="168"/>
    </row>
    <row r="1050" spans="1:10" ht="15">
      <c r="A1050" s="114"/>
      <c r="B1050" s="163" t="s">
        <v>79</v>
      </c>
      <c r="C1050" s="164"/>
      <c r="D1050" s="164"/>
      <c r="E1050" s="163" t="str">
        <f>'Pág 2'!$C$17</f>
        <v xml:space="preserve">FL.01/302.76/04537 - Memorial de Cálculo e Dimensionamento </v>
      </c>
      <c r="F1050" s="114"/>
      <c r="G1050" s="164"/>
      <c r="H1050" s="164"/>
      <c r="I1050" s="164"/>
      <c r="J1050" s="164"/>
    </row>
    <row r="1051" spans="1:10" ht="15">
      <c r="A1051" s="114"/>
      <c r="B1051" s="163" t="s">
        <v>73</v>
      </c>
      <c r="C1051" s="153"/>
      <c r="D1051" s="153"/>
      <c r="E1051" s="163"/>
      <c r="F1051" s="114"/>
      <c r="G1051" s="164"/>
      <c r="H1051" s="164"/>
      <c r="I1051" s="164"/>
      <c r="J1051" s="544"/>
    </row>
    <row r="1052" spans="1:10" thickBot="1">
      <c r="A1052" s="114"/>
      <c r="B1052" s="165"/>
      <c r="C1052" s="165"/>
      <c r="D1052" s="165"/>
      <c r="E1052" s="153"/>
      <c r="F1052" s="153"/>
      <c r="G1052" s="153"/>
      <c r="H1052" s="153"/>
      <c r="I1052" s="153"/>
      <c r="J1052" s="545"/>
    </row>
    <row r="1053" spans="1:10" ht="15">
      <c r="A1053" s="114"/>
      <c r="B1053" s="1187" t="s">
        <v>74</v>
      </c>
      <c r="C1053" s="1187"/>
      <c r="D1053" s="1187"/>
      <c r="E1053" s="1187"/>
      <c r="F1053" s="1187"/>
      <c r="G1053" s="1187"/>
      <c r="H1053" s="1188"/>
      <c r="I1053" s="1189"/>
      <c r="J1053" s="546" t="s">
        <v>75</v>
      </c>
    </row>
    <row r="1054" spans="1:10" ht="15" customHeight="1">
      <c r="A1054" s="114"/>
      <c r="B1054" s="1181" t="str">
        <f>TIT.802</f>
        <v>FL.11/302.13/05806 - EPAR - TRATAMENTO PRELIMINAR E TANQUES DE AERAÇÃO</v>
      </c>
      <c r="C1054" s="1181"/>
      <c r="D1054" s="1181"/>
      <c r="E1054" s="1181"/>
      <c r="F1054" s="1181"/>
      <c r="G1054" s="1181"/>
      <c r="H1054" s="1181"/>
      <c r="I1054" s="1209"/>
      <c r="J1054" s="547">
        <f>QE35.802</f>
        <v>40</v>
      </c>
    </row>
    <row r="1055" spans="1:10" ht="15" customHeight="1">
      <c r="A1055" s="114"/>
      <c r="B1055" s="1181" t="str">
        <f>TIT.803</f>
        <v>FL.11/304.16/05796 - EPAR - RESERVATÓRIOS DE ÁGUA DE REUSO E ÁGUAS PLUVIAIS</v>
      </c>
      <c r="C1055" s="1181"/>
      <c r="D1055" s="1181"/>
      <c r="E1055" s="1181"/>
      <c r="F1055" s="1181"/>
      <c r="G1055" s="1181"/>
      <c r="H1055" s="1181"/>
      <c r="I1055" s="1209"/>
      <c r="J1055" s="547">
        <f>QE35.803</f>
        <v>25</v>
      </c>
    </row>
    <row r="1056" spans="1:10" ht="15" customHeight="1">
      <c r="A1056" s="114"/>
      <c r="B1056" s="1181"/>
      <c r="C1056" s="1181"/>
      <c r="D1056" s="1181"/>
      <c r="E1056" s="1181"/>
      <c r="F1056" s="1181"/>
      <c r="G1056" s="1181"/>
      <c r="H1056" s="1182"/>
      <c r="I1056" s="1183"/>
      <c r="J1056" s="548"/>
    </row>
    <row r="1057" spans="1:10" ht="15" customHeight="1" thickBot="1">
      <c r="A1057" s="114"/>
      <c r="B1057" s="1193" t="s">
        <v>76</v>
      </c>
      <c r="C1057" s="1193"/>
      <c r="D1057" s="1193"/>
      <c r="E1057" s="1193"/>
      <c r="F1057" s="1193"/>
      <c r="G1057" s="1193"/>
      <c r="H1057" s="1194"/>
      <c r="I1057" s="1195"/>
      <c r="J1057" s="549">
        <f>SUM(J1054:J1055)</f>
        <v>65</v>
      </c>
    </row>
    <row r="1058" spans="1:10" thickBot="1">
      <c r="A1058" s="114"/>
      <c r="B1058" s="1196" t="s">
        <v>77</v>
      </c>
      <c r="C1058" s="1196"/>
      <c r="D1058" s="1196"/>
      <c r="E1058" s="1196"/>
      <c r="F1058" s="1196"/>
      <c r="G1058" s="1196"/>
      <c r="H1058" s="1196"/>
      <c r="I1058" s="1196"/>
      <c r="J1058" s="550"/>
    </row>
    <row r="1059" spans="1:10" ht="15">
      <c r="A1059" s="114"/>
      <c r="B1059" s="551" t="s">
        <v>2011</v>
      </c>
      <c r="C1059" s="154"/>
      <c r="D1059" s="154"/>
      <c r="E1059" s="154"/>
      <c r="F1059" s="154"/>
      <c r="G1059" s="154"/>
      <c r="H1059" s="154"/>
      <c r="I1059" s="154"/>
      <c r="J1059" s="545"/>
    </row>
    <row r="1060" spans="1:10" thickBot="1">
      <c r="A1060" s="114"/>
      <c r="B1060" s="155"/>
      <c r="C1060" s="155"/>
      <c r="D1060" s="155"/>
      <c r="E1060" s="155"/>
      <c r="F1060" s="155"/>
      <c r="G1060" s="155"/>
      <c r="H1060" s="155"/>
      <c r="I1060" s="155"/>
      <c r="J1060" s="552"/>
    </row>
    <row r="1061" spans="1:10" thickTop="1">
      <c r="A1061" s="114"/>
      <c r="B1061" s="1211" t="s">
        <v>57</v>
      </c>
      <c r="C1061" s="1211"/>
      <c r="D1061" s="1211"/>
      <c r="E1061" s="1211"/>
      <c r="F1061" s="1211"/>
      <c r="G1061" s="1211"/>
      <c r="H1061" s="1211"/>
      <c r="I1061" s="1211"/>
      <c r="J1061" s="1212"/>
    </row>
    <row r="1062" spans="1:10" ht="44.25" customHeight="1">
      <c r="A1062" s="114"/>
      <c r="B1062" s="1213" t="str">
        <f>'PSQ-INFRA'!C234</f>
        <v>Fornecimento, transporte, lançamento, adensamento, acabamento e cura - Lastro de Concreto  (fck=10MPa)</v>
      </c>
      <c r="C1062" s="1213"/>
      <c r="D1062" s="1213"/>
      <c r="E1062" s="1213"/>
      <c r="F1062" s="1213"/>
      <c r="G1062" s="1213"/>
      <c r="H1062" s="1213"/>
      <c r="I1062" s="1213"/>
      <c r="J1062" s="541"/>
    </row>
    <row r="1063" spans="1:10" ht="15">
      <c r="A1063" s="114"/>
      <c r="B1063" s="1214" t="s">
        <v>7</v>
      </c>
      <c r="C1063" s="1215"/>
      <c r="D1063" s="1220" t="s">
        <v>70</v>
      </c>
      <c r="E1063" s="1221"/>
      <c r="F1063" s="1221"/>
      <c r="G1063" s="1222"/>
      <c r="H1063" s="1223" t="s">
        <v>4</v>
      </c>
      <c r="I1063" s="1224"/>
      <c r="J1063" s="796" t="s">
        <v>71</v>
      </c>
    </row>
    <row r="1064" spans="1:10" ht="56.25" customHeight="1" thickBot="1">
      <c r="A1064" s="114"/>
      <c r="B1064" s="1225" t="str">
        <f>'PSQ-INFRA'!B234</f>
        <v>04.02.210.01</v>
      </c>
      <c r="C1064" s="1226"/>
      <c r="D1064" s="1218" t="str">
        <f>B1062</f>
        <v>Fornecimento, transporte, lançamento, adensamento, acabamento e cura - Lastro de Concreto  (fck=10MPa)</v>
      </c>
      <c r="E1064" s="1219"/>
      <c r="F1064" s="1219"/>
      <c r="G1064" s="1195"/>
      <c r="H1064" s="1184" t="str">
        <f>'PSQ-INFRA'!D234</f>
        <v>m³</v>
      </c>
      <c r="I1064" s="1185"/>
      <c r="J1064" s="542">
        <f>J1075</f>
        <v>2.1865000000000006</v>
      </c>
    </row>
    <row r="1065" spans="1:10" ht="15">
      <c r="A1065" s="114"/>
      <c r="B1065" s="1186" t="s">
        <v>72</v>
      </c>
      <c r="C1065" s="1186"/>
      <c r="D1065" s="1186"/>
      <c r="E1065" s="1186"/>
      <c r="F1065" s="1186"/>
      <c r="G1065" s="1186"/>
      <c r="H1065" s="1186"/>
      <c r="I1065" s="1186"/>
      <c r="J1065" s="543"/>
    </row>
    <row r="1066" spans="1:10" ht="15">
      <c r="A1066" s="114"/>
      <c r="B1066" s="162" t="s">
        <v>80</v>
      </c>
      <c r="C1066" s="168"/>
      <c r="D1066" s="168"/>
      <c r="E1066" s="168"/>
      <c r="F1066" s="168"/>
      <c r="G1066" s="168"/>
      <c r="H1066" s="162" t="str">
        <f>'Pág 2'!$C$24</f>
        <v>FL.01/302.92/04538 - Especificação Técnica</v>
      </c>
      <c r="I1066" s="168"/>
      <c r="J1066" s="168"/>
    </row>
    <row r="1067" spans="1:10" ht="15">
      <c r="A1067" s="114"/>
      <c r="B1067" s="163" t="s">
        <v>79</v>
      </c>
      <c r="C1067" s="164"/>
      <c r="D1067" s="164"/>
      <c r="E1067" s="163" t="str">
        <f>'Pág 2'!$C$17</f>
        <v xml:space="preserve">FL.01/302.76/04537 - Memorial de Cálculo e Dimensionamento </v>
      </c>
      <c r="F1067" s="114"/>
      <c r="G1067" s="164"/>
      <c r="H1067" s="164"/>
      <c r="I1067" s="164"/>
      <c r="J1067" s="164"/>
    </row>
    <row r="1068" spans="1:10" ht="15">
      <c r="A1068" s="114"/>
      <c r="B1068" s="163" t="s">
        <v>73</v>
      </c>
      <c r="C1068" s="153"/>
      <c r="D1068" s="153"/>
      <c r="E1068" s="163"/>
      <c r="F1068" s="114"/>
      <c r="G1068" s="164"/>
      <c r="H1068" s="164"/>
      <c r="I1068" s="164"/>
      <c r="J1068" s="544"/>
    </row>
    <row r="1069" spans="1:10" thickBot="1">
      <c r="A1069" s="114"/>
      <c r="B1069" s="165"/>
      <c r="C1069" s="165"/>
      <c r="D1069" s="165"/>
      <c r="E1069" s="153"/>
      <c r="F1069" s="153"/>
      <c r="G1069" s="153"/>
      <c r="H1069" s="153"/>
      <c r="I1069" s="153"/>
      <c r="J1069" s="545"/>
    </row>
    <row r="1070" spans="1:10" ht="15">
      <c r="A1070" s="114"/>
      <c r="B1070" s="1187" t="s">
        <v>74</v>
      </c>
      <c r="C1070" s="1187"/>
      <c r="D1070" s="1187"/>
      <c r="E1070" s="1187"/>
      <c r="F1070" s="1187"/>
      <c r="G1070" s="1187"/>
      <c r="H1070" s="1188"/>
      <c r="I1070" s="1189"/>
      <c r="J1070" s="546" t="s">
        <v>75</v>
      </c>
    </row>
    <row r="1071" spans="1:10" ht="15">
      <c r="A1071" s="114"/>
      <c r="B1071" s="1181" t="str">
        <f>TIT.801</f>
        <v>FL.11/304.13/05778 - EPAR - EDIFÍCIO DE OPERAÇÕES</v>
      </c>
      <c r="C1071" s="1181"/>
      <c r="D1071" s="1181"/>
      <c r="E1071" s="1181"/>
      <c r="F1071" s="1181"/>
      <c r="G1071" s="1181"/>
      <c r="H1071" s="1182"/>
      <c r="I1071" s="1183"/>
      <c r="J1071" s="547">
        <f>LC.801</f>
        <v>1.1555000000000002</v>
      </c>
    </row>
    <row r="1072" spans="1:10" ht="15">
      <c r="A1072" s="114"/>
      <c r="B1072" s="1181" t="str">
        <f>TIT.802</f>
        <v>FL.11/302.13/05806 - EPAR - TRATAMENTO PRELIMINAR E TANQUES DE AERAÇÃO</v>
      </c>
      <c r="C1072" s="1181"/>
      <c r="D1072" s="1181"/>
      <c r="E1072" s="1181"/>
      <c r="F1072" s="1181"/>
      <c r="G1072" s="1181"/>
      <c r="H1072" s="1182"/>
      <c r="I1072" s="1183"/>
      <c r="J1072" s="547">
        <f>LC.802</f>
        <v>0.59200000000000008</v>
      </c>
    </row>
    <row r="1073" spans="1:10" ht="15">
      <c r="A1073" s="114"/>
      <c r="B1073" s="1181" t="str">
        <f>TIT.804</f>
        <v>FL.11/302.13/05783 - EPAR - ABRIGO DOS SOPRADORES</v>
      </c>
      <c r="C1073" s="1181"/>
      <c r="D1073" s="1181"/>
      <c r="E1073" s="1181"/>
      <c r="F1073" s="1181"/>
      <c r="G1073" s="1181"/>
      <c r="H1073" s="1182"/>
      <c r="I1073" s="1183"/>
      <c r="J1073" s="547">
        <f>LC.804</f>
        <v>0.43900000000000006</v>
      </c>
    </row>
    <row r="1074" spans="1:10" ht="15" customHeight="1">
      <c r="A1074" s="114"/>
      <c r="B1074" s="1181"/>
      <c r="C1074" s="1181"/>
      <c r="D1074" s="1181"/>
      <c r="E1074" s="1181"/>
      <c r="F1074" s="1181"/>
      <c r="G1074" s="1181"/>
      <c r="H1074" s="1182"/>
      <c r="I1074" s="1183"/>
      <c r="J1074" s="548"/>
    </row>
    <row r="1075" spans="1:10" ht="15" customHeight="1" thickBot="1">
      <c r="A1075" s="114"/>
      <c r="B1075" s="1193" t="s">
        <v>76</v>
      </c>
      <c r="C1075" s="1193"/>
      <c r="D1075" s="1193"/>
      <c r="E1075" s="1193"/>
      <c r="F1075" s="1193"/>
      <c r="G1075" s="1193"/>
      <c r="H1075" s="1194"/>
      <c r="I1075" s="1195"/>
      <c r="J1075" s="549">
        <f>SUM(J1071:J1073)</f>
        <v>2.1865000000000006</v>
      </c>
    </row>
    <row r="1076" spans="1:10" thickBot="1">
      <c r="A1076" s="114"/>
      <c r="B1076" s="1196" t="s">
        <v>77</v>
      </c>
      <c r="C1076" s="1196"/>
      <c r="D1076" s="1196"/>
      <c r="E1076" s="1196"/>
      <c r="F1076" s="1196"/>
      <c r="G1076" s="1196"/>
      <c r="H1076" s="1196"/>
      <c r="I1076" s="1196"/>
      <c r="J1076" s="550"/>
    </row>
    <row r="1077" spans="1:10" ht="15">
      <c r="A1077" s="114"/>
      <c r="B1077" s="551" t="s">
        <v>2011</v>
      </c>
      <c r="C1077" s="154"/>
      <c r="D1077" s="154"/>
      <c r="E1077" s="154"/>
      <c r="F1077" s="154"/>
      <c r="G1077" s="154"/>
      <c r="H1077" s="154"/>
      <c r="I1077" s="154"/>
      <c r="J1077" s="545"/>
    </row>
    <row r="1078" spans="1:10" thickBot="1">
      <c r="A1078" s="114"/>
      <c r="B1078" s="162"/>
      <c r="C1078" s="154"/>
      <c r="D1078" s="154"/>
      <c r="E1078" s="154"/>
      <c r="F1078" s="154"/>
      <c r="G1078" s="154"/>
      <c r="H1078" s="154"/>
      <c r="I1078" s="154"/>
      <c r="J1078" s="545"/>
    </row>
    <row r="1079" spans="1:10" thickTop="1">
      <c r="A1079" s="114"/>
      <c r="B1079" s="1211" t="s">
        <v>57</v>
      </c>
      <c r="C1079" s="1211"/>
      <c r="D1079" s="1211"/>
      <c r="E1079" s="1211"/>
      <c r="F1079" s="1211"/>
      <c r="G1079" s="1211"/>
      <c r="H1079" s="1211"/>
      <c r="I1079" s="1211"/>
      <c r="J1079" s="1212"/>
    </row>
    <row r="1080" spans="1:10" ht="44.25" customHeight="1">
      <c r="A1080" s="114"/>
      <c r="B1080" s="1213" t="str">
        <f>'PSQ-INFRA'!C238</f>
        <v>Forma plana comum p/ fundações</v>
      </c>
      <c r="C1080" s="1213"/>
      <c r="D1080" s="1213"/>
      <c r="E1080" s="1213"/>
      <c r="F1080" s="1213"/>
      <c r="G1080" s="1213"/>
      <c r="H1080" s="1213"/>
      <c r="I1080" s="1213"/>
      <c r="J1080" s="541"/>
    </row>
    <row r="1081" spans="1:10" ht="15">
      <c r="A1081" s="114"/>
      <c r="B1081" s="1214" t="s">
        <v>7</v>
      </c>
      <c r="C1081" s="1215"/>
      <c r="D1081" s="1220" t="s">
        <v>70</v>
      </c>
      <c r="E1081" s="1221"/>
      <c r="F1081" s="1221"/>
      <c r="G1081" s="1222"/>
      <c r="H1081" s="1223" t="s">
        <v>4</v>
      </c>
      <c r="I1081" s="1224"/>
      <c r="J1081" s="796" t="s">
        <v>71</v>
      </c>
    </row>
    <row r="1082" spans="1:10" ht="56.25" customHeight="1" thickBot="1">
      <c r="A1082" s="114"/>
      <c r="B1082" s="1225" t="str">
        <f>'PSQ-INFRA'!B238</f>
        <v>04.02.220.01</v>
      </c>
      <c r="C1082" s="1226"/>
      <c r="D1082" s="1218" t="str">
        <f>B1080</f>
        <v>Forma plana comum p/ fundações</v>
      </c>
      <c r="E1082" s="1219"/>
      <c r="F1082" s="1219"/>
      <c r="G1082" s="1195"/>
      <c r="H1082" s="1184" t="str">
        <f>'PSQ-INFRA'!D238</f>
        <v>m²</v>
      </c>
      <c r="I1082" s="1185"/>
      <c r="J1082" s="542">
        <f>J1093</f>
        <v>136.96750000000003</v>
      </c>
    </row>
    <row r="1083" spans="1:10" ht="15">
      <c r="A1083" s="114"/>
      <c r="B1083" s="1186" t="s">
        <v>72</v>
      </c>
      <c r="C1083" s="1186"/>
      <c r="D1083" s="1186"/>
      <c r="E1083" s="1186"/>
      <c r="F1083" s="1186"/>
      <c r="G1083" s="1186"/>
      <c r="H1083" s="1186"/>
      <c r="I1083" s="1186"/>
      <c r="J1083" s="543"/>
    </row>
    <row r="1084" spans="1:10" ht="15">
      <c r="A1084" s="114"/>
      <c r="B1084" s="162" t="s">
        <v>80</v>
      </c>
      <c r="C1084" s="168"/>
      <c r="D1084" s="168"/>
      <c r="E1084" s="168"/>
      <c r="F1084" s="168"/>
      <c r="G1084" s="168"/>
      <c r="H1084" s="162" t="str">
        <f>'Pág 2'!$C$24</f>
        <v>FL.01/302.92/04538 - Especificação Técnica</v>
      </c>
      <c r="I1084" s="168"/>
      <c r="J1084" s="168"/>
    </row>
    <row r="1085" spans="1:10" ht="15">
      <c r="A1085" s="114"/>
      <c r="B1085" s="163" t="s">
        <v>79</v>
      </c>
      <c r="C1085" s="164"/>
      <c r="D1085" s="164"/>
      <c r="E1085" s="163" t="str">
        <f>'Pág 2'!$C$17</f>
        <v xml:space="preserve">FL.01/302.76/04537 - Memorial de Cálculo e Dimensionamento </v>
      </c>
      <c r="F1085" s="114"/>
      <c r="G1085" s="164"/>
      <c r="H1085" s="164"/>
      <c r="I1085" s="164"/>
      <c r="J1085" s="164"/>
    </row>
    <row r="1086" spans="1:10" ht="15">
      <c r="A1086" s="114"/>
      <c r="B1086" s="163" t="s">
        <v>73</v>
      </c>
      <c r="C1086" s="153"/>
      <c r="D1086" s="153"/>
      <c r="E1086" s="163"/>
      <c r="F1086" s="114"/>
      <c r="G1086" s="164"/>
      <c r="H1086" s="164"/>
      <c r="I1086" s="164"/>
      <c r="J1086" s="544"/>
    </row>
    <row r="1087" spans="1:10" thickBot="1">
      <c r="A1087" s="114"/>
      <c r="B1087" s="165"/>
      <c r="C1087" s="165"/>
      <c r="D1087" s="165"/>
      <c r="E1087" s="153"/>
      <c r="F1087" s="153"/>
      <c r="G1087" s="153"/>
      <c r="H1087" s="153"/>
      <c r="I1087" s="153"/>
      <c r="J1087" s="545"/>
    </row>
    <row r="1088" spans="1:10" ht="15">
      <c r="A1088" s="114"/>
      <c r="B1088" s="1187" t="s">
        <v>74</v>
      </c>
      <c r="C1088" s="1187"/>
      <c r="D1088" s="1187"/>
      <c r="E1088" s="1187"/>
      <c r="F1088" s="1187"/>
      <c r="G1088" s="1187"/>
      <c r="H1088" s="1188"/>
      <c r="I1088" s="1189"/>
      <c r="J1088" s="546" t="s">
        <v>75</v>
      </c>
    </row>
    <row r="1089" spans="1:10" ht="15">
      <c r="A1089" s="114"/>
      <c r="B1089" s="1181" t="str">
        <f>TIT.801</f>
        <v>FL.11/304.13/05778 - EPAR - EDIFÍCIO DE OPERAÇÕES</v>
      </c>
      <c r="C1089" s="1181"/>
      <c r="D1089" s="1181"/>
      <c r="E1089" s="1181"/>
      <c r="F1089" s="1181"/>
      <c r="G1089" s="1181"/>
      <c r="H1089" s="1182"/>
      <c r="I1089" s="1183"/>
      <c r="J1089" s="553">
        <f>F.801</f>
        <v>55.977500000000006</v>
      </c>
    </row>
    <row r="1090" spans="1:10" ht="15">
      <c r="A1090" s="114"/>
      <c r="B1090" s="1181" t="str">
        <f>TIT.802</f>
        <v>FL.11/302.13/05806 - EPAR - TRATAMENTO PRELIMINAR E TANQUES DE AERAÇÃO</v>
      </c>
      <c r="C1090" s="1181"/>
      <c r="D1090" s="1181"/>
      <c r="E1090" s="1181"/>
      <c r="F1090" s="1181"/>
      <c r="G1090" s="1181"/>
      <c r="H1090" s="1182"/>
      <c r="I1090" s="1183"/>
      <c r="J1090" s="553">
        <f>F.802</f>
        <v>46.930000000000007</v>
      </c>
    </row>
    <row r="1091" spans="1:10" ht="15">
      <c r="A1091" s="114"/>
      <c r="B1091" s="1181" t="str">
        <f>TIT.804</f>
        <v>FL.11/302.13/05783 - EPAR - ABRIGO DOS SOPRADORES</v>
      </c>
      <c r="C1091" s="1181"/>
      <c r="D1091" s="1181"/>
      <c r="E1091" s="1181"/>
      <c r="F1091" s="1181"/>
      <c r="G1091" s="1181"/>
      <c r="H1091" s="1182"/>
      <c r="I1091" s="1183"/>
      <c r="J1091" s="553">
        <f>F.804</f>
        <v>34.06</v>
      </c>
    </row>
    <row r="1092" spans="1:10" ht="15" customHeight="1">
      <c r="A1092" s="114"/>
      <c r="B1092" s="1181"/>
      <c r="C1092" s="1181"/>
      <c r="D1092" s="1181"/>
      <c r="E1092" s="1181"/>
      <c r="F1092" s="1181"/>
      <c r="G1092" s="1181"/>
      <c r="H1092" s="1182"/>
      <c r="I1092" s="1183"/>
      <c r="J1092" s="548"/>
    </row>
    <row r="1093" spans="1:10" ht="15" customHeight="1" thickBot="1">
      <c r="A1093" s="114"/>
      <c r="B1093" s="1193" t="s">
        <v>76</v>
      </c>
      <c r="C1093" s="1193"/>
      <c r="D1093" s="1193"/>
      <c r="E1093" s="1193"/>
      <c r="F1093" s="1193"/>
      <c r="G1093" s="1193"/>
      <c r="H1093" s="1194"/>
      <c r="I1093" s="1195"/>
      <c r="J1093" s="549">
        <f>SUM(J1089:J1091)</f>
        <v>136.96750000000003</v>
      </c>
    </row>
    <row r="1094" spans="1:10" thickBot="1">
      <c r="A1094" s="114"/>
      <c r="B1094" s="1196" t="s">
        <v>77</v>
      </c>
      <c r="C1094" s="1196"/>
      <c r="D1094" s="1196"/>
      <c r="E1094" s="1196"/>
      <c r="F1094" s="1196"/>
      <c r="G1094" s="1196"/>
      <c r="H1094" s="1196"/>
      <c r="I1094" s="1196"/>
      <c r="J1094" s="550"/>
    </row>
    <row r="1095" spans="1:10" ht="15">
      <c r="A1095" s="114"/>
      <c r="B1095" s="551" t="s">
        <v>2011</v>
      </c>
      <c r="C1095" s="154"/>
      <c r="D1095" s="154"/>
      <c r="E1095" s="154"/>
      <c r="F1095" s="154"/>
      <c r="G1095" s="154"/>
      <c r="H1095" s="154"/>
      <c r="I1095" s="154"/>
      <c r="J1095" s="545"/>
    </row>
    <row r="1096" spans="1:10" thickBot="1">
      <c r="A1096" s="114"/>
      <c r="B1096" s="162"/>
      <c r="C1096" s="154"/>
      <c r="D1096" s="154"/>
      <c r="E1096" s="154"/>
      <c r="F1096" s="154"/>
      <c r="G1096" s="154"/>
      <c r="H1096" s="154"/>
      <c r="I1096" s="154"/>
      <c r="J1096" s="545"/>
    </row>
    <row r="1097" spans="1:10" thickTop="1">
      <c r="A1097" s="114"/>
      <c r="B1097" s="1211" t="s">
        <v>57</v>
      </c>
      <c r="C1097" s="1211"/>
      <c r="D1097" s="1211"/>
      <c r="E1097" s="1211"/>
      <c r="F1097" s="1211"/>
      <c r="G1097" s="1211"/>
      <c r="H1097" s="1211"/>
      <c r="I1097" s="1211"/>
      <c r="J1097" s="1212"/>
    </row>
    <row r="1098" spans="1:10" ht="44.25" customHeight="1">
      <c r="A1098" s="114"/>
      <c r="B1098" s="1213" t="str">
        <f>'PSQ-INFRA'!C242</f>
        <v>Fornecimento, Dobra e Montagem de Aço CA-50 (para estacas hélice contínua)</v>
      </c>
      <c r="C1098" s="1213"/>
      <c r="D1098" s="1213"/>
      <c r="E1098" s="1213"/>
      <c r="F1098" s="1213"/>
      <c r="G1098" s="1213"/>
      <c r="H1098" s="1213"/>
      <c r="I1098" s="1213"/>
      <c r="J1098" s="541"/>
    </row>
    <row r="1099" spans="1:10" ht="15">
      <c r="A1099" s="114"/>
      <c r="B1099" s="1214" t="s">
        <v>7</v>
      </c>
      <c r="C1099" s="1215"/>
      <c r="D1099" s="1220" t="s">
        <v>70</v>
      </c>
      <c r="E1099" s="1221"/>
      <c r="F1099" s="1221"/>
      <c r="G1099" s="1222"/>
      <c r="H1099" s="1223" t="s">
        <v>4</v>
      </c>
      <c r="I1099" s="1224"/>
      <c r="J1099" s="794" t="s">
        <v>71</v>
      </c>
    </row>
    <row r="1100" spans="1:10" ht="56.25" customHeight="1" thickBot="1">
      <c r="A1100" s="114"/>
      <c r="B1100" s="1225" t="str">
        <f>'PSQ-INFRA'!B242</f>
        <v>04.02.230.01</v>
      </c>
      <c r="C1100" s="1226"/>
      <c r="D1100" s="1218" t="str">
        <f>B1098</f>
        <v>Fornecimento, Dobra e Montagem de Aço CA-50 (para estacas hélice contínua)</v>
      </c>
      <c r="E1100" s="1219"/>
      <c r="F1100" s="1219"/>
      <c r="G1100" s="1195"/>
      <c r="H1100" s="1184" t="str">
        <f>'PSQ-INFRA'!D242</f>
        <v>kg</v>
      </c>
      <c r="I1100" s="1185"/>
      <c r="J1100" s="542">
        <f>J1112</f>
        <v>6923</v>
      </c>
    </row>
    <row r="1101" spans="1:10" ht="15">
      <c r="A1101" s="114"/>
      <c r="B1101" s="1186" t="s">
        <v>72</v>
      </c>
      <c r="C1101" s="1186"/>
      <c r="D1101" s="1186"/>
      <c r="E1101" s="1186"/>
      <c r="F1101" s="1186"/>
      <c r="G1101" s="1186"/>
      <c r="H1101" s="1186"/>
      <c r="I1101" s="1186"/>
      <c r="J1101" s="543"/>
    </row>
    <row r="1102" spans="1:10" ht="15">
      <c r="A1102" s="114"/>
      <c r="B1102" s="162" t="s">
        <v>80</v>
      </c>
      <c r="C1102" s="168"/>
      <c r="D1102" s="168"/>
      <c r="E1102" s="168"/>
      <c r="F1102" s="168"/>
      <c r="G1102" s="168"/>
      <c r="H1102" s="162" t="str">
        <f>'Pág 2'!$C$24</f>
        <v>FL.01/302.92/04538 - Especificação Técnica</v>
      </c>
      <c r="I1102" s="168"/>
      <c r="J1102" s="168"/>
    </row>
    <row r="1103" spans="1:10" ht="15">
      <c r="A1103" s="114"/>
      <c r="B1103" s="163" t="s">
        <v>79</v>
      </c>
      <c r="C1103" s="164"/>
      <c r="D1103" s="164"/>
      <c r="E1103" s="163" t="str">
        <f>'Pág 2'!$C$17</f>
        <v xml:space="preserve">FL.01/302.76/04537 - Memorial de Cálculo e Dimensionamento </v>
      </c>
      <c r="F1103" s="114"/>
      <c r="G1103" s="164"/>
      <c r="H1103" s="164"/>
      <c r="I1103" s="164"/>
      <c r="J1103" s="164"/>
    </row>
    <row r="1104" spans="1:10" ht="15">
      <c r="A1104" s="114"/>
      <c r="B1104" s="163" t="s">
        <v>73</v>
      </c>
      <c r="C1104" s="153"/>
      <c r="D1104" s="153"/>
      <c r="E1104" s="163"/>
      <c r="F1104" s="114"/>
      <c r="G1104" s="164"/>
      <c r="H1104" s="164"/>
      <c r="I1104" s="164"/>
      <c r="J1104" s="544"/>
    </row>
    <row r="1105" spans="1:10" thickBot="1">
      <c r="A1105" s="114"/>
      <c r="B1105" s="165"/>
      <c r="C1105" s="165"/>
      <c r="D1105" s="165"/>
      <c r="E1105" s="153"/>
      <c r="F1105" s="153"/>
      <c r="G1105" s="153"/>
      <c r="H1105" s="153"/>
      <c r="I1105" s="153"/>
      <c r="J1105" s="545"/>
    </row>
    <row r="1106" spans="1:10" ht="15">
      <c r="A1106" s="114"/>
      <c r="B1106" s="1187" t="s">
        <v>74</v>
      </c>
      <c r="C1106" s="1187"/>
      <c r="D1106" s="1187"/>
      <c r="E1106" s="1187"/>
      <c r="F1106" s="1187"/>
      <c r="G1106" s="1187"/>
      <c r="H1106" s="1188"/>
      <c r="I1106" s="1189"/>
      <c r="J1106" s="546" t="s">
        <v>75</v>
      </c>
    </row>
    <row r="1107" spans="1:10" ht="15">
      <c r="A1107" s="114"/>
      <c r="B1107" s="1181" t="str">
        <f>TIT.801</f>
        <v>FL.11/304.13/05778 - EPAR - EDIFÍCIO DE OPERAÇÕES</v>
      </c>
      <c r="C1107" s="1181"/>
      <c r="D1107" s="1181"/>
      <c r="E1107" s="1181"/>
      <c r="F1107" s="1181"/>
      <c r="G1107" s="1181"/>
      <c r="H1107" s="1182"/>
      <c r="I1107" s="1183"/>
      <c r="J1107" s="547">
        <f>A50.801</f>
        <v>416</v>
      </c>
    </row>
    <row r="1108" spans="1:10" ht="15">
      <c r="A1108" s="114"/>
      <c r="B1108" s="1181" t="str">
        <f>TIT.802</f>
        <v>FL.11/302.13/05806 - EPAR - TRATAMENTO PRELIMINAR E TANQUES DE AERAÇÃO</v>
      </c>
      <c r="C1108" s="1181"/>
      <c r="D1108" s="1181"/>
      <c r="E1108" s="1181"/>
      <c r="F1108" s="1181"/>
      <c r="G1108" s="1181"/>
      <c r="H1108" s="1182"/>
      <c r="I1108" s="1183"/>
      <c r="J1108" s="547">
        <f>A50.802</f>
        <v>3946</v>
      </c>
    </row>
    <row r="1109" spans="1:10" ht="15" customHeight="1">
      <c r="A1109" s="114"/>
      <c r="B1109" s="1181" t="str">
        <f>TIT.803</f>
        <v>FL.11/304.16/05796 - EPAR - RESERVATÓRIOS DE ÁGUA DE REUSO E ÁGUAS PLUVIAIS</v>
      </c>
      <c r="C1109" s="1181"/>
      <c r="D1109" s="1181"/>
      <c r="E1109" s="1181"/>
      <c r="F1109" s="1181"/>
      <c r="G1109" s="1181"/>
      <c r="H1109" s="1181"/>
      <c r="I1109" s="1209"/>
      <c r="J1109" s="547">
        <f>A50.803</f>
        <v>2174</v>
      </c>
    </row>
    <row r="1110" spans="1:10" ht="15">
      <c r="A1110" s="114"/>
      <c r="B1110" s="1181" t="str">
        <f>TIT.804</f>
        <v>FL.11/302.13/05783 - EPAR - ABRIGO DOS SOPRADORES</v>
      </c>
      <c r="C1110" s="1181"/>
      <c r="D1110" s="1181"/>
      <c r="E1110" s="1181"/>
      <c r="F1110" s="1181"/>
      <c r="G1110" s="1181"/>
      <c r="H1110" s="1182"/>
      <c r="I1110" s="1183"/>
      <c r="J1110" s="547">
        <f>A50.804</f>
        <v>387</v>
      </c>
    </row>
    <row r="1111" spans="1:10" ht="15" customHeight="1">
      <c r="A1111" s="114"/>
      <c r="B1111" s="1181"/>
      <c r="C1111" s="1181"/>
      <c r="D1111" s="1181"/>
      <c r="E1111" s="1181"/>
      <c r="F1111" s="1181"/>
      <c r="G1111" s="1181"/>
      <c r="H1111" s="1182"/>
      <c r="I1111" s="1183"/>
      <c r="J1111" s="548"/>
    </row>
    <row r="1112" spans="1:10" ht="15" customHeight="1" thickBot="1">
      <c r="A1112" s="114"/>
      <c r="B1112" s="1193" t="s">
        <v>76</v>
      </c>
      <c r="C1112" s="1193"/>
      <c r="D1112" s="1193"/>
      <c r="E1112" s="1193"/>
      <c r="F1112" s="1193"/>
      <c r="G1112" s="1193"/>
      <c r="H1112" s="1194"/>
      <c r="I1112" s="1195"/>
      <c r="J1112" s="549">
        <f>SUM(J1107:J1110)</f>
        <v>6923</v>
      </c>
    </row>
    <row r="1113" spans="1:10" thickBot="1">
      <c r="A1113" s="114"/>
      <c r="B1113" s="1196" t="s">
        <v>77</v>
      </c>
      <c r="C1113" s="1196"/>
      <c r="D1113" s="1196"/>
      <c r="E1113" s="1196"/>
      <c r="F1113" s="1196"/>
      <c r="G1113" s="1196"/>
      <c r="H1113" s="1196"/>
      <c r="I1113" s="1196"/>
      <c r="J1113" s="550"/>
    </row>
    <row r="1114" spans="1:10" ht="15">
      <c r="A1114" s="114"/>
      <c r="B1114" s="551" t="s">
        <v>2011</v>
      </c>
      <c r="C1114" s="154"/>
      <c r="D1114" s="154"/>
      <c r="E1114" s="154"/>
      <c r="F1114" s="154"/>
      <c r="G1114" s="154"/>
      <c r="H1114" s="154"/>
      <c r="I1114" s="154"/>
      <c r="J1114" s="545"/>
    </row>
    <row r="1115" spans="1:10" thickBot="1">
      <c r="A1115" s="114"/>
      <c r="B1115" s="155"/>
      <c r="C1115" s="155"/>
      <c r="D1115" s="155"/>
      <c r="E1115" s="155"/>
      <c r="F1115" s="155"/>
      <c r="G1115" s="155"/>
      <c r="H1115" s="155"/>
      <c r="I1115" s="155"/>
      <c r="J1115" s="552"/>
    </row>
    <row r="1116" spans="1:10" thickTop="1">
      <c r="A1116" s="114"/>
      <c r="B1116" s="1211" t="s">
        <v>57</v>
      </c>
      <c r="C1116" s="1211"/>
      <c r="D1116" s="1211"/>
      <c r="E1116" s="1211"/>
      <c r="F1116" s="1211"/>
      <c r="G1116" s="1211"/>
      <c r="H1116" s="1211"/>
      <c r="I1116" s="1211"/>
      <c r="J1116" s="1212"/>
    </row>
    <row r="1117" spans="1:10" ht="44.25" customHeight="1">
      <c r="A1117" s="114"/>
      <c r="B1117" s="1213" t="str">
        <f>'PSQ-INFRA'!C246</f>
        <v>Fornecimento e Aplicação de Concreto (fck=30MPa)</v>
      </c>
      <c r="C1117" s="1213"/>
      <c r="D1117" s="1213"/>
      <c r="E1117" s="1213"/>
      <c r="F1117" s="1213"/>
      <c r="G1117" s="1213"/>
      <c r="H1117" s="1213"/>
      <c r="I1117" s="1213"/>
      <c r="J1117" s="541"/>
    </row>
    <row r="1118" spans="1:10" ht="15">
      <c r="A1118" s="114"/>
      <c r="B1118" s="1214" t="s">
        <v>7</v>
      </c>
      <c r="C1118" s="1215"/>
      <c r="D1118" s="1220" t="s">
        <v>70</v>
      </c>
      <c r="E1118" s="1221"/>
      <c r="F1118" s="1221"/>
      <c r="G1118" s="1222"/>
      <c r="H1118" s="1223" t="s">
        <v>4</v>
      </c>
      <c r="I1118" s="1224"/>
      <c r="J1118" s="794" t="s">
        <v>71</v>
      </c>
    </row>
    <row r="1119" spans="1:10" ht="56.25" customHeight="1" thickBot="1">
      <c r="A1119" s="114"/>
      <c r="B1119" s="1225" t="str">
        <f>'PSQ-INFRA'!B246</f>
        <v>04.02.240.01</v>
      </c>
      <c r="C1119" s="1226"/>
      <c r="D1119" s="1218" t="str">
        <f>B1117</f>
        <v>Fornecimento e Aplicação de Concreto (fck=30MPa)</v>
      </c>
      <c r="E1119" s="1219"/>
      <c r="F1119" s="1219"/>
      <c r="G1119" s="1195"/>
      <c r="H1119" s="1184" t="str">
        <f>'PSQ-INFRA'!D246</f>
        <v>m³</v>
      </c>
      <c r="I1119" s="1185"/>
      <c r="J1119" s="542">
        <f>J1130</f>
        <v>17.00675</v>
      </c>
    </row>
    <row r="1120" spans="1:10" ht="15">
      <c r="A1120" s="114"/>
      <c r="B1120" s="1186" t="s">
        <v>72</v>
      </c>
      <c r="C1120" s="1186"/>
      <c r="D1120" s="1186"/>
      <c r="E1120" s="1186"/>
      <c r="F1120" s="1186"/>
      <c r="G1120" s="1186"/>
      <c r="H1120" s="1186"/>
      <c r="I1120" s="1186"/>
      <c r="J1120" s="543"/>
    </row>
    <row r="1121" spans="1:56" ht="15">
      <c r="A1121" s="114"/>
      <c r="B1121" s="162" t="s">
        <v>80</v>
      </c>
      <c r="C1121" s="168"/>
      <c r="D1121" s="168"/>
      <c r="E1121" s="168"/>
      <c r="F1121" s="168"/>
      <c r="G1121" s="168"/>
      <c r="H1121" s="162" t="str">
        <f>'Pág 2'!$C$24</f>
        <v>FL.01/302.92/04538 - Especificação Técnica</v>
      </c>
      <c r="I1121" s="168"/>
      <c r="J1121" s="168"/>
    </row>
    <row r="1122" spans="1:56" ht="15">
      <c r="A1122" s="114"/>
      <c r="B1122" s="163" t="s">
        <v>79</v>
      </c>
      <c r="C1122" s="164"/>
      <c r="D1122" s="164"/>
      <c r="E1122" s="163" t="str">
        <f>'Pág 2'!$C$17</f>
        <v xml:space="preserve">FL.01/302.76/04537 - Memorial de Cálculo e Dimensionamento </v>
      </c>
      <c r="F1122" s="114"/>
      <c r="G1122" s="164"/>
      <c r="H1122" s="164"/>
      <c r="I1122" s="164"/>
      <c r="J1122" s="164"/>
    </row>
    <row r="1123" spans="1:56" ht="15">
      <c r="A1123" s="114"/>
      <c r="B1123" s="163" t="s">
        <v>73</v>
      </c>
      <c r="C1123" s="153"/>
      <c r="D1123" s="153"/>
      <c r="E1123" s="163"/>
      <c r="F1123" s="114"/>
      <c r="G1123" s="164"/>
      <c r="H1123" s="164"/>
      <c r="I1123" s="164"/>
      <c r="J1123" s="544"/>
    </row>
    <row r="1124" spans="1:56" thickBot="1">
      <c r="A1124" s="114"/>
      <c r="B1124" s="165"/>
      <c r="C1124" s="165"/>
      <c r="D1124" s="165"/>
      <c r="E1124" s="153"/>
      <c r="F1124" s="153"/>
      <c r="G1124" s="153"/>
      <c r="H1124" s="153"/>
      <c r="I1124" s="153"/>
      <c r="J1124" s="545"/>
    </row>
    <row r="1125" spans="1:56" ht="15">
      <c r="A1125" s="114"/>
      <c r="B1125" s="1187" t="s">
        <v>74</v>
      </c>
      <c r="C1125" s="1187"/>
      <c r="D1125" s="1187"/>
      <c r="E1125" s="1187"/>
      <c r="F1125" s="1187"/>
      <c r="G1125" s="1187"/>
      <c r="H1125" s="1188"/>
      <c r="I1125" s="1189"/>
      <c r="J1125" s="546" t="s">
        <v>75</v>
      </c>
    </row>
    <row r="1126" spans="1:56" ht="15">
      <c r="A1126" s="114"/>
      <c r="B1126" s="1181" t="str">
        <f>TIT.801</f>
        <v>FL.11/304.13/05778 - EPAR - EDIFÍCIO DE OPERAÇÕES</v>
      </c>
      <c r="C1126" s="1181"/>
      <c r="D1126" s="1181"/>
      <c r="E1126" s="1181"/>
      <c r="F1126" s="1181"/>
      <c r="G1126" s="1181"/>
      <c r="H1126" s="1182"/>
      <c r="I1126" s="1183"/>
      <c r="J1126" s="547">
        <f>C.801</f>
        <v>5.9177499999999998</v>
      </c>
    </row>
    <row r="1127" spans="1:56" ht="15">
      <c r="A1127" s="114"/>
      <c r="B1127" s="1181" t="str">
        <f>TIT.802</f>
        <v>FL.11/302.13/05806 - EPAR - TRATAMENTO PRELIMINAR E TANQUES DE AERAÇÃO</v>
      </c>
      <c r="C1127" s="1181"/>
      <c r="D1127" s="1181"/>
      <c r="E1127" s="1181"/>
      <c r="F1127" s="1181"/>
      <c r="G1127" s="1181"/>
      <c r="H1127" s="1182"/>
      <c r="I1127" s="1183"/>
      <c r="J1127" s="547">
        <f>C.802</f>
        <v>7.2149999999999999</v>
      </c>
    </row>
    <row r="1128" spans="1:56" ht="15">
      <c r="A1128" s="114"/>
      <c r="B1128" s="1181" t="str">
        <f>TIT.804</f>
        <v>FL.11/302.13/05783 - EPAR - ABRIGO DOS SOPRADORES</v>
      </c>
      <c r="C1128" s="1181"/>
      <c r="D1128" s="1181"/>
      <c r="E1128" s="1181"/>
      <c r="F1128" s="1181"/>
      <c r="G1128" s="1181"/>
      <c r="H1128" s="1182"/>
      <c r="I1128" s="1183"/>
      <c r="J1128" s="547">
        <f>C.804</f>
        <v>3.8740000000000001</v>
      </c>
    </row>
    <row r="1129" spans="1:56" ht="15" customHeight="1">
      <c r="A1129" s="114"/>
      <c r="B1129" s="1181"/>
      <c r="C1129" s="1181"/>
      <c r="D1129" s="1181"/>
      <c r="E1129" s="1181"/>
      <c r="F1129" s="1181"/>
      <c r="G1129" s="1181"/>
      <c r="H1129" s="1182"/>
      <c r="I1129" s="1183"/>
      <c r="J1129" s="548"/>
    </row>
    <row r="1130" spans="1:56" ht="15" customHeight="1" thickBot="1">
      <c r="A1130" s="114"/>
      <c r="B1130" s="1193" t="s">
        <v>76</v>
      </c>
      <c r="C1130" s="1193"/>
      <c r="D1130" s="1193"/>
      <c r="E1130" s="1193"/>
      <c r="F1130" s="1193"/>
      <c r="G1130" s="1193"/>
      <c r="H1130" s="1194"/>
      <c r="I1130" s="1195"/>
      <c r="J1130" s="549">
        <f>SUM(J1126:J1128)</f>
        <v>17.00675</v>
      </c>
    </row>
    <row r="1131" spans="1:56" thickBot="1">
      <c r="A1131" s="114"/>
      <c r="B1131" s="1196" t="s">
        <v>77</v>
      </c>
      <c r="C1131" s="1196"/>
      <c r="D1131" s="1196"/>
      <c r="E1131" s="1196"/>
      <c r="F1131" s="1196"/>
      <c r="G1131" s="1196"/>
      <c r="H1131" s="1196"/>
      <c r="I1131" s="1196"/>
      <c r="J1131" s="550"/>
    </row>
    <row r="1132" spans="1:56" ht="15">
      <c r="A1132" s="114"/>
      <c r="B1132" s="551" t="s">
        <v>2011</v>
      </c>
      <c r="C1132" s="154"/>
      <c r="D1132" s="154"/>
      <c r="E1132" s="154"/>
      <c r="F1132" s="154"/>
      <c r="G1132" s="154"/>
      <c r="H1132" s="154"/>
      <c r="I1132" s="154"/>
      <c r="J1132" s="545"/>
    </row>
    <row r="1133" spans="1:56" thickBot="1">
      <c r="A1133" s="114"/>
      <c r="B1133" s="162"/>
      <c r="C1133" s="154"/>
      <c r="D1133" s="154"/>
      <c r="E1133" s="154"/>
      <c r="F1133" s="154"/>
      <c r="G1133" s="154"/>
      <c r="H1133" s="154"/>
      <c r="I1133" s="154"/>
      <c r="J1133" s="545"/>
    </row>
    <row r="1134" spans="1:56" ht="24.75" thickTop="1" thickBot="1">
      <c r="A1134" s="114"/>
      <c r="B1134" s="563" t="s">
        <v>81</v>
      </c>
      <c r="C1134" s="381"/>
      <c r="D1134" s="381"/>
      <c r="E1134" s="381"/>
      <c r="F1134" s="381"/>
      <c r="G1134" s="381"/>
      <c r="H1134" s="381"/>
      <c r="I1134" s="381"/>
      <c r="J1134" s="381"/>
    </row>
    <row r="1135" spans="1:56" thickTop="1">
      <c r="A1135" s="114"/>
      <c r="B1135" s="564"/>
      <c r="C1135" s="180"/>
      <c r="D1135" s="180"/>
      <c r="E1135" s="180"/>
      <c r="F1135" s="180"/>
      <c r="G1135" s="180"/>
      <c r="H1135" s="234"/>
      <c r="I1135" s="234"/>
      <c r="J1135" s="234"/>
    </row>
    <row r="1136" spans="1:56" ht="15">
      <c r="A1136" s="114"/>
      <c r="B1136" s="760" t="s">
        <v>2270</v>
      </c>
      <c r="C1136" s="382"/>
      <c r="D1136" s="382"/>
      <c r="E1136" s="382"/>
      <c r="F1136" s="382"/>
      <c r="G1136" s="382"/>
      <c r="H1136" s="383"/>
      <c r="I1136" s="383"/>
      <c r="J1136" s="351"/>
      <c r="AW1136" s="117"/>
      <c r="AX1136" s="117"/>
      <c r="AY1136" s="117"/>
      <c r="AZ1136" s="117"/>
      <c r="BA1136" s="117"/>
      <c r="BB1136" s="117"/>
      <c r="BC1136" s="117"/>
      <c r="BD1136" s="117"/>
    </row>
    <row r="1137" spans="1:56" ht="15">
      <c r="A1137" s="114"/>
      <c r="B1137" s="288"/>
      <c r="C1137" s="230"/>
      <c r="D1137" s="230"/>
      <c r="E1137" s="384"/>
      <c r="F1137" s="196"/>
      <c r="G1137" s="196"/>
      <c r="H1137" s="196"/>
      <c r="I1137" s="196"/>
      <c r="J1137" s="114"/>
      <c r="AW1137" s="117"/>
      <c r="AX1137" s="117"/>
      <c r="AY1137" s="117"/>
      <c r="AZ1137" s="117"/>
      <c r="BA1137" s="117"/>
      <c r="BB1137" s="117"/>
      <c r="BC1137" s="117"/>
      <c r="BD1137" s="117"/>
    </row>
    <row r="1138" spans="1:56" ht="15">
      <c r="A1138" s="114"/>
      <c r="B1138" s="288" t="s">
        <v>1786</v>
      </c>
      <c r="C1138" s="230"/>
      <c r="D1138" s="230"/>
      <c r="E1138" s="384"/>
      <c r="F1138" s="196"/>
      <c r="G1138" s="196"/>
      <c r="H1138" s="196"/>
      <c r="I1138" s="196"/>
      <c r="J1138" s="114"/>
      <c r="AW1138" s="117"/>
      <c r="AX1138" s="117"/>
      <c r="AY1138" s="117"/>
      <c r="AZ1138" s="117"/>
      <c r="BA1138" s="117"/>
      <c r="BB1138" s="117"/>
      <c r="BC1138" s="117"/>
      <c r="BD1138" s="117"/>
    </row>
    <row r="1139" spans="1:56" ht="15">
      <c r="A1139" s="114"/>
      <c r="B1139" s="288" t="s">
        <v>1787</v>
      </c>
      <c r="C1139" s="230"/>
      <c r="D1139" s="230"/>
      <c r="E1139" s="384"/>
      <c r="F1139" s="196"/>
      <c r="G1139" s="196"/>
      <c r="H1139" s="196"/>
      <c r="I1139" s="196"/>
      <c r="J1139" s="114"/>
      <c r="AW1139" s="117"/>
      <c r="AX1139" s="117"/>
      <c r="AY1139" s="117"/>
      <c r="AZ1139" s="117"/>
      <c r="BA1139" s="117"/>
      <c r="BB1139" s="117"/>
      <c r="BC1139" s="117"/>
      <c r="BD1139" s="117"/>
    </row>
    <row r="1140" spans="1:56" ht="15">
      <c r="A1140" s="114"/>
      <c r="B1140" s="288"/>
      <c r="C1140" s="230"/>
      <c r="D1140" s="230"/>
      <c r="E1140" s="384"/>
      <c r="F1140" s="196"/>
      <c r="G1140" s="196"/>
      <c r="H1140" s="196"/>
      <c r="I1140" s="196"/>
      <c r="J1140" s="114"/>
      <c r="AW1140" s="117"/>
      <c r="AX1140" s="117"/>
      <c r="AY1140" s="117"/>
      <c r="AZ1140" s="117"/>
      <c r="BA1140" s="117"/>
      <c r="BB1140" s="117"/>
      <c r="BC1140" s="117"/>
      <c r="BD1140" s="117"/>
    </row>
    <row r="1141" spans="1:56">
      <c r="A1141" s="114"/>
      <c r="B1141" s="385" t="s">
        <v>1109</v>
      </c>
      <c r="C1141" s="196"/>
      <c r="D1141" s="196"/>
      <c r="E1141" s="196"/>
      <c r="F1141" s="196"/>
      <c r="G1141" s="386"/>
      <c r="H1141" s="386"/>
      <c r="I1141" s="386"/>
      <c r="J1141" s="114"/>
      <c r="AW1141" s="117"/>
      <c r="AX1141" s="117"/>
      <c r="AY1141" s="117"/>
      <c r="AZ1141" s="117"/>
      <c r="BA1141" s="117"/>
      <c r="BB1141" s="117"/>
      <c r="BC1141" s="117"/>
      <c r="BD1141" s="117"/>
    </row>
    <row r="1142" spans="1:56" ht="15">
      <c r="A1142" s="114"/>
      <c r="B1142" s="196"/>
      <c r="C1142" s="196"/>
      <c r="D1142" s="196"/>
      <c r="E1142" s="196"/>
      <c r="F1142" s="196"/>
      <c r="G1142" s="387"/>
      <c r="H1142" s="386"/>
      <c r="I1142" s="386"/>
      <c r="J1142" s="114"/>
      <c r="AW1142" s="117"/>
      <c r="AX1142" s="117"/>
      <c r="AY1142" s="117"/>
      <c r="AZ1142" s="117"/>
      <c r="BA1142" s="117"/>
      <c r="BB1142" s="117"/>
      <c r="BC1142" s="117"/>
      <c r="BD1142" s="117"/>
    </row>
    <row r="1143" spans="1:56" ht="15">
      <c r="A1143" s="114"/>
      <c r="B1143" s="388" t="s">
        <v>1110</v>
      </c>
      <c r="C1143" s="389">
        <v>0.25</v>
      </c>
      <c r="D1143" s="390" t="s">
        <v>10</v>
      </c>
      <c r="E1143" s="196"/>
      <c r="F1143" s="196"/>
      <c r="G1143" s="196"/>
      <c r="H1143" s="196"/>
      <c r="I1143" s="196"/>
      <c r="J1143" s="114"/>
      <c r="AW1143" s="117"/>
      <c r="AX1143" s="117"/>
      <c r="AY1143" s="117"/>
      <c r="AZ1143" s="117"/>
      <c r="BA1143" s="117"/>
      <c r="BB1143" s="117"/>
      <c r="BC1143" s="117"/>
      <c r="BD1143" s="117"/>
    </row>
    <row r="1144" spans="1:56" ht="15">
      <c r="A1144" s="114"/>
      <c r="B1144" s="388" t="s">
        <v>1111</v>
      </c>
      <c r="C1144" s="391">
        <v>0.5</v>
      </c>
      <c r="D1144" s="390" t="s">
        <v>10</v>
      </c>
      <c r="E1144" s="196"/>
      <c r="F1144" s="196"/>
      <c r="G1144" s="196"/>
      <c r="H1144" s="196"/>
      <c r="I1144" s="196"/>
      <c r="J1144" s="114"/>
      <c r="AW1144" s="117"/>
      <c r="AX1144" s="117"/>
      <c r="AY1144" s="117"/>
      <c r="AZ1144" s="117"/>
      <c r="BA1144" s="117"/>
      <c r="BB1144" s="117"/>
      <c r="BC1144" s="117"/>
      <c r="BD1144" s="117"/>
    </row>
    <row r="1145" spans="1:56" ht="15">
      <c r="A1145" s="114"/>
      <c r="B1145" s="388" t="s">
        <v>1112</v>
      </c>
      <c r="C1145" s="389">
        <f>14.3+12.7+2*42</f>
        <v>111</v>
      </c>
      <c r="D1145" s="390" t="s">
        <v>10</v>
      </c>
      <c r="E1145" s="196"/>
      <c r="F1145" s="196"/>
      <c r="G1145" s="392"/>
      <c r="H1145" s="393"/>
      <c r="I1145" s="196"/>
      <c r="J1145" s="114"/>
      <c r="AW1145" s="117"/>
      <c r="AX1145" s="117"/>
      <c r="AY1145" s="117"/>
      <c r="AZ1145" s="117"/>
      <c r="BA1145" s="117"/>
      <c r="BB1145" s="117"/>
      <c r="BC1145" s="117"/>
      <c r="BD1145" s="117"/>
    </row>
    <row r="1146" spans="1:56" ht="15">
      <c r="A1146" s="114"/>
      <c r="B1146" s="388" t="s">
        <v>1113</v>
      </c>
      <c r="C1146" s="389">
        <v>2.4</v>
      </c>
      <c r="D1146" s="390" t="s">
        <v>10</v>
      </c>
      <c r="E1146" s="196"/>
      <c r="F1146" s="196"/>
      <c r="G1146" s="392"/>
      <c r="H1146" s="393"/>
      <c r="I1146" s="196"/>
      <c r="J1146" s="114"/>
      <c r="AW1146" s="117"/>
      <c r="AX1146" s="117"/>
      <c r="AY1146" s="117"/>
      <c r="AZ1146" s="117"/>
      <c r="BA1146" s="117"/>
      <c r="BB1146" s="117"/>
      <c r="BC1146" s="117"/>
      <c r="BD1146" s="117"/>
    </row>
    <row r="1147" spans="1:56" ht="15">
      <c r="A1147" s="114"/>
      <c r="B1147" s="388" t="s">
        <v>1114</v>
      </c>
      <c r="C1147" s="389">
        <v>0.25</v>
      </c>
      <c r="D1147" s="390" t="s">
        <v>10</v>
      </c>
      <c r="E1147" s="196"/>
      <c r="F1147" s="196"/>
      <c r="G1147" s="392"/>
      <c r="H1147" s="393"/>
      <c r="I1147" s="196"/>
      <c r="J1147" s="114"/>
      <c r="AW1147" s="117"/>
      <c r="AX1147" s="117"/>
      <c r="AY1147" s="117"/>
      <c r="AZ1147" s="117"/>
      <c r="BA1147" s="117"/>
      <c r="BB1147" s="117"/>
      <c r="BC1147" s="117"/>
      <c r="BD1147" s="117"/>
    </row>
    <row r="1148" spans="1:56" ht="15">
      <c r="A1148" s="114"/>
      <c r="B1148" s="388" t="s">
        <v>1115</v>
      </c>
      <c r="C1148" s="389">
        <v>0.25</v>
      </c>
      <c r="D1148" s="390" t="s">
        <v>10</v>
      </c>
      <c r="E1148" s="196"/>
      <c r="F1148" s="196"/>
      <c r="G1148" s="392"/>
      <c r="H1148" s="393"/>
      <c r="I1148" s="196"/>
      <c r="J1148" s="114"/>
      <c r="AW1148" s="117"/>
      <c r="AX1148" s="117"/>
      <c r="AY1148" s="117"/>
      <c r="AZ1148" s="117"/>
      <c r="BA1148" s="117"/>
      <c r="BB1148" s="117"/>
      <c r="BC1148" s="117"/>
      <c r="BD1148" s="117"/>
    </row>
    <row r="1149" spans="1:56" ht="15">
      <c r="A1149" s="114"/>
      <c r="B1149" s="388" t="s">
        <v>1116</v>
      </c>
      <c r="C1149" s="389">
        <v>0.5</v>
      </c>
      <c r="D1149" s="390" t="s">
        <v>10</v>
      </c>
      <c r="E1149" s="196"/>
      <c r="F1149" s="196"/>
      <c r="G1149" s="392"/>
      <c r="H1149" s="393"/>
      <c r="I1149" s="196"/>
      <c r="J1149" s="114"/>
      <c r="AW1149" s="117"/>
      <c r="AX1149" s="117"/>
      <c r="AY1149" s="117"/>
      <c r="AZ1149" s="117"/>
      <c r="BA1149" s="117"/>
      <c r="BB1149" s="117"/>
      <c r="BC1149" s="117"/>
      <c r="BD1149" s="117"/>
    </row>
    <row r="1150" spans="1:56" ht="15">
      <c r="A1150" s="114"/>
      <c r="B1150" s="388" t="s">
        <v>1108</v>
      </c>
      <c r="C1150" s="389">
        <v>1</v>
      </c>
      <c r="D1150" s="390" t="s">
        <v>1118</v>
      </c>
      <c r="E1150" s="196"/>
      <c r="F1150" s="196"/>
      <c r="G1150" s="392"/>
      <c r="H1150" s="393"/>
      <c r="I1150" s="196"/>
      <c r="J1150" s="114"/>
      <c r="AW1150" s="117"/>
      <c r="AX1150" s="117"/>
      <c r="AY1150" s="117"/>
      <c r="AZ1150" s="117"/>
      <c r="BA1150" s="117"/>
      <c r="BB1150" s="117"/>
      <c r="BC1150" s="117"/>
      <c r="BD1150" s="117"/>
    </row>
    <row r="1151" spans="1:56" ht="15">
      <c r="A1151" s="114"/>
      <c r="B1151" s="392"/>
      <c r="C1151" s="393"/>
      <c r="D1151" s="196"/>
      <c r="E1151" s="196"/>
      <c r="F1151" s="196"/>
      <c r="G1151" s="392"/>
      <c r="H1151" s="394"/>
      <c r="I1151" s="196"/>
      <c r="J1151" s="114"/>
      <c r="AW1151" s="117"/>
      <c r="AX1151" s="117"/>
      <c r="AY1151" s="117"/>
      <c r="AZ1151" s="117"/>
      <c r="BA1151" s="117"/>
      <c r="BB1151" s="117"/>
      <c r="BC1151" s="117"/>
      <c r="BD1151" s="117"/>
    </row>
    <row r="1152" spans="1:56" ht="15">
      <c r="A1152" s="114"/>
      <c r="B1152" s="388" t="s">
        <v>1119</v>
      </c>
      <c r="C1152" s="389">
        <v>0.6</v>
      </c>
      <c r="D1152" s="390" t="s">
        <v>10</v>
      </c>
      <c r="E1152" s="288" t="s">
        <v>1120</v>
      </c>
      <c r="F1152" s="288"/>
      <c r="G1152" s="392"/>
      <c r="H1152" s="393"/>
      <c r="I1152" s="196"/>
      <c r="J1152" s="114"/>
      <c r="AW1152" s="117"/>
      <c r="AX1152" s="117"/>
      <c r="AY1152" s="117"/>
      <c r="AZ1152" s="117"/>
      <c r="BA1152" s="117"/>
      <c r="BB1152" s="117"/>
      <c r="BC1152" s="117"/>
      <c r="BD1152" s="117"/>
    </row>
    <row r="1153" spans="1:56" ht="15">
      <c r="A1153" s="114"/>
      <c r="B1153" s="388" t="s">
        <v>1119</v>
      </c>
      <c r="C1153" s="389">
        <v>0.2</v>
      </c>
      <c r="D1153" s="390" t="s">
        <v>10</v>
      </c>
      <c r="E1153" s="288" t="s">
        <v>1121</v>
      </c>
      <c r="F1153" s="288"/>
      <c r="G1153" s="392"/>
      <c r="H1153" s="393"/>
      <c r="I1153" s="196"/>
      <c r="J1153" s="114"/>
      <c r="AW1153" s="117"/>
      <c r="AX1153" s="117"/>
      <c r="AY1153" s="117"/>
      <c r="AZ1153" s="117"/>
      <c r="BA1153" s="117"/>
      <c r="BB1153" s="117"/>
      <c r="BC1153" s="117"/>
      <c r="BD1153" s="117"/>
    </row>
    <row r="1154" spans="1:56" ht="15">
      <c r="A1154" s="114"/>
      <c r="B1154" s="196"/>
      <c r="C1154" s="196"/>
      <c r="D1154" s="196"/>
      <c r="E1154" s="196"/>
      <c r="F1154" s="196"/>
      <c r="G1154" s="230"/>
      <c r="H1154" s="395"/>
      <c r="I1154" s="196"/>
      <c r="J1154" s="114"/>
      <c r="AW1154" s="117"/>
      <c r="AX1154" s="117"/>
      <c r="AY1154" s="117"/>
      <c r="AZ1154" s="117"/>
      <c r="BA1154" s="117"/>
      <c r="BB1154" s="117"/>
      <c r="BC1154" s="117"/>
      <c r="BD1154" s="117"/>
    </row>
    <row r="1155" spans="1:56" ht="15">
      <c r="A1155" s="114"/>
      <c r="B1155" s="303" t="s">
        <v>1122</v>
      </c>
      <c r="C1155" s="362"/>
      <c r="D1155" s="362"/>
      <c r="E1155" s="196"/>
      <c r="F1155" s="196"/>
      <c r="G1155" s="230"/>
      <c r="H1155" s="395"/>
      <c r="I1155" s="196"/>
      <c r="J1155" s="114"/>
      <c r="AW1155" s="117"/>
      <c r="AX1155" s="117"/>
      <c r="AY1155" s="117"/>
      <c r="AZ1155" s="117"/>
      <c r="BA1155" s="117"/>
      <c r="BB1155" s="117"/>
      <c r="BC1155" s="117"/>
      <c r="BD1155" s="117"/>
    </row>
    <row r="1156" spans="1:56" ht="18">
      <c r="A1156" s="114"/>
      <c r="B1156" s="396" t="s">
        <v>1123</v>
      </c>
      <c r="C1156" s="289"/>
      <c r="D1156" s="290"/>
      <c r="E1156" s="397">
        <f>C1150*((C1152*2)*(0.05+C1146+C1147)*C1145)</f>
        <v>359.64</v>
      </c>
      <c r="F1156" s="390" t="s">
        <v>1124</v>
      </c>
      <c r="G1156" s="196"/>
      <c r="H1156" s="196"/>
      <c r="I1156" s="196"/>
      <c r="J1156" s="114"/>
      <c r="AW1156" s="117"/>
      <c r="AX1156" s="117"/>
      <c r="AY1156" s="117"/>
      <c r="AZ1156" s="117"/>
      <c r="BA1156" s="117"/>
      <c r="BB1156" s="117"/>
      <c r="BC1156" s="117"/>
      <c r="BD1156" s="117"/>
    </row>
    <row r="1157" spans="1:56" ht="18">
      <c r="A1157" s="114"/>
      <c r="B1157" s="398" t="s">
        <v>1125</v>
      </c>
      <c r="C1157" s="172"/>
      <c r="D1157" s="173"/>
      <c r="E1157" s="397">
        <f>E1156-E1163-E1161</f>
        <v>265.84499999999997</v>
      </c>
      <c r="F1157" s="390" t="s">
        <v>1124</v>
      </c>
      <c r="G1157" s="196"/>
      <c r="H1157" s="196"/>
      <c r="I1157" s="196"/>
      <c r="J1157" s="114"/>
      <c r="AW1157" s="117"/>
      <c r="AX1157" s="117"/>
      <c r="AY1157" s="117"/>
      <c r="AZ1157" s="117"/>
      <c r="BA1157" s="117"/>
      <c r="BB1157" s="117"/>
      <c r="BC1157" s="117"/>
      <c r="BD1157" s="117"/>
    </row>
    <row r="1158" spans="1:56" ht="15">
      <c r="A1158" s="114"/>
      <c r="B1158" s="399" t="s">
        <v>1126</v>
      </c>
      <c r="C1158" s="317"/>
      <c r="D1158" s="318"/>
      <c r="E1158" s="400">
        <f>((2*C1153+C1148+C1149)*C1145)*C1150</f>
        <v>127.64999999999999</v>
      </c>
      <c r="F1158" s="390" t="s">
        <v>13</v>
      </c>
      <c r="G1158" s="196"/>
      <c r="H1158" s="196"/>
      <c r="I1158" s="196"/>
      <c r="J1158" s="114"/>
      <c r="AW1158" s="117"/>
      <c r="AX1158" s="117"/>
      <c r="AY1158" s="117"/>
      <c r="AZ1158" s="117"/>
      <c r="BA1158" s="117"/>
      <c r="BB1158" s="117"/>
      <c r="BC1158" s="117"/>
      <c r="BD1158" s="117"/>
    </row>
    <row r="1159" spans="1:56" ht="15">
      <c r="A1159" s="114"/>
      <c r="B1159" s="196"/>
      <c r="C1159" s="196"/>
      <c r="D1159" s="196"/>
      <c r="E1159" s="401"/>
      <c r="F1159" s="196"/>
      <c r="G1159" s="196"/>
      <c r="H1159" s="196"/>
      <c r="I1159" s="196"/>
      <c r="J1159" s="114"/>
      <c r="AW1159" s="117"/>
      <c r="AX1159" s="117"/>
      <c r="AY1159" s="117"/>
      <c r="AZ1159" s="117"/>
      <c r="BA1159" s="117"/>
      <c r="BB1159" s="117"/>
      <c r="BC1159" s="117"/>
      <c r="BD1159" s="117"/>
    </row>
    <row r="1160" spans="1:56" ht="15">
      <c r="A1160" s="114"/>
      <c r="B1160" s="303" t="s">
        <v>1127</v>
      </c>
      <c r="C1160" s="196"/>
      <c r="D1160" s="196"/>
      <c r="E1160" s="401"/>
      <c r="F1160" s="196"/>
      <c r="G1160" s="196"/>
      <c r="H1160" s="196"/>
      <c r="I1160" s="196"/>
      <c r="J1160" s="114"/>
      <c r="AW1160" s="117"/>
      <c r="AX1160" s="117"/>
      <c r="AY1160" s="117"/>
      <c r="AZ1160" s="117"/>
      <c r="BA1160" s="117"/>
      <c r="BB1160" s="117"/>
      <c r="BC1160" s="117"/>
      <c r="BD1160" s="117"/>
    </row>
    <row r="1161" spans="1:56" ht="18">
      <c r="A1161" s="114"/>
      <c r="B1161" s="398" t="s">
        <v>1128</v>
      </c>
      <c r="C1161" s="172"/>
      <c r="D1161" s="173"/>
      <c r="E1161" s="402">
        <f>E1158*0.05</f>
        <v>6.3825000000000003</v>
      </c>
      <c r="F1161" s="390" t="s">
        <v>1124</v>
      </c>
      <c r="G1161" s="196"/>
      <c r="H1161" s="196"/>
      <c r="I1161" s="196"/>
      <c r="J1161" s="114"/>
      <c r="AW1161" s="117"/>
      <c r="AX1161" s="117"/>
      <c r="AY1161" s="117"/>
      <c r="AZ1161" s="117"/>
      <c r="BA1161" s="117"/>
      <c r="BB1161" s="117"/>
      <c r="BC1161" s="117"/>
      <c r="BD1161" s="117"/>
    </row>
    <row r="1162" spans="1:56" ht="15">
      <c r="A1162" s="114"/>
      <c r="B1162" s="398" t="s">
        <v>1129</v>
      </c>
      <c r="C1162" s="172"/>
      <c r="D1162" s="173"/>
      <c r="E1162" s="397">
        <f>C1145*(C1146+C1147)*2*C1150</f>
        <v>588.29999999999995</v>
      </c>
      <c r="F1162" s="390" t="s">
        <v>13</v>
      </c>
      <c r="G1162" s="196"/>
      <c r="H1162" s="196"/>
      <c r="I1162" s="196"/>
      <c r="J1162" s="114"/>
      <c r="AW1162" s="117"/>
      <c r="AX1162" s="117"/>
      <c r="AY1162" s="117"/>
      <c r="AZ1162" s="117"/>
      <c r="BA1162" s="117"/>
      <c r="BB1162" s="117"/>
      <c r="BC1162" s="117"/>
      <c r="BD1162" s="117"/>
    </row>
    <row r="1163" spans="1:56" ht="18">
      <c r="A1163" s="114"/>
      <c r="B1163" s="398" t="s">
        <v>1130</v>
      </c>
      <c r="C1163" s="172"/>
      <c r="D1163" s="173"/>
      <c r="E1163" s="402">
        <f>((C1143*C1145*C1146)+((C1148+C1149)*C1147*C1145))*C1150</f>
        <v>87.412499999999994</v>
      </c>
      <c r="F1163" s="390" t="s">
        <v>1124</v>
      </c>
      <c r="G1163" s="196"/>
      <c r="H1163" s="196"/>
      <c r="I1163" s="196"/>
      <c r="J1163" s="114"/>
      <c r="AW1163" s="117"/>
      <c r="AX1163" s="117"/>
      <c r="AY1163" s="117"/>
      <c r="AZ1163" s="117"/>
      <c r="BA1163" s="117"/>
      <c r="BB1163" s="117"/>
      <c r="BC1163" s="117"/>
      <c r="BD1163" s="117"/>
    </row>
    <row r="1164" spans="1:56" ht="15">
      <c r="A1164" s="114"/>
      <c r="B1164" s="288"/>
      <c r="C1164" s="230"/>
      <c r="D1164" s="230"/>
      <c r="E1164" s="384"/>
      <c r="F1164" s="196"/>
      <c r="G1164" s="393" t="s">
        <v>1108</v>
      </c>
      <c r="H1164" s="196" t="s">
        <v>1131</v>
      </c>
      <c r="I1164" s="393"/>
      <c r="J1164" s="114"/>
      <c r="AW1164" s="117"/>
      <c r="AX1164" s="117"/>
      <c r="AY1164" s="117"/>
      <c r="AZ1164" s="117"/>
      <c r="BA1164" s="117"/>
      <c r="BB1164" s="117"/>
      <c r="BC1164" s="117"/>
      <c r="BD1164" s="117"/>
    </row>
    <row r="1165" spans="1:56" ht="15">
      <c r="A1165" s="114"/>
      <c r="B1165" s="288"/>
      <c r="C1165" s="230"/>
      <c r="D1165" s="230"/>
      <c r="E1165" s="384"/>
      <c r="F1165" s="196"/>
      <c r="G1165" s="196"/>
      <c r="H1165" s="196"/>
      <c r="I1165" s="196"/>
      <c r="J1165" s="114"/>
      <c r="AW1165" s="117"/>
      <c r="AX1165" s="117"/>
      <c r="AY1165" s="117"/>
      <c r="AZ1165" s="117"/>
      <c r="BA1165" s="117"/>
      <c r="BB1165" s="117"/>
      <c r="BC1165" s="117"/>
      <c r="BD1165" s="117"/>
    </row>
    <row r="1166" spans="1:56" ht="15">
      <c r="A1166" s="114"/>
      <c r="B1166" s="386"/>
      <c r="C1166" s="386"/>
      <c r="D1166" s="386"/>
      <c r="E1166" s="386"/>
      <c r="F1166" s="386"/>
      <c r="G1166" s="386"/>
      <c r="H1166" s="386"/>
      <c r="I1166" s="386"/>
      <c r="J1166" s="114"/>
      <c r="AW1166" s="117"/>
      <c r="AX1166" s="117"/>
      <c r="AY1166" s="117"/>
      <c r="AZ1166" s="117"/>
      <c r="BA1166" s="117"/>
      <c r="BB1166" s="117"/>
      <c r="BC1166" s="117"/>
      <c r="BD1166" s="117"/>
    </row>
    <row r="1167" spans="1:56" ht="15">
      <c r="A1167" s="114"/>
      <c r="B1167" s="293"/>
      <c r="C1167" s="387"/>
      <c r="D1167" s="387"/>
      <c r="E1167" s="387"/>
      <c r="F1167" s="387"/>
      <c r="G1167" s="387"/>
      <c r="H1167" s="386"/>
      <c r="I1167" s="386"/>
      <c r="J1167" s="114"/>
      <c r="AW1167" s="117"/>
      <c r="AX1167" s="117"/>
      <c r="AY1167" s="117"/>
      <c r="AZ1167" s="117"/>
      <c r="BA1167" s="117"/>
      <c r="BB1167" s="117"/>
      <c r="BC1167" s="117"/>
      <c r="BD1167" s="117"/>
    </row>
    <row r="1168" spans="1:56">
      <c r="A1168" s="114"/>
      <c r="B1168" s="385" t="s">
        <v>1132</v>
      </c>
      <c r="C1168" s="196"/>
      <c r="D1168" s="196"/>
      <c r="E1168" s="196"/>
      <c r="F1168" s="196"/>
      <c r="G1168" s="196"/>
      <c r="H1168" s="196"/>
      <c r="I1168" s="196"/>
      <c r="J1168" s="114"/>
      <c r="AW1168" s="117"/>
      <c r="AX1168" s="117"/>
      <c r="AY1168" s="117"/>
      <c r="AZ1168" s="117"/>
      <c r="BA1168" s="117"/>
      <c r="BB1168" s="117"/>
      <c r="BC1168" s="117"/>
      <c r="BD1168" s="117"/>
    </row>
    <row r="1169" spans="1:56" ht="15">
      <c r="A1169" s="114"/>
      <c r="B1169" s="196"/>
      <c r="C1169" s="196"/>
      <c r="D1169" s="196"/>
      <c r="E1169" s="196"/>
      <c r="F1169" s="196"/>
      <c r="G1169" s="196"/>
      <c r="H1169" s="196"/>
      <c r="I1169" s="196"/>
      <c r="J1169" s="114"/>
      <c r="AW1169" s="117"/>
      <c r="AX1169" s="117"/>
      <c r="AY1169" s="117"/>
      <c r="AZ1169" s="117"/>
      <c r="BA1169" s="117"/>
      <c r="BB1169" s="117"/>
      <c r="BC1169" s="117"/>
      <c r="BD1169" s="117"/>
    </row>
    <row r="1170" spans="1:56" ht="15">
      <c r="A1170" s="114"/>
      <c r="B1170" s="388" t="s">
        <v>1110</v>
      </c>
      <c r="C1170" s="389">
        <v>0.2</v>
      </c>
      <c r="D1170" s="390" t="s">
        <v>10</v>
      </c>
      <c r="E1170" s="196"/>
      <c r="F1170" s="196"/>
      <c r="G1170" s="392"/>
      <c r="H1170" s="393"/>
      <c r="I1170" s="196"/>
      <c r="J1170" s="114"/>
      <c r="AW1170" s="117"/>
      <c r="AX1170" s="117"/>
      <c r="AY1170" s="117"/>
      <c r="AZ1170" s="117"/>
      <c r="BA1170" s="117"/>
      <c r="BB1170" s="117"/>
      <c r="BC1170" s="117"/>
      <c r="BD1170" s="117"/>
    </row>
    <row r="1171" spans="1:56" ht="15">
      <c r="A1171" s="114"/>
      <c r="B1171" s="388" t="s">
        <v>1111</v>
      </c>
      <c r="C1171" s="391">
        <v>3.44</v>
      </c>
      <c r="D1171" s="390" t="s">
        <v>10</v>
      </c>
      <c r="E1171" s="196"/>
      <c r="F1171" s="196"/>
      <c r="G1171" s="392"/>
      <c r="H1171" s="393"/>
      <c r="I1171" s="196"/>
      <c r="J1171" s="114"/>
      <c r="AW1171" s="117"/>
      <c r="AX1171" s="117"/>
      <c r="AY1171" s="117"/>
      <c r="AZ1171" s="117"/>
      <c r="BA1171" s="117"/>
      <c r="BB1171" s="117"/>
      <c r="BC1171" s="117"/>
      <c r="BD1171" s="117"/>
    </row>
    <row r="1172" spans="1:56" ht="15">
      <c r="A1172" s="114"/>
      <c r="B1172" s="388" t="s">
        <v>1112</v>
      </c>
      <c r="C1172" s="389">
        <v>0</v>
      </c>
      <c r="D1172" s="390" t="s">
        <v>10</v>
      </c>
      <c r="E1172" s="196"/>
      <c r="F1172" s="196"/>
      <c r="G1172" s="392"/>
      <c r="H1172" s="393"/>
      <c r="I1172" s="196"/>
      <c r="J1172" s="114"/>
      <c r="AW1172" s="117"/>
      <c r="AX1172" s="117"/>
      <c r="AY1172" s="117"/>
      <c r="AZ1172" s="117"/>
      <c r="BA1172" s="117"/>
      <c r="BB1172" s="117"/>
      <c r="BC1172" s="117"/>
      <c r="BD1172" s="117"/>
    </row>
    <row r="1173" spans="1:56" ht="15">
      <c r="A1173" s="114"/>
      <c r="B1173" s="388" t="s">
        <v>1113</v>
      </c>
      <c r="C1173" s="389">
        <v>2.5499999999999998</v>
      </c>
      <c r="D1173" s="390" t="s">
        <v>10</v>
      </c>
      <c r="E1173" s="196"/>
      <c r="F1173" s="196"/>
      <c r="G1173" s="392"/>
      <c r="H1173" s="394"/>
      <c r="I1173" s="196"/>
      <c r="J1173" s="114"/>
      <c r="AW1173" s="117"/>
      <c r="AX1173" s="117"/>
      <c r="AY1173" s="117"/>
      <c r="AZ1173" s="117"/>
      <c r="BA1173" s="117"/>
      <c r="BB1173" s="117"/>
      <c r="BC1173" s="117"/>
      <c r="BD1173" s="117"/>
    </row>
    <row r="1174" spans="1:56" ht="15">
      <c r="A1174" s="114"/>
      <c r="B1174" s="388" t="s">
        <v>1117</v>
      </c>
      <c r="C1174" s="389">
        <v>1</v>
      </c>
      <c r="D1174" s="390" t="s">
        <v>1118</v>
      </c>
      <c r="E1174" s="196"/>
      <c r="F1174" s="196"/>
      <c r="G1174" s="392"/>
      <c r="H1174" s="393"/>
      <c r="I1174" s="196"/>
      <c r="J1174" s="114"/>
      <c r="AW1174" s="117"/>
      <c r="AX1174" s="117"/>
      <c r="AY1174" s="117"/>
      <c r="AZ1174" s="117"/>
      <c r="BA1174" s="117"/>
      <c r="BB1174" s="117"/>
      <c r="BC1174" s="117"/>
      <c r="BD1174" s="117"/>
    </row>
    <row r="1175" spans="1:56" ht="15">
      <c r="A1175" s="114"/>
      <c r="B1175" s="392"/>
      <c r="C1175" s="393"/>
      <c r="D1175" s="196"/>
      <c r="E1175" s="196"/>
      <c r="F1175" s="196"/>
      <c r="G1175" s="392"/>
      <c r="H1175" s="393"/>
      <c r="I1175" s="196"/>
      <c r="J1175" s="114"/>
      <c r="AW1175" s="117"/>
      <c r="AX1175" s="117"/>
      <c r="AY1175" s="117"/>
      <c r="AZ1175" s="117"/>
      <c r="BA1175" s="117"/>
      <c r="BB1175" s="117"/>
      <c r="BC1175" s="117"/>
      <c r="BD1175" s="117"/>
    </row>
    <row r="1176" spans="1:56" ht="15">
      <c r="A1176" s="114"/>
      <c r="B1176" s="388" t="s">
        <v>1114</v>
      </c>
      <c r="C1176" s="389">
        <v>0.6</v>
      </c>
      <c r="D1176" s="390" t="s">
        <v>10</v>
      </c>
      <c r="E1176" s="288" t="s">
        <v>1120</v>
      </c>
      <c r="F1176" s="288"/>
      <c r="G1176" s="230"/>
      <c r="H1176" s="395"/>
      <c r="I1176" s="196"/>
      <c r="J1176" s="114"/>
      <c r="AW1176" s="117"/>
      <c r="AX1176" s="117"/>
      <c r="AY1176" s="117"/>
      <c r="AZ1176" s="117"/>
      <c r="BA1176" s="117"/>
      <c r="BB1176" s="117"/>
      <c r="BC1176" s="117"/>
      <c r="BD1176" s="117"/>
    </row>
    <row r="1177" spans="1:56" ht="15">
      <c r="A1177" s="114"/>
      <c r="B1177" s="388" t="s">
        <v>1114</v>
      </c>
      <c r="C1177" s="389">
        <v>0.2</v>
      </c>
      <c r="D1177" s="390" t="s">
        <v>10</v>
      </c>
      <c r="E1177" s="288" t="s">
        <v>1121</v>
      </c>
      <c r="F1177" s="288"/>
      <c r="G1177" s="230"/>
      <c r="H1177" s="395"/>
      <c r="I1177" s="196"/>
      <c r="J1177" s="114"/>
      <c r="AW1177" s="117"/>
      <c r="AX1177" s="117"/>
      <c r="AY1177" s="117"/>
      <c r="AZ1177" s="117"/>
      <c r="BA1177" s="117"/>
      <c r="BB1177" s="117"/>
      <c r="BC1177" s="117"/>
      <c r="BD1177" s="117"/>
    </row>
    <row r="1178" spans="1:56" ht="15">
      <c r="A1178" s="114"/>
      <c r="B1178" s="196"/>
      <c r="C1178" s="196"/>
      <c r="D1178" s="196"/>
      <c r="E1178" s="196"/>
      <c r="F1178" s="196"/>
      <c r="G1178" s="196"/>
      <c r="H1178" s="196"/>
      <c r="I1178" s="196"/>
      <c r="J1178" s="114"/>
      <c r="AW1178" s="117"/>
      <c r="AX1178" s="117"/>
      <c r="AY1178" s="117"/>
      <c r="AZ1178" s="117"/>
      <c r="BA1178" s="117"/>
      <c r="BB1178" s="117"/>
      <c r="BC1178" s="117"/>
      <c r="BD1178" s="117"/>
    </row>
    <row r="1179" spans="1:56" ht="15">
      <c r="A1179" s="114"/>
      <c r="B1179" s="303" t="s">
        <v>1122</v>
      </c>
      <c r="C1179" s="362"/>
      <c r="D1179" s="362"/>
      <c r="E1179" s="196"/>
      <c r="F1179" s="196"/>
      <c r="G1179" s="196"/>
      <c r="H1179" s="196"/>
      <c r="I1179" s="196"/>
      <c r="J1179" s="114"/>
      <c r="AW1179" s="117"/>
      <c r="AX1179" s="117"/>
      <c r="AY1179" s="117"/>
      <c r="AZ1179" s="117"/>
      <c r="BA1179" s="117"/>
      <c r="BB1179" s="117"/>
      <c r="BC1179" s="117"/>
      <c r="BD1179" s="117"/>
    </row>
    <row r="1180" spans="1:56" ht="18">
      <c r="A1180" s="114"/>
      <c r="B1180" s="396" t="s">
        <v>1123</v>
      </c>
      <c r="C1180" s="289"/>
      <c r="D1180" s="290"/>
      <c r="E1180" s="397">
        <f>C1174*(C1176*2*(0.05+C1173+C1172)*C1171)</f>
        <v>10.732799999999999</v>
      </c>
      <c r="F1180" s="390" t="s">
        <v>1124</v>
      </c>
      <c r="G1180" s="196"/>
      <c r="H1180" s="196"/>
      <c r="I1180" s="196"/>
      <c r="J1180" s="114"/>
      <c r="AW1180" s="117"/>
      <c r="AX1180" s="117"/>
      <c r="AY1180" s="117"/>
      <c r="AZ1180" s="117"/>
      <c r="BA1180" s="117"/>
      <c r="BB1180" s="117"/>
      <c r="BC1180" s="117"/>
      <c r="BD1180" s="117"/>
    </row>
    <row r="1181" spans="1:56" ht="18">
      <c r="A1181" s="114"/>
      <c r="B1181" s="398" t="s">
        <v>1125</v>
      </c>
      <c r="C1181" s="172"/>
      <c r="D1181" s="173"/>
      <c r="E1181" s="397">
        <f>E1180-(E1185+E1182)</f>
        <v>9.2879999999999985</v>
      </c>
      <c r="F1181" s="390" t="s">
        <v>1124</v>
      </c>
      <c r="G1181" s="196"/>
      <c r="H1181" s="196"/>
      <c r="I1181" s="196"/>
      <c r="J1181" s="114"/>
      <c r="AW1181" s="117"/>
      <c r="AX1181" s="117"/>
      <c r="AY1181" s="117"/>
      <c r="AZ1181" s="117"/>
      <c r="BA1181" s="117"/>
      <c r="BB1181" s="117"/>
      <c r="BC1181" s="117"/>
      <c r="BD1181" s="117"/>
    </row>
    <row r="1182" spans="1:56" ht="15">
      <c r="A1182" s="114"/>
      <c r="B1182" s="399" t="s">
        <v>1126</v>
      </c>
      <c r="C1182" s="317"/>
      <c r="D1182" s="318"/>
      <c r="E1182" s="400">
        <f>(2*C1177)*C1171</f>
        <v>1.3760000000000001</v>
      </c>
      <c r="F1182" s="390" t="s">
        <v>13</v>
      </c>
      <c r="G1182" s="196"/>
      <c r="H1182" s="196"/>
      <c r="I1182" s="196"/>
      <c r="J1182" s="114"/>
      <c r="AW1182" s="117"/>
      <c r="AX1182" s="117"/>
      <c r="AY1182" s="117"/>
      <c r="AZ1182" s="117"/>
      <c r="BA1182" s="117"/>
      <c r="BB1182" s="117"/>
      <c r="BC1182" s="117"/>
      <c r="BD1182" s="117"/>
    </row>
    <row r="1183" spans="1:56" ht="15">
      <c r="A1183" s="114"/>
      <c r="B1183" s="196"/>
      <c r="C1183" s="196"/>
      <c r="D1183" s="196"/>
      <c r="E1183" s="401"/>
      <c r="F1183" s="196"/>
      <c r="G1183" s="196"/>
      <c r="H1183" s="196"/>
      <c r="I1183" s="196"/>
      <c r="J1183" s="114"/>
      <c r="AW1183" s="117"/>
      <c r="AX1183" s="117"/>
      <c r="AY1183" s="117"/>
      <c r="AZ1183" s="117"/>
      <c r="BA1183" s="117"/>
      <c r="BB1183" s="117"/>
      <c r="BC1183" s="117"/>
      <c r="BD1183" s="117"/>
    </row>
    <row r="1184" spans="1:56" ht="15">
      <c r="A1184" s="114"/>
      <c r="B1184" s="303" t="s">
        <v>1127</v>
      </c>
      <c r="C1184" s="196"/>
      <c r="D1184" s="196"/>
      <c r="E1184" s="401"/>
      <c r="F1184" s="196"/>
      <c r="G1184" s="196"/>
      <c r="H1184" s="196"/>
      <c r="I1184" s="196"/>
      <c r="J1184" s="114"/>
      <c r="AW1184" s="117"/>
      <c r="AX1184" s="117"/>
      <c r="AY1184" s="117"/>
      <c r="AZ1184" s="117"/>
      <c r="BA1184" s="117"/>
      <c r="BB1184" s="117"/>
      <c r="BC1184" s="117"/>
      <c r="BD1184" s="117"/>
    </row>
    <row r="1185" spans="1:56" ht="18">
      <c r="A1185" s="114"/>
      <c r="B1185" s="398" t="s">
        <v>1128</v>
      </c>
      <c r="C1185" s="172"/>
      <c r="D1185" s="173"/>
      <c r="E1185" s="402">
        <f>E1182*0.05</f>
        <v>6.8800000000000014E-2</v>
      </c>
      <c r="F1185" s="390" t="s">
        <v>1124</v>
      </c>
      <c r="G1185" s="196"/>
      <c r="H1185" s="196"/>
      <c r="I1185" s="196"/>
      <c r="J1185" s="114"/>
      <c r="AW1185" s="117"/>
      <c r="AX1185" s="117"/>
      <c r="AY1185" s="117"/>
      <c r="AZ1185" s="117"/>
      <c r="BA1185" s="117"/>
      <c r="BB1185" s="117"/>
      <c r="BC1185" s="117"/>
      <c r="BD1185" s="117"/>
    </row>
    <row r="1186" spans="1:56" ht="15">
      <c r="A1186" s="114"/>
      <c r="B1186" s="398" t="s">
        <v>1129</v>
      </c>
      <c r="C1186" s="172"/>
      <c r="D1186" s="173"/>
      <c r="E1186" s="397">
        <f>C1173*2*C1171</f>
        <v>17.543999999999997</v>
      </c>
      <c r="F1186" s="390" t="s">
        <v>13</v>
      </c>
      <c r="G1186" s="393" t="s">
        <v>1108</v>
      </c>
      <c r="H1186" s="196" t="s">
        <v>1131</v>
      </c>
      <c r="I1186" s="393"/>
      <c r="J1186" s="114"/>
      <c r="AW1186" s="117"/>
      <c r="AX1186" s="117"/>
      <c r="AY1186" s="117"/>
      <c r="AZ1186" s="117"/>
      <c r="BA1186" s="117"/>
      <c r="BB1186" s="117"/>
      <c r="BC1186" s="117"/>
      <c r="BD1186" s="117"/>
    </row>
    <row r="1187" spans="1:56" ht="18">
      <c r="A1187" s="114"/>
      <c r="B1187" s="398" t="s">
        <v>1130</v>
      </c>
      <c r="C1187" s="172"/>
      <c r="D1187" s="173"/>
      <c r="E1187" s="402">
        <f>C1170*C1171*C1173</f>
        <v>1.7544</v>
      </c>
      <c r="F1187" s="390" t="s">
        <v>1124</v>
      </c>
      <c r="G1187" s="196"/>
      <c r="H1187" s="196"/>
      <c r="I1187" s="196"/>
      <c r="J1187" s="114"/>
      <c r="AW1187" s="117"/>
      <c r="AX1187" s="117"/>
      <c r="AY1187" s="117"/>
      <c r="AZ1187" s="117"/>
      <c r="BA1187" s="117"/>
      <c r="BB1187" s="117"/>
      <c r="BC1187" s="117"/>
      <c r="BD1187" s="117"/>
    </row>
    <row r="1188" spans="1:56" ht="15">
      <c r="A1188" s="114"/>
      <c r="B1188" s="288"/>
      <c r="C1188" s="230"/>
      <c r="D1188" s="230"/>
      <c r="E1188" s="384"/>
      <c r="F1188" s="196"/>
      <c r="G1188" s="196"/>
      <c r="H1188" s="196"/>
      <c r="I1188" s="196"/>
      <c r="J1188" s="114"/>
      <c r="AW1188" s="117"/>
      <c r="AX1188" s="117"/>
      <c r="AY1188" s="117"/>
      <c r="AZ1188" s="117"/>
      <c r="BA1188" s="117"/>
      <c r="BB1188" s="117"/>
      <c r="BC1188" s="117"/>
      <c r="BD1188" s="117"/>
    </row>
    <row r="1189" spans="1:56" ht="15">
      <c r="A1189" s="114"/>
      <c r="B1189" s="386"/>
      <c r="C1189" s="386"/>
      <c r="D1189" s="386"/>
      <c r="E1189" s="386"/>
      <c r="F1189" s="386"/>
      <c r="G1189" s="386"/>
      <c r="H1189" s="386"/>
      <c r="I1189" s="386"/>
      <c r="J1189" s="114"/>
      <c r="AW1189" s="117"/>
      <c r="AX1189" s="117"/>
      <c r="AY1189" s="117"/>
      <c r="AZ1189" s="117"/>
      <c r="BA1189" s="117"/>
      <c r="BB1189" s="117"/>
      <c r="BC1189" s="117"/>
      <c r="BD1189" s="117"/>
    </row>
    <row r="1190" spans="1:56" ht="15">
      <c r="A1190" s="114"/>
      <c r="B1190" s="386"/>
      <c r="C1190" s="386"/>
      <c r="D1190" s="386"/>
      <c r="E1190" s="386"/>
      <c r="F1190" s="386"/>
      <c r="G1190" s="386"/>
      <c r="H1190" s="386"/>
      <c r="I1190" s="386"/>
      <c r="J1190" s="114"/>
      <c r="AW1190" s="117"/>
      <c r="AX1190" s="117"/>
      <c r="AY1190" s="117"/>
      <c r="AZ1190" s="117"/>
      <c r="BA1190" s="117"/>
      <c r="BB1190" s="117"/>
      <c r="BC1190" s="117"/>
      <c r="BD1190" s="117"/>
    </row>
    <row r="1191" spans="1:56" ht="15">
      <c r="A1191" s="114"/>
      <c r="B1191" s="293"/>
      <c r="C1191" s="387"/>
      <c r="D1191" s="387"/>
      <c r="E1191" s="387"/>
      <c r="F1191" s="387"/>
      <c r="G1191" s="387"/>
      <c r="H1191" s="386"/>
      <c r="I1191" s="386"/>
      <c r="J1191" s="114"/>
      <c r="AW1191" s="117"/>
      <c r="AX1191" s="117"/>
      <c r="AY1191" s="117"/>
      <c r="AZ1191" s="117"/>
      <c r="BA1191" s="117"/>
      <c r="BB1191" s="117"/>
      <c r="BC1191" s="117"/>
      <c r="BD1191" s="117"/>
    </row>
    <row r="1192" spans="1:56">
      <c r="A1192" s="114"/>
      <c r="B1192" s="385" t="s">
        <v>1998</v>
      </c>
      <c r="C1192" s="196"/>
      <c r="D1192" s="196"/>
      <c r="E1192" s="196"/>
      <c r="F1192" s="196"/>
      <c r="G1192" s="196"/>
      <c r="H1192" s="196"/>
      <c r="I1192" s="196"/>
      <c r="J1192" s="114"/>
      <c r="AW1192" s="117"/>
      <c r="AX1192" s="117"/>
      <c r="AY1192" s="117"/>
      <c r="AZ1192" s="117"/>
      <c r="BA1192" s="117"/>
      <c r="BB1192" s="117"/>
      <c r="BC1192" s="117"/>
      <c r="BD1192" s="117"/>
    </row>
    <row r="1193" spans="1:56" ht="15">
      <c r="A1193" s="114"/>
      <c r="B1193" s="196"/>
      <c r="C1193" s="196"/>
      <c r="D1193" s="196"/>
      <c r="E1193" s="196"/>
      <c r="F1193" s="196"/>
      <c r="G1193" s="196"/>
      <c r="H1193" s="196"/>
      <c r="I1193" s="196"/>
      <c r="J1193" s="114"/>
      <c r="AW1193" s="117"/>
      <c r="AX1193" s="117"/>
      <c r="AY1193" s="117"/>
      <c r="AZ1193" s="117"/>
      <c r="BA1193" s="117"/>
      <c r="BB1193" s="117"/>
      <c r="BC1193" s="117"/>
      <c r="BD1193" s="117"/>
    </row>
    <row r="1194" spans="1:56" ht="15">
      <c r="A1194" s="114"/>
      <c r="B1194" s="388" t="s">
        <v>1110</v>
      </c>
      <c r="C1194" s="389">
        <v>0.2</v>
      </c>
      <c r="D1194" s="390" t="s">
        <v>10</v>
      </c>
      <c r="E1194" s="196"/>
      <c r="F1194" s="196"/>
      <c r="G1194" s="392"/>
      <c r="H1194" s="393"/>
      <c r="I1194" s="196"/>
      <c r="J1194" s="114"/>
      <c r="AW1194" s="117"/>
      <c r="AX1194" s="117"/>
      <c r="AY1194" s="117"/>
      <c r="AZ1194" s="117"/>
      <c r="BA1194" s="117"/>
      <c r="BB1194" s="117"/>
      <c r="BC1194" s="117"/>
      <c r="BD1194" s="117"/>
    </row>
    <row r="1195" spans="1:56" ht="15">
      <c r="A1195" s="114"/>
      <c r="B1195" s="388" t="s">
        <v>1111</v>
      </c>
      <c r="C1195" s="391">
        <v>1.75</v>
      </c>
      <c r="D1195" s="390" t="s">
        <v>10</v>
      </c>
      <c r="E1195" s="196"/>
      <c r="F1195" s="196"/>
      <c r="G1195" s="392"/>
      <c r="H1195" s="393"/>
      <c r="I1195" s="196"/>
      <c r="J1195" s="114"/>
      <c r="AW1195" s="117"/>
      <c r="AX1195" s="117"/>
      <c r="AY1195" s="117"/>
      <c r="AZ1195" s="117"/>
      <c r="BA1195" s="117"/>
      <c r="BB1195" s="117"/>
      <c r="BC1195" s="117"/>
      <c r="BD1195" s="117"/>
    </row>
    <row r="1196" spans="1:56" ht="15">
      <c r="A1196" s="114"/>
      <c r="B1196" s="388" t="s">
        <v>1112</v>
      </c>
      <c r="C1196" s="389">
        <v>0</v>
      </c>
      <c r="D1196" s="390" t="s">
        <v>10</v>
      </c>
      <c r="E1196" s="196"/>
      <c r="F1196" s="196"/>
      <c r="G1196" s="392"/>
      <c r="H1196" s="393"/>
      <c r="I1196" s="196"/>
      <c r="J1196" s="114"/>
      <c r="AW1196" s="117"/>
      <c r="AX1196" s="117"/>
      <c r="AY1196" s="117"/>
      <c r="AZ1196" s="117"/>
      <c r="BA1196" s="117"/>
      <c r="BB1196" s="117"/>
      <c r="BC1196" s="117"/>
      <c r="BD1196" s="117"/>
    </row>
    <row r="1197" spans="1:56" ht="15">
      <c r="A1197" s="114"/>
      <c r="B1197" s="388" t="s">
        <v>1113</v>
      </c>
      <c r="C1197" s="389">
        <v>2.15</v>
      </c>
      <c r="D1197" s="390" t="s">
        <v>10</v>
      </c>
      <c r="E1197" s="196"/>
      <c r="F1197" s="196"/>
      <c r="G1197" s="392"/>
      <c r="H1197" s="394"/>
      <c r="I1197" s="196"/>
      <c r="J1197" s="114"/>
      <c r="AW1197" s="117"/>
      <c r="AX1197" s="117"/>
      <c r="AY1197" s="117"/>
      <c r="AZ1197" s="117"/>
      <c r="BA1197" s="117"/>
      <c r="BB1197" s="117"/>
      <c r="BC1197" s="117"/>
      <c r="BD1197" s="117"/>
    </row>
    <row r="1198" spans="1:56" ht="15">
      <c r="A1198" s="114"/>
      <c r="B1198" s="388" t="s">
        <v>1117</v>
      </c>
      <c r="C1198" s="389">
        <v>3</v>
      </c>
      <c r="D1198" s="390" t="s">
        <v>1118</v>
      </c>
      <c r="E1198" s="196"/>
      <c r="F1198" s="196"/>
      <c r="G1198" s="392"/>
      <c r="H1198" s="393"/>
      <c r="I1198" s="196"/>
      <c r="J1198" s="114"/>
      <c r="AW1198" s="117"/>
      <c r="AX1198" s="117"/>
      <c r="AY1198" s="117"/>
      <c r="AZ1198" s="117"/>
      <c r="BA1198" s="117"/>
      <c r="BB1198" s="117"/>
      <c r="BC1198" s="117"/>
      <c r="BD1198" s="117"/>
    </row>
    <row r="1199" spans="1:56" ht="15">
      <c r="A1199" s="114"/>
      <c r="B1199" s="392"/>
      <c r="C1199" s="393"/>
      <c r="D1199" s="196"/>
      <c r="E1199" s="196"/>
      <c r="F1199" s="196"/>
      <c r="G1199" s="392"/>
      <c r="H1199" s="393"/>
      <c r="I1199" s="196"/>
      <c r="J1199" s="114"/>
      <c r="AW1199" s="117"/>
      <c r="AX1199" s="117"/>
      <c r="AY1199" s="117"/>
      <c r="AZ1199" s="117"/>
      <c r="BA1199" s="117"/>
      <c r="BB1199" s="117"/>
      <c r="BC1199" s="117"/>
      <c r="BD1199" s="117"/>
    </row>
    <row r="1200" spans="1:56" ht="15">
      <c r="A1200" s="114"/>
      <c r="B1200" s="388" t="s">
        <v>1114</v>
      </c>
      <c r="C1200" s="389">
        <v>0.6</v>
      </c>
      <c r="D1200" s="390" t="s">
        <v>10</v>
      </c>
      <c r="E1200" s="288" t="s">
        <v>1120</v>
      </c>
      <c r="F1200" s="288"/>
      <c r="G1200" s="230"/>
      <c r="H1200" s="395"/>
      <c r="I1200" s="196"/>
      <c r="J1200" s="114"/>
      <c r="AW1200" s="117"/>
      <c r="AX1200" s="117"/>
      <c r="AY1200" s="117"/>
      <c r="AZ1200" s="117"/>
      <c r="BA1200" s="117"/>
      <c r="BB1200" s="117"/>
      <c r="BC1200" s="117"/>
      <c r="BD1200" s="117"/>
    </row>
    <row r="1201" spans="1:56" ht="15">
      <c r="A1201" s="114"/>
      <c r="B1201" s="388" t="s">
        <v>1114</v>
      </c>
      <c r="C1201" s="389">
        <v>0.2</v>
      </c>
      <c r="D1201" s="390" t="s">
        <v>10</v>
      </c>
      <c r="E1201" s="288" t="s">
        <v>1121</v>
      </c>
      <c r="F1201" s="288"/>
      <c r="G1201" s="230"/>
      <c r="H1201" s="395"/>
      <c r="I1201" s="196"/>
      <c r="J1201" s="114"/>
      <c r="AW1201" s="117"/>
      <c r="AX1201" s="117"/>
      <c r="AY1201" s="117"/>
      <c r="AZ1201" s="117"/>
      <c r="BA1201" s="117"/>
      <c r="BB1201" s="117"/>
      <c r="BC1201" s="117"/>
      <c r="BD1201" s="117"/>
    </row>
    <row r="1202" spans="1:56" ht="15">
      <c r="A1202" s="114"/>
      <c r="B1202" s="196"/>
      <c r="C1202" s="196"/>
      <c r="D1202" s="196"/>
      <c r="E1202" s="196"/>
      <c r="F1202" s="196"/>
      <c r="G1202" s="196"/>
      <c r="H1202" s="196"/>
      <c r="I1202" s="196"/>
      <c r="J1202" s="114"/>
      <c r="AW1202" s="117"/>
      <c r="AX1202" s="117"/>
      <c r="AY1202" s="117"/>
      <c r="AZ1202" s="117"/>
      <c r="BA1202" s="117"/>
      <c r="BB1202" s="117"/>
      <c r="BC1202" s="117"/>
      <c r="BD1202" s="117"/>
    </row>
    <row r="1203" spans="1:56" ht="15">
      <c r="A1203" s="114"/>
      <c r="B1203" s="303" t="s">
        <v>1122</v>
      </c>
      <c r="C1203" s="362"/>
      <c r="D1203" s="362"/>
      <c r="E1203" s="196"/>
      <c r="F1203" s="196"/>
      <c r="G1203" s="196"/>
      <c r="H1203" s="196"/>
      <c r="I1203" s="196"/>
      <c r="J1203" s="114"/>
      <c r="AW1203" s="117"/>
      <c r="AX1203" s="117"/>
      <c r="AY1203" s="117"/>
      <c r="AZ1203" s="117"/>
      <c r="BA1203" s="117"/>
      <c r="BB1203" s="117"/>
      <c r="BC1203" s="117"/>
      <c r="BD1203" s="117"/>
    </row>
    <row r="1204" spans="1:56" ht="18">
      <c r="A1204" s="114"/>
      <c r="B1204" s="396" t="s">
        <v>1123</v>
      </c>
      <c r="C1204" s="289"/>
      <c r="D1204" s="290"/>
      <c r="E1204" s="397">
        <f>C1198*(C1200*2*(0.05+C1197+C1196)*C1195)</f>
        <v>13.859999999999998</v>
      </c>
      <c r="F1204" s="390" t="s">
        <v>1124</v>
      </c>
      <c r="G1204" s="196"/>
      <c r="H1204" s="196"/>
      <c r="I1204" s="196"/>
      <c r="J1204" s="114"/>
      <c r="AW1204" s="117"/>
      <c r="AX1204" s="117"/>
      <c r="AY1204" s="117"/>
      <c r="AZ1204" s="117"/>
      <c r="BA1204" s="117"/>
      <c r="BB1204" s="117"/>
      <c r="BC1204" s="117"/>
      <c r="BD1204" s="117"/>
    </row>
    <row r="1205" spans="1:56" ht="18">
      <c r="A1205" s="114"/>
      <c r="B1205" s="398" t="s">
        <v>1125</v>
      </c>
      <c r="C1205" s="172"/>
      <c r="D1205" s="173"/>
      <c r="E1205" s="397">
        <f>E1204-(E1209+E1211)</f>
        <v>13.072499999999998</v>
      </c>
      <c r="F1205" s="390" t="s">
        <v>1124</v>
      </c>
      <c r="G1205" s="196"/>
      <c r="H1205" s="196"/>
      <c r="I1205" s="196"/>
      <c r="J1205" s="114"/>
      <c r="AW1205" s="117"/>
      <c r="AX1205" s="117"/>
      <c r="AY1205" s="117"/>
      <c r="AZ1205" s="117"/>
      <c r="BA1205" s="117"/>
      <c r="BB1205" s="117"/>
      <c r="BC1205" s="117"/>
      <c r="BD1205" s="117"/>
    </row>
    <row r="1206" spans="1:56" ht="15">
      <c r="A1206" s="114"/>
      <c r="B1206" s="399" t="s">
        <v>1126</v>
      </c>
      <c r="C1206" s="317"/>
      <c r="D1206" s="318"/>
      <c r="E1206" s="400">
        <f>(2*C1201)*C1195</f>
        <v>0.70000000000000007</v>
      </c>
      <c r="F1206" s="390" t="s">
        <v>13</v>
      </c>
      <c r="G1206" s="196"/>
      <c r="H1206" s="196"/>
      <c r="I1206" s="196"/>
      <c r="J1206" s="114"/>
      <c r="AW1206" s="117"/>
      <c r="AX1206" s="117"/>
      <c r="AY1206" s="117"/>
      <c r="AZ1206" s="117"/>
      <c r="BA1206" s="117"/>
      <c r="BB1206" s="117"/>
      <c r="BC1206" s="117"/>
      <c r="BD1206" s="117"/>
    </row>
    <row r="1207" spans="1:56" ht="15">
      <c r="A1207" s="114"/>
      <c r="B1207" s="196"/>
      <c r="C1207" s="196"/>
      <c r="D1207" s="196"/>
      <c r="E1207" s="401"/>
      <c r="F1207" s="196"/>
      <c r="G1207" s="196"/>
      <c r="H1207" s="196"/>
      <c r="I1207" s="196"/>
      <c r="J1207" s="114"/>
      <c r="AW1207" s="117"/>
      <c r="AX1207" s="117"/>
      <c r="AY1207" s="117"/>
      <c r="AZ1207" s="117"/>
      <c r="BA1207" s="117"/>
      <c r="BB1207" s="117"/>
      <c r="BC1207" s="117"/>
      <c r="BD1207" s="117"/>
    </row>
    <row r="1208" spans="1:56" ht="15">
      <c r="A1208" s="114"/>
      <c r="B1208" s="303" t="s">
        <v>1127</v>
      </c>
      <c r="C1208" s="196"/>
      <c r="D1208" s="196"/>
      <c r="E1208" s="401"/>
      <c r="F1208" s="196"/>
      <c r="G1208" s="196"/>
      <c r="H1208" s="196"/>
      <c r="I1208" s="196"/>
      <c r="J1208" s="114"/>
      <c r="AW1208" s="117"/>
      <c r="AX1208" s="117"/>
      <c r="AY1208" s="117"/>
      <c r="AZ1208" s="117"/>
      <c r="BA1208" s="117"/>
      <c r="BB1208" s="117"/>
      <c r="BC1208" s="117"/>
      <c r="BD1208" s="117"/>
    </row>
    <row r="1209" spans="1:56" ht="18">
      <c r="A1209" s="114"/>
      <c r="B1209" s="398" t="s">
        <v>1128</v>
      </c>
      <c r="C1209" s="172"/>
      <c r="D1209" s="173"/>
      <c r="E1209" s="402">
        <f>E1206*0.05</f>
        <v>3.5000000000000003E-2</v>
      </c>
      <c r="F1209" s="390" t="s">
        <v>1124</v>
      </c>
      <c r="G1209" s="196"/>
      <c r="H1209" s="196"/>
      <c r="I1209" s="196"/>
      <c r="J1209" s="114"/>
      <c r="AW1209" s="117"/>
      <c r="AX1209" s="117"/>
      <c r="AY1209" s="117"/>
      <c r="AZ1209" s="117"/>
      <c r="BA1209" s="117"/>
      <c r="BB1209" s="117"/>
      <c r="BC1209" s="117"/>
      <c r="BD1209" s="117"/>
    </row>
    <row r="1210" spans="1:56" ht="15">
      <c r="A1210" s="114"/>
      <c r="B1210" s="398" t="s">
        <v>1129</v>
      </c>
      <c r="C1210" s="172"/>
      <c r="D1210" s="173"/>
      <c r="E1210" s="397">
        <f>C1197*2*C1195</f>
        <v>7.5249999999999995</v>
      </c>
      <c r="F1210" s="390" t="s">
        <v>13</v>
      </c>
      <c r="G1210" s="393" t="s">
        <v>1108</v>
      </c>
      <c r="H1210" s="196" t="s">
        <v>1131</v>
      </c>
      <c r="I1210" s="393"/>
      <c r="J1210" s="114"/>
      <c r="AW1210" s="117"/>
      <c r="AX1210" s="117"/>
      <c r="AY1210" s="117"/>
      <c r="AZ1210" s="117"/>
      <c r="BA1210" s="117"/>
      <c r="BB1210" s="117"/>
      <c r="BC1210" s="117"/>
      <c r="BD1210" s="117"/>
    </row>
    <row r="1211" spans="1:56" ht="18">
      <c r="A1211" s="114"/>
      <c r="B1211" s="398" t="s">
        <v>1130</v>
      </c>
      <c r="C1211" s="172"/>
      <c r="D1211" s="173"/>
      <c r="E1211" s="402">
        <f>C1194*C1195*C1197</f>
        <v>0.75250000000000006</v>
      </c>
      <c r="F1211" s="390" t="s">
        <v>1124</v>
      </c>
      <c r="G1211" s="196"/>
      <c r="H1211" s="196"/>
      <c r="I1211" s="196"/>
      <c r="J1211" s="114"/>
      <c r="AW1211" s="117"/>
      <c r="AX1211" s="117"/>
      <c r="AY1211" s="117"/>
      <c r="AZ1211" s="117"/>
      <c r="BA1211" s="117"/>
      <c r="BB1211" s="117"/>
      <c r="BC1211" s="117"/>
      <c r="BD1211" s="117"/>
    </row>
    <row r="1212" spans="1:56" ht="15">
      <c r="A1212" s="114"/>
      <c r="B1212" s="288"/>
      <c r="C1212" s="230"/>
      <c r="D1212" s="230"/>
      <c r="E1212" s="384"/>
      <c r="F1212" s="196"/>
      <c r="G1212" s="196"/>
      <c r="H1212" s="196"/>
      <c r="I1212" s="196"/>
      <c r="J1212" s="114"/>
      <c r="AW1212" s="117"/>
      <c r="AX1212" s="117"/>
      <c r="AY1212" s="117"/>
      <c r="AZ1212" s="117"/>
      <c r="BA1212" s="117"/>
      <c r="BB1212" s="117"/>
      <c r="BC1212" s="117"/>
      <c r="BD1212" s="117"/>
    </row>
    <row r="1213" spans="1:56" ht="15">
      <c r="A1213" s="114"/>
      <c r="B1213" s="386"/>
      <c r="C1213" s="386"/>
      <c r="D1213" s="386"/>
      <c r="E1213" s="386"/>
      <c r="F1213" s="386"/>
      <c r="G1213" s="386"/>
      <c r="H1213" s="386"/>
      <c r="I1213" s="386"/>
      <c r="J1213" s="114"/>
      <c r="AW1213" s="117"/>
      <c r="AX1213" s="117"/>
      <c r="AY1213" s="117"/>
      <c r="AZ1213" s="117"/>
      <c r="BA1213" s="117"/>
      <c r="BB1213" s="117"/>
      <c r="BC1213" s="117"/>
      <c r="BD1213" s="117"/>
    </row>
    <row r="1214" spans="1:56" ht="15">
      <c r="A1214" s="114"/>
      <c r="B1214" s="293"/>
      <c r="C1214" s="387"/>
      <c r="D1214" s="387"/>
      <c r="E1214" s="387"/>
      <c r="F1214" s="387"/>
      <c r="G1214" s="387"/>
      <c r="H1214" s="386"/>
      <c r="I1214" s="386"/>
      <c r="J1214" s="114"/>
      <c r="AW1214" s="117"/>
      <c r="AX1214" s="117"/>
      <c r="AY1214" s="117"/>
      <c r="AZ1214" s="117"/>
      <c r="BA1214" s="117"/>
      <c r="BB1214" s="117"/>
      <c r="BC1214" s="117"/>
      <c r="BD1214" s="117"/>
    </row>
    <row r="1215" spans="1:56" ht="15">
      <c r="A1215" s="114"/>
      <c r="B1215" s="293"/>
      <c r="C1215" s="387"/>
      <c r="D1215" s="387"/>
      <c r="E1215" s="387"/>
      <c r="F1215" s="387"/>
      <c r="G1215" s="387"/>
      <c r="H1215" s="386"/>
      <c r="I1215" s="386"/>
      <c r="J1215" s="114"/>
      <c r="AW1215" s="117"/>
      <c r="AX1215" s="117"/>
      <c r="AY1215" s="117"/>
      <c r="AZ1215" s="117"/>
      <c r="BA1215" s="117"/>
      <c r="BB1215" s="117"/>
      <c r="BC1215" s="117"/>
      <c r="BD1215" s="117"/>
    </row>
    <row r="1216" spans="1:56">
      <c r="A1216" s="114"/>
      <c r="B1216" s="385" t="s">
        <v>1133</v>
      </c>
      <c r="C1216" s="196"/>
      <c r="D1216" s="196"/>
      <c r="E1216" s="196"/>
      <c r="F1216" s="196"/>
      <c r="G1216" s="196"/>
      <c r="H1216" s="196"/>
      <c r="I1216" s="196"/>
      <c r="J1216" s="114"/>
      <c r="AW1216" s="117"/>
      <c r="AX1216" s="117"/>
      <c r="AY1216" s="117"/>
      <c r="AZ1216" s="117"/>
      <c r="BA1216" s="117"/>
      <c r="BB1216" s="117"/>
      <c r="BC1216" s="117"/>
      <c r="BD1216" s="117"/>
    </row>
    <row r="1217" spans="1:56" ht="15">
      <c r="A1217" s="114"/>
      <c r="B1217" s="196"/>
      <c r="C1217" s="196"/>
      <c r="D1217" s="196"/>
      <c r="E1217" s="196"/>
      <c r="F1217" s="196"/>
      <c r="G1217" s="196"/>
      <c r="H1217" s="196"/>
      <c r="I1217" s="196"/>
      <c r="J1217" s="114"/>
      <c r="AW1217" s="117"/>
      <c r="AX1217" s="117"/>
      <c r="AY1217" s="117"/>
      <c r="AZ1217" s="117"/>
      <c r="BA1217" s="117"/>
      <c r="BB1217" s="117"/>
      <c r="BC1217" s="117"/>
      <c r="BD1217" s="117"/>
    </row>
    <row r="1218" spans="1:56" ht="15">
      <c r="A1218" s="114"/>
      <c r="B1218" s="388" t="s">
        <v>1110</v>
      </c>
      <c r="C1218" s="389">
        <v>0.2</v>
      </c>
      <c r="D1218" s="390" t="s">
        <v>10</v>
      </c>
      <c r="E1218" s="196"/>
      <c r="F1218" s="196"/>
      <c r="G1218" s="392"/>
      <c r="H1218" s="393"/>
      <c r="I1218" s="196"/>
      <c r="J1218" s="114"/>
      <c r="AW1218" s="117"/>
      <c r="AX1218" s="117"/>
      <c r="AY1218" s="117"/>
      <c r="AZ1218" s="117"/>
      <c r="BA1218" s="117"/>
      <c r="BB1218" s="117"/>
      <c r="BC1218" s="117"/>
      <c r="BD1218" s="117"/>
    </row>
    <row r="1219" spans="1:56" ht="15">
      <c r="A1219" s="114"/>
      <c r="B1219" s="388" t="s">
        <v>1111</v>
      </c>
      <c r="C1219" s="391">
        <v>1.45</v>
      </c>
      <c r="D1219" s="390" t="s">
        <v>10</v>
      </c>
      <c r="E1219" s="196"/>
      <c r="F1219" s="196"/>
      <c r="G1219" s="392"/>
      <c r="H1219" s="393"/>
      <c r="I1219" s="196"/>
      <c r="J1219" s="114"/>
      <c r="AW1219" s="117"/>
      <c r="AX1219" s="117"/>
      <c r="AY1219" s="117"/>
      <c r="AZ1219" s="117"/>
      <c r="BA1219" s="117"/>
      <c r="BB1219" s="117"/>
      <c r="BC1219" s="117"/>
      <c r="BD1219" s="117"/>
    </row>
    <row r="1220" spans="1:56" ht="15">
      <c r="A1220" s="114"/>
      <c r="B1220" s="388" t="s">
        <v>1112</v>
      </c>
      <c r="C1220" s="389">
        <v>0</v>
      </c>
      <c r="D1220" s="390" t="s">
        <v>10</v>
      </c>
      <c r="E1220" s="196"/>
      <c r="F1220" s="196"/>
      <c r="G1220" s="392"/>
      <c r="H1220" s="393"/>
      <c r="I1220" s="196"/>
      <c r="J1220" s="114"/>
      <c r="AW1220" s="117"/>
      <c r="AX1220" s="117"/>
      <c r="AY1220" s="117"/>
      <c r="AZ1220" s="117"/>
      <c r="BA1220" s="117"/>
      <c r="BB1220" s="117"/>
      <c r="BC1220" s="117"/>
      <c r="BD1220" s="117"/>
    </row>
    <row r="1221" spans="1:56" ht="15">
      <c r="A1221" s="114"/>
      <c r="B1221" s="388" t="s">
        <v>1113</v>
      </c>
      <c r="C1221" s="389">
        <v>2.6307</v>
      </c>
      <c r="D1221" s="390" t="s">
        <v>10</v>
      </c>
      <c r="E1221" s="196"/>
      <c r="F1221" s="196"/>
      <c r="G1221" s="392"/>
      <c r="H1221" s="394"/>
      <c r="I1221" s="196"/>
      <c r="J1221" s="114"/>
      <c r="AW1221" s="117"/>
      <c r="AX1221" s="117"/>
      <c r="AY1221" s="117"/>
      <c r="AZ1221" s="117"/>
      <c r="BA1221" s="117"/>
      <c r="BB1221" s="117"/>
      <c r="BC1221" s="117"/>
      <c r="BD1221" s="117"/>
    </row>
    <row r="1222" spans="1:56" ht="15">
      <c r="A1222" s="114"/>
      <c r="B1222" s="388" t="s">
        <v>1117</v>
      </c>
      <c r="C1222" s="389">
        <v>1</v>
      </c>
      <c r="D1222" s="390" t="s">
        <v>1118</v>
      </c>
      <c r="E1222" s="196"/>
      <c r="F1222" s="196"/>
      <c r="G1222" s="392"/>
      <c r="H1222" s="393"/>
      <c r="I1222" s="196"/>
      <c r="J1222" s="114"/>
      <c r="AW1222" s="117"/>
      <c r="AX1222" s="117"/>
      <c r="AY1222" s="117"/>
      <c r="AZ1222" s="117"/>
      <c r="BA1222" s="117"/>
      <c r="BB1222" s="117"/>
      <c r="BC1222" s="117"/>
      <c r="BD1222" s="117"/>
    </row>
    <row r="1223" spans="1:56" ht="15">
      <c r="A1223" s="114"/>
      <c r="B1223" s="392"/>
      <c r="C1223" s="393"/>
      <c r="D1223" s="196"/>
      <c r="E1223" s="196"/>
      <c r="F1223" s="196"/>
      <c r="G1223" s="392"/>
      <c r="H1223" s="393"/>
      <c r="I1223" s="196"/>
      <c r="J1223" s="114"/>
      <c r="AW1223" s="117"/>
      <c r="AX1223" s="117"/>
      <c r="AY1223" s="117"/>
      <c r="AZ1223" s="117"/>
      <c r="BA1223" s="117"/>
      <c r="BB1223" s="117"/>
      <c r="BC1223" s="117"/>
      <c r="BD1223" s="117"/>
    </row>
    <row r="1224" spans="1:56" ht="15">
      <c r="A1224" s="114"/>
      <c r="B1224" s="388" t="s">
        <v>1114</v>
      </c>
      <c r="C1224" s="389">
        <v>0.6</v>
      </c>
      <c r="D1224" s="390" t="s">
        <v>10</v>
      </c>
      <c r="E1224" s="288" t="s">
        <v>1120</v>
      </c>
      <c r="F1224" s="288"/>
      <c r="G1224" s="230"/>
      <c r="H1224" s="395"/>
      <c r="I1224" s="196"/>
      <c r="J1224" s="114"/>
      <c r="AW1224" s="117"/>
      <c r="AX1224" s="117"/>
      <c r="AY1224" s="117"/>
      <c r="AZ1224" s="117"/>
      <c r="BA1224" s="117"/>
      <c r="BB1224" s="117"/>
      <c r="BC1224" s="117"/>
      <c r="BD1224" s="117"/>
    </row>
    <row r="1225" spans="1:56" ht="15">
      <c r="A1225" s="114"/>
      <c r="B1225" s="388" t="s">
        <v>1114</v>
      </c>
      <c r="C1225" s="389">
        <v>0.2</v>
      </c>
      <c r="D1225" s="390" t="s">
        <v>10</v>
      </c>
      <c r="E1225" s="288" t="s">
        <v>1121</v>
      </c>
      <c r="F1225" s="288"/>
      <c r="G1225" s="230"/>
      <c r="H1225" s="395"/>
      <c r="I1225" s="196"/>
      <c r="J1225" s="114"/>
      <c r="AW1225" s="117"/>
      <c r="AX1225" s="117"/>
      <c r="AY1225" s="117"/>
      <c r="AZ1225" s="117"/>
      <c r="BA1225" s="117"/>
      <c r="BB1225" s="117"/>
      <c r="BC1225" s="117"/>
      <c r="BD1225" s="117"/>
    </row>
    <row r="1226" spans="1:56" ht="15">
      <c r="A1226" s="114"/>
      <c r="B1226" s="196"/>
      <c r="C1226" s="196"/>
      <c r="D1226" s="196"/>
      <c r="E1226" s="196"/>
      <c r="F1226" s="196"/>
      <c r="G1226" s="196"/>
      <c r="H1226" s="196"/>
      <c r="I1226" s="196"/>
      <c r="J1226" s="114"/>
      <c r="AW1226" s="117"/>
      <c r="AX1226" s="117"/>
      <c r="AY1226" s="117"/>
      <c r="AZ1226" s="117"/>
      <c r="BA1226" s="117"/>
      <c r="BB1226" s="117"/>
      <c r="BC1226" s="117"/>
      <c r="BD1226" s="117"/>
    </row>
    <row r="1227" spans="1:56" ht="15">
      <c r="A1227" s="114"/>
      <c r="B1227" s="303" t="s">
        <v>1122</v>
      </c>
      <c r="C1227" s="362"/>
      <c r="D1227" s="362"/>
      <c r="E1227" s="196"/>
      <c r="F1227" s="196"/>
      <c r="G1227" s="196"/>
      <c r="H1227" s="196"/>
      <c r="I1227" s="196"/>
      <c r="J1227" s="114"/>
      <c r="AW1227" s="117"/>
      <c r="AX1227" s="117"/>
      <c r="AY1227" s="117"/>
      <c r="AZ1227" s="117"/>
      <c r="BA1227" s="117"/>
      <c r="BB1227" s="117"/>
      <c r="BC1227" s="117"/>
      <c r="BD1227" s="117"/>
    </row>
    <row r="1228" spans="1:56" ht="18">
      <c r="A1228" s="114"/>
      <c r="B1228" s="396" t="s">
        <v>1123</v>
      </c>
      <c r="C1228" s="289"/>
      <c r="D1228" s="290"/>
      <c r="E1228" s="397">
        <f>C1222*(C1224*2*(0.05+C1221+C1220)*C1219)</f>
        <v>4.6644179999999995</v>
      </c>
      <c r="F1228" s="390" t="s">
        <v>1124</v>
      </c>
      <c r="G1228" s="196"/>
      <c r="H1228" s="196"/>
      <c r="I1228" s="196"/>
      <c r="J1228" s="114"/>
      <c r="AW1228" s="117"/>
      <c r="AX1228" s="117"/>
      <c r="AY1228" s="117"/>
      <c r="AZ1228" s="117"/>
      <c r="BA1228" s="117"/>
      <c r="BB1228" s="117"/>
      <c r="BC1228" s="117"/>
      <c r="BD1228" s="117"/>
    </row>
    <row r="1229" spans="1:56" ht="18">
      <c r="A1229" s="114"/>
      <c r="B1229" s="398" t="s">
        <v>1125</v>
      </c>
      <c r="C1229" s="172"/>
      <c r="D1229" s="173"/>
      <c r="E1229" s="397">
        <f>E1228-(E1233+E1235)</f>
        <v>3.8725149999999995</v>
      </c>
      <c r="F1229" s="390" t="s">
        <v>1124</v>
      </c>
      <c r="G1229" s="196"/>
      <c r="H1229" s="196"/>
      <c r="I1229" s="196"/>
      <c r="J1229" s="114"/>
      <c r="AW1229" s="117"/>
      <c r="AX1229" s="117"/>
      <c r="AY1229" s="117"/>
      <c r="AZ1229" s="117"/>
      <c r="BA1229" s="117"/>
      <c r="BB1229" s="117"/>
      <c r="BC1229" s="117"/>
      <c r="BD1229" s="117"/>
    </row>
    <row r="1230" spans="1:56" ht="15">
      <c r="A1230" s="114"/>
      <c r="B1230" s="399" t="s">
        <v>1126</v>
      </c>
      <c r="C1230" s="317"/>
      <c r="D1230" s="318"/>
      <c r="E1230" s="400">
        <f>(2*C1225)*C1219</f>
        <v>0.57999999999999996</v>
      </c>
      <c r="F1230" s="390" t="s">
        <v>13</v>
      </c>
      <c r="G1230" s="196"/>
      <c r="H1230" s="196"/>
      <c r="I1230" s="196"/>
      <c r="J1230" s="114"/>
      <c r="AW1230" s="117"/>
      <c r="AX1230" s="117"/>
      <c r="AY1230" s="117"/>
      <c r="AZ1230" s="117"/>
      <c r="BA1230" s="117"/>
      <c r="BB1230" s="117"/>
      <c r="BC1230" s="117"/>
      <c r="BD1230" s="117"/>
    </row>
    <row r="1231" spans="1:56" ht="15">
      <c r="A1231" s="114"/>
      <c r="B1231" s="196"/>
      <c r="C1231" s="196"/>
      <c r="D1231" s="196"/>
      <c r="E1231" s="401"/>
      <c r="F1231" s="196"/>
      <c r="G1231" s="196"/>
      <c r="H1231" s="196"/>
      <c r="I1231" s="196"/>
      <c r="J1231" s="114"/>
      <c r="AW1231" s="117"/>
      <c r="AX1231" s="117"/>
      <c r="AY1231" s="117"/>
      <c r="AZ1231" s="117"/>
      <c r="BA1231" s="117"/>
      <c r="BB1231" s="117"/>
      <c r="BC1231" s="117"/>
      <c r="BD1231" s="117"/>
    </row>
    <row r="1232" spans="1:56" ht="15">
      <c r="A1232" s="114"/>
      <c r="B1232" s="303" t="s">
        <v>1127</v>
      </c>
      <c r="C1232" s="196"/>
      <c r="D1232" s="196"/>
      <c r="E1232" s="401"/>
      <c r="F1232" s="196"/>
      <c r="G1232" s="196"/>
      <c r="H1232" s="196"/>
      <c r="I1232" s="196"/>
      <c r="J1232" s="114"/>
      <c r="AW1232" s="117"/>
      <c r="AX1232" s="117"/>
      <c r="AY1232" s="117"/>
      <c r="AZ1232" s="117"/>
      <c r="BA1232" s="117"/>
      <c r="BB1232" s="117"/>
      <c r="BC1232" s="117"/>
      <c r="BD1232" s="117"/>
    </row>
    <row r="1233" spans="1:56" ht="18">
      <c r="A1233" s="114"/>
      <c r="B1233" s="398" t="s">
        <v>1128</v>
      </c>
      <c r="C1233" s="172"/>
      <c r="D1233" s="173"/>
      <c r="E1233" s="402">
        <f>E1230*0.05</f>
        <v>2.8999999999999998E-2</v>
      </c>
      <c r="F1233" s="390" t="s">
        <v>1124</v>
      </c>
      <c r="G1233" s="196"/>
      <c r="H1233" s="196"/>
      <c r="I1233" s="196"/>
      <c r="J1233" s="114"/>
      <c r="AW1233" s="117"/>
      <c r="AX1233" s="117"/>
      <c r="AY1233" s="117"/>
      <c r="AZ1233" s="117"/>
      <c r="BA1233" s="117"/>
      <c r="BB1233" s="117"/>
      <c r="BC1233" s="117"/>
      <c r="BD1233" s="117"/>
    </row>
    <row r="1234" spans="1:56" ht="15">
      <c r="A1234" s="114"/>
      <c r="B1234" s="398" t="s">
        <v>1129</v>
      </c>
      <c r="C1234" s="172"/>
      <c r="D1234" s="173"/>
      <c r="E1234" s="397">
        <f>C1221*2*C1219</f>
        <v>7.6290300000000002</v>
      </c>
      <c r="F1234" s="390" t="s">
        <v>13</v>
      </c>
      <c r="G1234" s="393" t="s">
        <v>1108</v>
      </c>
      <c r="H1234" s="196" t="s">
        <v>1131</v>
      </c>
      <c r="I1234" s="393"/>
      <c r="J1234" s="114"/>
      <c r="AW1234" s="117"/>
      <c r="AX1234" s="117"/>
      <c r="AY1234" s="117"/>
      <c r="AZ1234" s="117"/>
      <c r="BA1234" s="117"/>
      <c r="BB1234" s="117"/>
      <c r="BC1234" s="117"/>
      <c r="BD1234" s="117"/>
    </row>
    <row r="1235" spans="1:56" ht="18">
      <c r="A1235" s="114"/>
      <c r="B1235" s="398" t="s">
        <v>1130</v>
      </c>
      <c r="C1235" s="172"/>
      <c r="D1235" s="173"/>
      <c r="E1235" s="402">
        <f>C1218*C1219*C1221</f>
        <v>0.762903</v>
      </c>
      <c r="F1235" s="390" t="s">
        <v>1124</v>
      </c>
      <c r="G1235" s="196"/>
      <c r="H1235" s="196"/>
      <c r="I1235" s="196"/>
      <c r="J1235" s="114"/>
      <c r="AW1235" s="117"/>
      <c r="AX1235" s="117"/>
      <c r="AY1235" s="117"/>
      <c r="AZ1235" s="117"/>
      <c r="BA1235" s="117"/>
      <c r="BB1235" s="117"/>
      <c r="BC1235" s="117"/>
      <c r="BD1235" s="117"/>
    </row>
    <row r="1236" spans="1:56" ht="15">
      <c r="A1236" s="114"/>
      <c r="B1236" s="288"/>
      <c r="C1236" s="230"/>
      <c r="D1236" s="230"/>
      <c r="E1236" s="384"/>
      <c r="F1236" s="196"/>
      <c r="G1236" s="196"/>
      <c r="H1236" s="196"/>
      <c r="I1236" s="196"/>
      <c r="J1236" s="114"/>
      <c r="AW1236" s="117"/>
      <c r="AX1236" s="117"/>
      <c r="AY1236" s="117"/>
      <c r="AZ1236" s="117"/>
      <c r="BA1236" s="117"/>
      <c r="BB1236" s="117"/>
      <c r="BC1236" s="117"/>
      <c r="BD1236" s="117"/>
    </row>
    <row r="1237" spans="1:56" ht="15">
      <c r="A1237" s="114"/>
      <c r="B1237" s="293"/>
      <c r="C1237" s="387"/>
      <c r="D1237" s="387"/>
      <c r="E1237" s="387"/>
      <c r="F1237" s="387"/>
      <c r="G1237" s="387"/>
      <c r="H1237" s="386"/>
      <c r="I1237" s="386"/>
      <c r="J1237" s="114"/>
      <c r="AW1237" s="117"/>
      <c r="AX1237" s="117"/>
      <c r="AY1237" s="117"/>
      <c r="AZ1237" s="117"/>
      <c r="BA1237" s="117"/>
      <c r="BB1237" s="117"/>
      <c r="BC1237" s="117"/>
      <c r="BD1237" s="117"/>
    </row>
    <row r="1238" spans="1:56" ht="15">
      <c r="A1238" s="114"/>
      <c r="B1238" s="293"/>
      <c r="C1238" s="387"/>
      <c r="D1238" s="387"/>
      <c r="E1238" s="387"/>
      <c r="F1238" s="387"/>
      <c r="G1238" s="387"/>
      <c r="H1238" s="386"/>
      <c r="I1238" s="386"/>
      <c r="J1238" s="114"/>
      <c r="AW1238" s="117"/>
      <c r="AX1238" s="117"/>
      <c r="AY1238" s="117"/>
      <c r="AZ1238" s="117"/>
      <c r="BA1238" s="117"/>
      <c r="BB1238" s="117"/>
      <c r="BC1238" s="117"/>
      <c r="BD1238" s="117"/>
    </row>
    <row r="1239" spans="1:56">
      <c r="A1239" s="114"/>
      <c r="B1239" s="385" t="s">
        <v>1134</v>
      </c>
      <c r="C1239" s="196"/>
      <c r="D1239" s="196"/>
      <c r="E1239" s="196"/>
      <c r="F1239" s="196"/>
      <c r="G1239" s="196"/>
      <c r="H1239" s="196"/>
      <c r="I1239" s="196"/>
      <c r="J1239" s="114"/>
      <c r="AW1239" s="117"/>
      <c r="AX1239" s="117"/>
      <c r="AY1239" s="117"/>
      <c r="AZ1239" s="117"/>
      <c r="BA1239" s="117"/>
      <c r="BB1239" s="117"/>
      <c r="BC1239" s="117"/>
      <c r="BD1239" s="117"/>
    </row>
    <row r="1240" spans="1:56" ht="15">
      <c r="A1240" s="114"/>
      <c r="B1240" s="196"/>
      <c r="C1240" s="196"/>
      <c r="D1240" s="196"/>
      <c r="E1240" s="196"/>
      <c r="F1240" s="196"/>
      <c r="G1240" s="196"/>
      <c r="H1240" s="196"/>
      <c r="I1240" s="196"/>
      <c r="J1240" s="114"/>
      <c r="AW1240" s="117"/>
      <c r="AX1240" s="117"/>
      <c r="AY1240" s="117"/>
      <c r="AZ1240" s="117"/>
      <c r="BA1240" s="117"/>
      <c r="BB1240" s="117"/>
      <c r="BC1240" s="117"/>
      <c r="BD1240" s="117"/>
    </row>
    <row r="1241" spans="1:56" ht="15">
      <c r="A1241" s="114"/>
      <c r="B1241" s="388" t="s">
        <v>1110</v>
      </c>
      <c r="C1241" s="389">
        <v>0.2</v>
      </c>
      <c r="D1241" s="390" t="s">
        <v>10</v>
      </c>
      <c r="E1241" s="196"/>
      <c r="F1241" s="196"/>
      <c r="G1241" s="392"/>
      <c r="H1241" s="393"/>
      <c r="I1241" s="196"/>
      <c r="J1241" s="114"/>
      <c r="AW1241" s="117"/>
      <c r="AX1241" s="117"/>
      <c r="AY1241" s="117"/>
      <c r="AZ1241" s="117"/>
      <c r="BA1241" s="117"/>
      <c r="BB1241" s="117"/>
      <c r="BC1241" s="117"/>
      <c r="BD1241" s="117"/>
    </row>
    <row r="1242" spans="1:56" ht="15">
      <c r="A1242" s="114"/>
      <c r="B1242" s="388" t="s">
        <v>1111</v>
      </c>
      <c r="C1242" s="391">
        <v>63.2</v>
      </c>
      <c r="D1242" s="390" t="s">
        <v>10</v>
      </c>
      <c r="E1242" s="196"/>
      <c r="F1242" s="196"/>
      <c r="G1242" s="392"/>
      <c r="H1242" s="393"/>
      <c r="I1242" s="196"/>
      <c r="J1242" s="114"/>
      <c r="AW1242" s="117"/>
      <c r="AX1242" s="117"/>
      <c r="AY1242" s="117"/>
      <c r="AZ1242" s="117"/>
      <c r="BA1242" s="117"/>
      <c r="BB1242" s="117"/>
      <c r="BC1242" s="117"/>
      <c r="BD1242" s="117"/>
    </row>
    <row r="1243" spans="1:56" ht="15">
      <c r="A1243" s="114"/>
      <c r="B1243" s="388" t="s">
        <v>1112</v>
      </c>
      <c r="C1243" s="389">
        <v>1.85</v>
      </c>
      <c r="D1243" s="390" t="s">
        <v>10</v>
      </c>
      <c r="E1243" s="196"/>
      <c r="F1243" s="196"/>
      <c r="G1243" s="392"/>
      <c r="H1243" s="393"/>
      <c r="I1243" s="196"/>
      <c r="J1243" s="114"/>
      <c r="AW1243" s="117"/>
      <c r="AX1243" s="117"/>
      <c r="AY1243" s="117"/>
      <c r="AZ1243" s="117"/>
      <c r="BA1243" s="117"/>
      <c r="BB1243" s="117"/>
      <c r="BC1243" s="117"/>
      <c r="BD1243" s="117"/>
    </row>
    <row r="1244" spans="1:56" ht="15">
      <c r="A1244" s="114"/>
      <c r="B1244" s="388" t="s">
        <v>1113</v>
      </c>
      <c r="C1244" s="389">
        <v>0.6</v>
      </c>
      <c r="D1244" s="390" t="s">
        <v>10</v>
      </c>
      <c r="E1244" s="196"/>
      <c r="F1244" s="196"/>
      <c r="G1244" s="392"/>
      <c r="H1244" s="394"/>
      <c r="I1244" s="196"/>
      <c r="J1244" s="114"/>
      <c r="AW1244" s="117"/>
      <c r="AX1244" s="117"/>
      <c r="AY1244" s="117"/>
      <c r="AZ1244" s="117"/>
      <c r="BA1244" s="117"/>
      <c r="BB1244" s="117"/>
      <c r="BC1244" s="117"/>
      <c r="BD1244" s="117"/>
    </row>
    <row r="1245" spans="1:56" ht="15">
      <c r="A1245" s="114"/>
      <c r="B1245" s="388" t="s">
        <v>1117</v>
      </c>
      <c r="C1245" s="389">
        <v>1</v>
      </c>
      <c r="D1245" s="390" t="s">
        <v>1118</v>
      </c>
      <c r="E1245" s="196"/>
      <c r="F1245" s="196"/>
      <c r="G1245" s="392"/>
      <c r="H1245" s="393"/>
      <c r="I1245" s="196"/>
      <c r="J1245" s="114"/>
      <c r="AW1245" s="117"/>
      <c r="AX1245" s="117"/>
      <c r="AY1245" s="117"/>
      <c r="AZ1245" s="117"/>
      <c r="BA1245" s="117"/>
      <c r="BB1245" s="117"/>
      <c r="BC1245" s="117"/>
      <c r="BD1245" s="117"/>
    </row>
    <row r="1246" spans="1:56" ht="15">
      <c r="A1246" s="114"/>
      <c r="B1246" s="392"/>
      <c r="C1246" s="393"/>
      <c r="D1246" s="196"/>
      <c r="E1246" s="196"/>
      <c r="F1246" s="196"/>
      <c r="G1246" s="392"/>
      <c r="H1246" s="393"/>
      <c r="I1246" s="196"/>
      <c r="J1246" s="114"/>
      <c r="AW1246" s="117"/>
      <c r="AX1246" s="117"/>
      <c r="AY1246" s="117"/>
      <c r="AZ1246" s="117"/>
      <c r="BA1246" s="117"/>
      <c r="BB1246" s="117"/>
      <c r="BC1246" s="117"/>
      <c r="BD1246" s="117"/>
    </row>
    <row r="1247" spans="1:56" ht="15">
      <c r="A1247" s="114"/>
      <c r="B1247" s="388" t="s">
        <v>1114</v>
      </c>
      <c r="C1247" s="389">
        <v>0.6</v>
      </c>
      <c r="D1247" s="390" t="s">
        <v>10</v>
      </c>
      <c r="E1247" s="288" t="s">
        <v>1120</v>
      </c>
      <c r="F1247" s="288"/>
      <c r="G1247" s="230"/>
      <c r="H1247" s="395"/>
      <c r="I1247" s="196"/>
      <c r="J1247" s="114"/>
      <c r="AW1247" s="117"/>
      <c r="AX1247" s="117"/>
      <c r="AY1247" s="117"/>
      <c r="AZ1247" s="117"/>
      <c r="BA1247" s="117"/>
      <c r="BB1247" s="117"/>
      <c r="BC1247" s="117"/>
      <c r="BD1247" s="117"/>
    </row>
    <row r="1248" spans="1:56" ht="15">
      <c r="A1248" s="114"/>
      <c r="B1248" s="388" t="s">
        <v>1114</v>
      </c>
      <c r="C1248" s="389">
        <v>0.2</v>
      </c>
      <c r="D1248" s="390" t="s">
        <v>10</v>
      </c>
      <c r="E1248" s="288" t="s">
        <v>1121</v>
      </c>
      <c r="F1248" s="288"/>
      <c r="G1248" s="230"/>
      <c r="H1248" s="395"/>
      <c r="I1248" s="196"/>
      <c r="J1248" s="114"/>
      <c r="AW1248" s="117"/>
      <c r="AX1248" s="117"/>
      <c r="AY1248" s="117"/>
      <c r="AZ1248" s="117"/>
      <c r="BA1248" s="117"/>
      <c r="BB1248" s="117"/>
      <c r="BC1248" s="117"/>
      <c r="BD1248" s="117"/>
    </row>
    <row r="1249" spans="1:56" ht="15">
      <c r="A1249" s="114"/>
      <c r="B1249" s="196"/>
      <c r="C1249" s="196"/>
      <c r="D1249" s="196"/>
      <c r="E1249" s="196"/>
      <c r="F1249" s="196"/>
      <c r="G1249" s="196"/>
      <c r="H1249" s="196"/>
      <c r="I1249" s="196"/>
      <c r="J1249" s="114"/>
      <c r="AW1249" s="117"/>
      <c r="AX1249" s="117"/>
      <c r="AY1249" s="117"/>
      <c r="AZ1249" s="117"/>
      <c r="BA1249" s="117"/>
      <c r="BB1249" s="117"/>
      <c r="BC1249" s="117"/>
      <c r="BD1249" s="117"/>
    </row>
    <row r="1250" spans="1:56" ht="15">
      <c r="A1250" s="114"/>
      <c r="B1250" s="303" t="s">
        <v>1122</v>
      </c>
      <c r="C1250" s="362"/>
      <c r="D1250" s="362"/>
      <c r="E1250" s="196"/>
      <c r="F1250" s="196"/>
      <c r="G1250" s="196"/>
      <c r="H1250" s="196"/>
      <c r="I1250" s="196"/>
      <c r="J1250" s="114"/>
      <c r="AW1250" s="117"/>
      <c r="AX1250" s="117"/>
      <c r="AY1250" s="117"/>
      <c r="AZ1250" s="117"/>
      <c r="BA1250" s="117"/>
      <c r="BB1250" s="117"/>
      <c r="BC1250" s="117"/>
      <c r="BD1250" s="117"/>
    </row>
    <row r="1251" spans="1:56" ht="18">
      <c r="A1251" s="114"/>
      <c r="B1251" s="396" t="s">
        <v>1123</v>
      </c>
      <c r="C1251" s="289"/>
      <c r="D1251" s="290"/>
      <c r="E1251" s="397">
        <f>C1245*(C1247*2*(0.05+C1244+C1243)*C1242)</f>
        <v>189.60000000000002</v>
      </c>
      <c r="F1251" s="390" t="s">
        <v>1124</v>
      </c>
      <c r="G1251" s="196"/>
      <c r="H1251" s="196"/>
      <c r="I1251" s="196"/>
      <c r="J1251" s="114"/>
      <c r="AW1251" s="117"/>
      <c r="AX1251" s="117"/>
      <c r="AY1251" s="117"/>
      <c r="AZ1251" s="117"/>
      <c r="BA1251" s="117"/>
      <c r="BB1251" s="117"/>
      <c r="BC1251" s="117"/>
      <c r="BD1251" s="117"/>
    </row>
    <row r="1252" spans="1:56" ht="18">
      <c r="A1252" s="114"/>
      <c r="B1252" s="398" t="s">
        <v>1125</v>
      </c>
      <c r="C1252" s="172"/>
      <c r="D1252" s="173"/>
      <c r="E1252" s="397">
        <f>E1251-(E1256+E1258)</f>
        <v>180.75200000000001</v>
      </c>
      <c r="F1252" s="390" t="s">
        <v>1124</v>
      </c>
      <c r="G1252" s="196"/>
      <c r="H1252" s="196"/>
      <c r="I1252" s="196"/>
      <c r="J1252" s="114"/>
      <c r="AW1252" s="117"/>
      <c r="AX1252" s="117"/>
      <c r="AY1252" s="117"/>
      <c r="AZ1252" s="117"/>
      <c r="BA1252" s="117"/>
      <c r="BB1252" s="117"/>
      <c r="BC1252" s="117"/>
      <c r="BD1252" s="117"/>
    </row>
    <row r="1253" spans="1:56" ht="15">
      <c r="A1253" s="114"/>
      <c r="B1253" s="399" t="s">
        <v>1126</v>
      </c>
      <c r="C1253" s="317"/>
      <c r="D1253" s="318"/>
      <c r="E1253" s="400">
        <f>(2*C1248)*C1242</f>
        <v>25.28</v>
      </c>
      <c r="F1253" s="390" t="s">
        <v>13</v>
      </c>
      <c r="G1253" s="196"/>
      <c r="H1253" s="196"/>
      <c r="I1253" s="196"/>
      <c r="J1253" s="114"/>
      <c r="AW1253" s="117"/>
      <c r="AX1253" s="117"/>
      <c r="AY1253" s="117"/>
      <c r="AZ1253" s="117"/>
      <c r="BA1253" s="117"/>
      <c r="BB1253" s="117"/>
      <c r="BC1253" s="117"/>
      <c r="BD1253" s="117"/>
    </row>
    <row r="1254" spans="1:56" ht="15">
      <c r="A1254" s="114"/>
      <c r="B1254" s="196"/>
      <c r="C1254" s="196"/>
      <c r="D1254" s="196"/>
      <c r="E1254" s="401"/>
      <c r="F1254" s="196"/>
      <c r="G1254" s="196"/>
      <c r="H1254" s="196"/>
      <c r="I1254" s="196"/>
      <c r="J1254" s="114"/>
      <c r="AW1254" s="117"/>
      <c r="AX1254" s="117"/>
      <c r="AY1254" s="117"/>
      <c r="AZ1254" s="117"/>
      <c r="BA1254" s="117"/>
      <c r="BB1254" s="117"/>
      <c r="BC1254" s="117"/>
      <c r="BD1254" s="117"/>
    </row>
    <row r="1255" spans="1:56" ht="15">
      <c r="A1255" s="114"/>
      <c r="B1255" s="303" t="s">
        <v>1127</v>
      </c>
      <c r="C1255" s="196"/>
      <c r="D1255" s="196"/>
      <c r="E1255" s="401"/>
      <c r="F1255" s="196"/>
      <c r="G1255" s="196"/>
      <c r="H1255" s="196"/>
      <c r="I1255" s="196"/>
      <c r="J1255" s="114"/>
      <c r="AW1255" s="117"/>
      <c r="AX1255" s="117"/>
      <c r="AY1255" s="117"/>
      <c r="AZ1255" s="117"/>
      <c r="BA1255" s="117"/>
      <c r="BB1255" s="117"/>
      <c r="BC1255" s="117"/>
      <c r="BD1255" s="117"/>
    </row>
    <row r="1256" spans="1:56" ht="18">
      <c r="A1256" s="114"/>
      <c r="B1256" s="398" t="s">
        <v>1128</v>
      </c>
      <c r="C1256" s="172"/>
      <c r="D1256" s="173"/>
      <c r="E1256" s="402">
        <f>E1253*0.05</f>
        <v>1.2640000000000002</v>
      </c>
      <c r="F1256" s="390" t="s">
        <v>1124</v>
      </c>
      <c r="G1256" s="196"/>
      <c r="H1256" s="196"/>
      <c r="I1256" s="196"/>
      <c r="J1256" s="114"/>
      <c r="AW1256" s="117"/>
      <c r="AX1256" s="117"/>
      <c r="AY1256" s="117"/>
      <c r="AZ1256" s="117"/>
      <c r="BA1256" s="117"/>
      <c r="BB1256" s="117"/>
      <c r="BC1256" s="117"/>
      <c r="BD1256" s="117"/>
    </row>
    <row r="1257" spans="1:56" ht="15">
      <c r="A1257" s="114"/>
      <c r="B1257" s="398" t="s">
        <v>1129</v>
      </c>
      <c r="C1257" s="172"/>
      <c r="D1257" s="173"/>
      <c r="E1257" s="397">
        <f>C1244*2*C1242</f>
        <v>75.84</v>
      </c>
      <c r="F1257" s="390" t="s">
        <v>13</v>
      </c>
      <c r="G1257" s="393" t="s">
        <v>1108</v>
      </c>
      <c r="H1257" s="196" t="s">
        <v>1131</v>
      </c>
      <c r="I1257" s="393"/>
      <c r="J1257" s="114"/>
      <c r="AW1257" s="117"/>
      <c r="AX1257" s="117"/>
      <c r="AY1257" s="117"/>
      <c r="AZ1257" s="117"/>
      <c r="BA1257" s="117"/>
      <c r="BB1257" s="117"/>
      <c r="BC1257" s="117"/>
      <c r="BD1257" s="117"/>
    </row>
    <row r="1258" spans="1:56" ht="18">
      <c r="A1258" s="114"/>
      <c r="B1258" s="398" t="s">
        <v>1130</v>
      </c>
      <c r="C1258" s="172"/>
      <c r="D1258" s="173"/>
      <c r="E1258" s="402">
        <f>C1241*C1242*C1244</f>
        <v>7.5839999999999996</v>
      </c>
      <c r="F1258" s="390" t="s">
        <v>1124</v>
      </c>
      <c r="G1258" s="196"/>
      <c r="H1258" s="196"/>
      <c r="I1258" s="196"/>
      <c r="J1258" s="114"/>
      <c r="AW1258" s="117"/>
      <c r="AX1258" s="117"/>
      <c r="AY1258" s="117"/>
      <c r="AZ1258" s="117"/>
      <c r="BA1258" s="117"/>
      <c r="BB1258" s="117"/>
      <c r="BC1258" s="117"/>
      <c r="BD1258" s="117"/>
    </row>
    <row r="1259" spans="1:56" ht="15">
      <c r="A1259" s="114"/>
      <c r="B1259" s="288"/>
      <c r="C1259" s="230"/>
      <c r="D1259" s="230"/>
      <c r="E1259" s="384"/>
      <c r="F1259" s="196"/>
      <c r="G1259" s="196"/>
      <c r="H1259" s="196"/>
      <c r="I1259" s="196"/>
      <c r="J1259" s="114"/>
      <c r="AW1259" s="117"/>
      <c r="AX1259" s="117"/>
      <c r="AY1259" s="117"/>
      <c r="AZ1259" s="117"/>
      <c r="BA1259" s="117"/>
      <c r="BB1259" s="117"/>
      <c r="BC1259" s="117"/>
      <c r="BD1259" s="117"/>
    </row>
    <row r="1260" spans="1:56" ht="15">
      <c r="A1260" s="114"/>
      <c r="B1260" s="293"/>
      <c r="C1260" s="387"/>
      <c r="D1260" s="387"/>
      <c r="E1260" s="387"/>
      <c r="F1260" s="387"/>
      <c r="G1260" s="387"/>
      <c r="H1260" s="386"/>
      <c r="I1260" s="386"/>
      <c r="J1260" s="114"/>
      <c r="AW1260" s="117"/>
      <c r="AX1260" s="117"/>
      <c r="AY1260" s="117"/>
      <c r="AZ1260" s="117"/>
      <c r="BA1260" s="117"/>
      <c r="BB1260" s="117"/>
      <c r="BC1260" s="117"/>
      <c r="BD1260" s="117"/>
    </row>
    <row r="1261" spans="1:56" ht="15">
      <c r="A1261" s="114"/>
      <c r="B1261" s="293"/>
      <c r="C1261" s="387"/>
      <c r="D1261" s="387"/>
      <c r="E1261" s="387"/>
      <c r="F1261" s="387"/>
      <c r="G1261" s="387"/>
      <c r="H1261" s="386"/>
      <c r="I1261" s="386"/>
      <c r="J1261" s="114"/>
      <c r="AW1261" s="117"/>
      <c r="AX1261" s="117"/>
      <c r="AY1261" s="117"/>
      <c r="AZ1261" s="117"/>
      <c r="BA1261" s="117"/>
      <c r="BB1261" s="117"/>
      <c r="BC1261" s="117"/>
      <c r="BD1261" s="117"/>
    </row>
    <row r="1262" spans="1:56">
      <c r="A1262" s="114"/>
      <c r="B1262" s="385" t="s">
        <v>1135</v>
      </c>
      <c r="C1262" s="196"/>
      <c r="D1262" s="196"/>
      <c r="E1262" s="196"/>
      <c r="F1262" s="196"/>
      <c r="G1262" s="196"/>
      <c r="H1262" s="196"/>
      <c r="I1262" s="196"/>
      <c r="J1262" s="114"/>
      <c r="AW1262" s="117"/>
      <c r="AX1262" s="117"/>
      <c r="AY1262" s="117"/>
      <c r="AZ1262" s="117"/>
      <c r="BA1262" s="117"/>
      <c r="BB1262" s="117"/>
      <c r="BC1262" s="117"/>
      <c r="BD1262" s="117"/>
    </row>
    <row r="1263" spans="1:56" ht="15">
      <c r="A1263" s="114"/>
      <c r="B1263" s="196"/>
      <c r="C1263" s="196"/>
      <c r="D1263" s="196"/>
      <c r="E1263" s="196"/>
      <c r="F1263" s="196"/>
      <c r="G1263" s="196"/>
      <c r="H1263" s="196"/>
      <c r="I1263" s="196"/>
      <c r="J1263" s="114"/>
      <c r="AW1263" s="117"/>
      <c r="AX1263" s="117"/>
      <c r="AY1263" s="117"/>
      <c r="AZ1263" s="117"/>
      <c r="BA1263" s="117"/>
      <c r="BB1263" s="117"/>
      <c r="BC1263" s="117"/>
      <c r="BD1263" s="117"/>
    </row>
    <row r="1264" spans="1:56" ht="15">
      <c r="A1264" s="114"/>
      <c r="B1264" s="388" t="s">
        <v>1110</v>
      </c>
      <c r="C1264" s="389">
        <v>0.2</v>
      </c>
      <c r="D1264" s="390" t="s">
        <v>10</v>
      </c>
      <c r="E1264" s="196"/>
      <c r="F1264" s="196"/>
      <c r="G1264" s="392"/>
      <c r="H1264" s="393"/>
      <c r="I1264" s="196"/>
      <c r="J1264" s="114"/>
      <c r="AW1264" s="117"/>
      <c r="AX1264" s="117"/>
      <c r="AY1264" s="117"/>
      <c r="AZ1264" s="117"/>
      <c r="BA1264" s="117"/>
      <c r="BB1264" s="117"/>
      <c r="BC1264" s="117"/>
      <c r="BD1264" s="117"/>
    </row>
    <row r="1265" spans="1:56" ht="15">
      <c r="A1265" s="114"/>
      <c r="B1265" s="388" t="s">
        <v>1111</v>
      </c>
      <c r="C1265" s="391">
        <v>4.1749999999999998</v>
      </c>
      <c r="D1265" s="390" t="s">
        <v>10</v>
      </c>
      <c r="E1265" s="196"/>
      <c r="F1265" s="196"/>
      <c r="G1265" s="392"/>
      <c r="H1265" s="393"/>
      <c r="I1265" s="196"/>
      <c r="J1265" s="114"/>
      <c r="AW1265" s="117"/>
      <c r="AX1265" s="117"/>
      <c r="AY1265" s="117"/>
      <c r="AZ1265" s="117"/>
      <c r="BA1265" s="117"/>
      <c r="BB1265" s="117"/>
      <c r="BC1265" s="117"/>
      <c r="BD1265" s="117"/>
    </row>
    <row r="1266" spans="1:56" ht="15">
      <c r="A1266" s="114"/>
      <c r="B1266" s="388" t="s">
        <v>1112</v>
      </c>
      <c r="C1266" s="389">
        <v>1.85</v>
      </c>
      <c r="D1266" s="390" t="s">
        <v>10</v>
      </c>
      <c r="E1266" s="196"/>
      <c r="F1266" s="196"/>
      <c r="G1266" s="392"/>
      <c r="H1266" s="393"/>
      <c r="I1266" s="196"/>
      <c r="J1266" s="114"/>
      <c r="AW1266" s="117"/>
      <c r="AX1266" s="117"/>
      <c r="AY1266" s="117"/>
      <c r="AZ1266" s="117"/>
      <c r="BA1266" s="117"/>
      <c r="BB1266" s="117"/>
      <c r="BC1266" s="117"/>
      <c r="BD1266" s="117"/>
    </row>
    <row r="1267" spans="1:56" ht="15">
      <c r="A1267" s="114"/>
      <c r="B1267" s="388" t="s">
        <v>1113</v>
      </c>
      <c r="C1267" s="389">
        <v>0.4</v>
      </c>
      <c r="D1267" s="390" t="s">
        <v>10</v>
      </c>
      <c r="E1267" s="196"/>
      <c r="F1267" s="196"/>
      <c r="G1267" s="392"/>
      <c r="H1267" s="394"/>
      <c r="I1267" s="196"/>
      <c r="J1267" s="114"/>
      <c r="AW1267" s="117"/>
      <c r="AX1267" s="117"/>
      <c r="AY1267" s="117"/>
      <c r="AZ1267" s="117"/>
      <c r="BA1267" s="117"/>
      <c r="BB1267" s="117"/>
      <c r="BC1267" s="117"/>
      <c r="BD1267" s="117"/>
    </row>
    <row r="1268" spans="1:56" ht="15">
      <c r="A1268" s="114"/>
      <c r="B1268" s="388" t="s">
        <v>1117</v>
      </c>
      <c r="C1268" s="389">
        <v>1</v>
      </c>
      <c r="D1268" s="390" t="s">
        <v>1118</v>
      </c>
      <c r="E1268" s="196"/>
      <c r="F1268" s="196"/>
      <c r="G1268" s="392"/>
      <c r="H1268" s="393"/>
      <c r="I1268" s="196"/>
      <c r="J1268" s="114"/>
      <c r="AW1268" s="117"/>
      <c r="AX1268" s="117"/>
      <c r="AY1268" s="117"/>
      <c r="AZ1268" s="117"/>
      <c r="BA1268" s="117"/>
      <c r="BB1268" s="117"/>
      <c r="BC1268" s="117"/>
      <c r="BD1268" s="117"/>
    </row>
    <row r="1269" spans="1:56" ht="15">
      <c r="A1269" s="114"/>
      <c r="B1269" s="392"/>
      <c r="C1269" s="393"/>
      <c r="D1269" s="196"/>
      <c r="E1269" s="196"/>
      <c r="F1269" s="196"/>
      <c r="G1269" s="392"/>
      <c r="H1269" s="393"/>
      <c r="I1269" s="196"/>
      <c r="J1269" s="114"/>
      <c r="AW1269" s="117"/>
      <c r="AX1269" s="117"/>
      <c r="AY1269" s="117"/>
      <c r="AZ1269" s="117"/>
      <c r="BA1269" s="117"/>
      <c r="BB1269" s="117"/>
      <c r="BC1269" s="117"/>
      <c r="BD1269" s="117"/>
    </row>
    <row r="1270" spans="1:56" ht="15">
      <c r="A1270" s="114"/>
      <c r="B1270" s="388" t="s">
        <v>1114</v>
      </c>
      <c r="C1270" s="389">
        <v>0.6</v>
      </c>
      <c r="D1270" s="390" t="s">
        <v>10</v>
      </c>
      <c r="E1270" s="288" t="s">
        <v>1120</v>
      </c>
      <c r="F1270" s="288"/>
      <c r="G1270" s="230"/>
      <c r="H1270" s="395"/>
      <c r="I1270" s="196"/>
      <c r="J1270" s="114"/>
      <c r="AW1270" s="117"/>
      <c r="AX1270" s="117"/>
      <c r="AY1270" s="117"/>
      <c r="AZ1270" s="117"/>
      <c r="BA1270" s="117"/>
      <c r="BB1270" s="117"/>
      <c r="BC1270" s="117"/>
      <c r="BD1270" s="117"/>
    </row>
    <row r="1271" spans="1:56" ht="15">
      <c r="A1271" s="114"/>
      <c r="B1271" s="388" t="s">
        <v>1114</v>
      </c>
      <c r="C1271" s="389">
        <v>0.2</v>
      </c>
      <c r="D1271" s="390" t="s">
        <v>10</v>
      </c>
      <c r="E1271" s="288" t="s">
        <v>1121</v>
      </c>
      <c r="F1271" s="288"/>
      <c r="G1271" s="230"/>
      <c r="H1271" s="395"/>
      <c r="I1271" s="196"/>
      <c r="J1271" s="114"/>
      <c r="AW1271" s="117"/>
      <c r="AX1271" s="117"/>
      <c r="AY1271" s="117"/>
      <c r="AZ1271" s="117"/>
      <c r="BA1271" s="117"/>
      <c r="BB1271" s="117"/>
      <c r="BC1271" s="117"/>
      <c r="BD1271" s="117"/>
    </row>
    <row r="1272" spans="1:56" ht="15">
      <c r="A1272" s="114"/>
      <c r="B1272" s="196"/>
      <c r="C1272" s="196"/>
      <c r="D1272" s="196"/>
      <c r="E1272" s="196"/>
      <c r="F1272" s="196"/>
      <c r="G1272" s="196"/>
      <c r="H1272" s="196"/>
      <c r="I1272" s="196"/>
      <c r="J1272" s="114"/>
      <c r="AW1272" s="117"/>
      <c r="AX1272" s="117"/>
      <c r="AY1272" s="117"/>
      <c r="AZ1272" s="117"/>
      <c r="BA1272" s="117"/>
      <c r="BB1272" s="117"/>
      <c r="BC1272" s="117"/>
      <c r="BD1272" s="117"/>
    </row>
    <row r="1273" spans="1:56" ht="15">
      <c r="A1273" s="114"/>
      <c r="B1273" s="303" t="s">
        <v>1122</v>
      </c>
      <c r="C1273" s="362"/>
      <c r="D1273" s="362"/>
      <c r="E1273" s="196"/>
      <c r="F1273" s="196"/>
      <c r="G1273" s="196"/>
      <c r="H1273" s="196"/>
      <c r="I1273" s="196"/>
      <c r="J1273" s="114"/>
      <c r="AW1273" s="117"/>
      <c r="AX1273" s="117"/>
      <c r="AY1273" s="117"/>
      <c r="AZ1273" s="117"/>
      <c r="BA1273" s="117"/>
      <c r="BB1273" s="117"/>
      <c r="BC1273" s="117"/>
      <c r="BD1273" s="117"/>
    </row>
    <row r="1274" spans="1:56" ht="18">
      <c r="A1274" s="114"/>
      <c r="B1274" s="396" t="s">
        <v>1123</v>
      </c>
      <c r="C1274" s="289"/>
      <c r="D1274" s="290"/>
      <c r="E1274" s="397">
        <f>C1268*(C1270*2*(0.05+C1267+C1266)*C1265)</f>
        <v>11.523</v>
      </c>
      <c r="F1274" s="390" t="s">
        <v>1124</v>
      </c>
      <c r="G1274" s="196"/>
      <c r="H1274" s="196"/>
      <c r="I1274" s="196"/>
      <c r="J1274" s="114"/>
      <c r="AW1274" s="117"/>
      <c r="AX1274" s="117"/>
      <c r="AY1274" s="117"/>
      <c r="AZ1274" s="117"/>
      <c r="BA1274" s="117"/>
      <c r="BB1274" s="117"/>
      <c r="BC1274" s="117"/>
      <c r="BD1274" s="117"/>
    </row>
    <row r="1275" spans="1:56" ht="18">
      <c r="A1275" s="114"/>
      <c r="B1275" s="398" t="s">
        <v>1125</v>
      </c>
      <c r="C1275" s="172"/>
      <c r="D1275" s="173"/>
      <c r="E1275" s="397">
        <f>E1274-(E1279+E1281)</f>
        <v>11.105499999999999</v>
      </c>
      <c r="F1275" s="390" t="s">
        <v>1124</v>
      </c>
      <c r="G1275" s="196"/>
      <c r="H1275" s="196"/>
      <c r="I1275" s="196"/>
      <c r="J1275" s="114"/>
      <c r="AW1275" s="117"/>
      <c r="AX1275" s="117"/>
      <c r="AY1275" s="117"/>
      <c r="AZ1275" s="117"/>
      <c r="BA1275" s="117"/>
      <c r="BB1275" s="117"/>
      <c r="BC1275" s="117"/>
      <c r="BD1275" s="117"/>
    </row>
    <row r="1276" spans="1:56" ht="15">
      <c r="A1276" s="114"/>
      <c r="B1276" s="399" t="s">
        <v>1126</v>
      </c>
      <c r="C1276" s="317"/>
      <c r="D1276" s="318"/>
      <c r="E1276" s="400">
        <f>(2*C1271)*C1265</f>
        <v>1.67</v>
      </c>
      <c r="F1276" s="390" t="s">
        <v>13</v>
      </c>
      <c r="G1276" s="196"/>
      <c r="H1276" s="196"/>
      <c r="I1276" s="196"/>
      <c r="J1276" s="114"/>
      <c r="AW1276" s="117"/>
      <c r="AX1276" s="117"/>
      <c r="AY1276" s="117"/>
      <c r="AZ1276" s="117"/>
      <c r="BA1276" s="117"/>
      <c r="BB1276" s="117"/>
      <c r="BC1276" s="117"/>
      <c r="BD1276" s="117"/>
    </row>
    <row r="1277" spans="1:56" ht="15">
      <c r="A1277" s="114"/>
      <c r="B1277" s="196"/>
      <c r="C1277" s="196"/>
      <c r="D1277" s="196"/>
      <c r="E1277" s="401"/>
      <c r="F1277" s="196"/>
      <c r="G1277" s="196"/>
      <c r="H1277" s="196"/>
      <c r="I1277" s="196"/>
      <c r="J1277" s="114"/>
      <c r="AW1277" s="117"/>
      <c r="AX1277" s="117"/>
      <c r="AY1277" s="117"/>
      <c r="AZ1277" s="117"/>
      <c r="BA1277" s="117"/>
      <c r="BB1277" s="117"/>
      <c r="BC1277" s="117"/>
      <c r="BD1277" s="117"/>
    </row>
    <row r="1278" spans="1:56" ht="15">
      <c r="A1278" s="114"/>
      <c r="B1278" s="303" t="s">
        <v>1127</v>
      </c>
      <c r="C1278" s="196"/>
      <c r="D1278" s="196"/>
      <c r="E1278" s="401"/>
      <c r="F1278" s="196"/>
      <c r="G1278" s="196"/>
      <c r="H1278" s="196"/>
      <c r="I1278" s="196"/>
      <c r="J1278" s="114"/>
      <c r="AW1278" s="117"/>
      <c r="AX1278" s="117"/>
      <c r="AY1278" s="117"/>
      <c r="AZ1278" s="117"/>
      <c r="BA1278" s="117"/>
      <c r="BB1278" s="117"/>
      <c r="BC1278" s="117"/>
      <c r="BD1278" s="117"/>
    </row>
    <row r="1279" spans="1:56" ht="18">
      <c r="A1279" s="114"/>
      <c r="B1279" s="398" t="s">
        <v>1128</v>
      </c>
      <c r="C1279" s="172"/>
      <c r="D1279" s="173"/>
      <c r="E1279" s="402">
        <f>E1276*0.05</f>
        <v>8.3500000000000005E-2</v>
      </c>
      <c r="F1279" s="390" t="s">
        <v>1124</v>
      </c>
      <c r="G1279" s="196"/>
      <c r="H1279" s="196"/>
      <c r="I1279" s="196"/>
      <c r="J1279" s="114"/>
      <c r="AW1279" s="117"/>
      <c r="AX1279" s="117"/>
      <c r="AY1279" s="117"/>
      <c r="AZ1279" s="117"/>
      <c r="BA1279" s="117"/>
      <c r="BB1279" s="117"/>
      <c r="BC1279" s="117"/>
      <c r="BD1279" s="117"/>
    </row>
    <row r="1280" spans="1:56" ht="15">
      <c r="A1280" s="114"/>
      <c r="B1280" s="398" t="s">
        <v>1129</v>
      </c>
      <c r="C1280" s="172"/>
      <c r="D1280" s="173"/>
      <c r="E1280" s="397">
        <f>C1267*2*C1265</f>
        <v>3.34</v>
      </c>
      <c r="F1280" s="390" t="s">
        <v>13</v>
      </c>
      <c r="G1280" s="393" t="s">
        <v>1108</v>
      </c>
      <c r="H1280" s="196" t="s">
        <v>1131</v>
      </c>
      <c r="I1280" s="393"/>
      <c r="J1280" s="114"/>
      <c r="AW1280" s="117"/>
      <c r="AX1280" s="117"/>
      <c r="AY1280" s="117"/>
      <c r="AZ1280" s="117"/>
      <c r="BA1280" s="117"/>
      <c r="BB1280" s="117"/>
      <c r="BC1280" s="117"/>
      <c r="BD1280" s="117"/>
    </row>
    <row r="1281" spans="1:56" ht="18">
      <c r="A1281" s="114"/>
      <c r="B1281" s="398" t="s">
        <v>1130</v>
      </c>
      <c r="C1281" s="172"/>
      <c r="D1281" s="173"/>
      <c r="E1281" s="402">
        <f>C1264*C1265*C1267</f>
        <v>0.33400000000000002</v>
      </c>
      <c r="F1281" s="390" t="s">
        <v>1124</v>
      </c>
      <c r="G1281" s="196"/>
      <c r="H1281" s="196"/>
      <c r="I1281" s="196"/>
      <c r="J1281" s="114"/>
      <c r="AW1281" s="117"/>
      <c r="AX1281" s="117"/>
      <c r="AY1281" s="117"/>
      <c r="AZ1281" s="117"/>
      <c r="BA1281" s="117"/>
      <c r="BB1281" s="117"/>
      <c r="BC1281" s="117"/>
      <c r="BD1281" s="117"/>
    </row>
    <row r="1282" spans="1:56" ht="15">
      <c r="A1282" s="114"/>
      <c r="B1282" s="288"/>
      <c r="C1282" s="230"/>
      <c r="D1282" s="230"/>
      <c r="E1282" s="384"/>
      <c r="F1282" s="196"/>
      <c r="G1282" s="196"/>
      <c r="H1282" s="196"/>
      <c r="I1282" s="196"/>
      <c r="J1282" s="114"/>
      <c r="AW1282" s="117"/>
      <c r="AX1282" s="117"/>
      <c r="AY1282" s="117"/>
      <c r="AZ1282" s="117"/>
      <c r="BA1282" s="117"/>
      <c r="BB1282" s="117"/>
      <c r="BC1282" s="117"/>
      <c r="BD1282" s="117"/>
    </row>
    <row r="1283" spans="1:56" ht="15">
      <c r="A1283" s="114"/>
      <c r="B1283" s="293"/>
      <c r="C1283" s="387"/>
      <c r="D1283" s="387"/>
      <c r="E1283" s="387"/>
      <c r="F1283" s="387"/>
      <c r="G1283" s="387"/>
      <c r="H1283" s="386"/>
      <c r="I1283" s="386"/>
      <c r="J1283" s="114"/>
      <c r="AW1283" s="117"/>
      <c r="AX1283" s="117"/>
      <c r="AY1283" s="117"/>
      <c r="AZ1283" s="117"/>
      <c r="BA1283" s="117"/>
      <c r="BB1283" s="117"/>
      <c r="BC1283" s="117"/>
      <c r="BD1283" s="117"/>
    </row>
    <row r="1284" spans="1:56" ht="15">
      <c r="A1284" s="114"/>
      <c r="B1284" s="293"/>
      <c r="C1284" s="387"/>
      <c r="D1284" s="387"/>
      <c r="E1284" s="387"/>
      <c r="F1284" s="387"/>
      <c r="G1284" s="387"/>
      <c r="H1284" s="386"/>
      <c r="I1284" s="386"/>
      <c r="J1284" s="114"/>
      <c r="AW1284" s="117"/>
      <c r="AX1284" s="117"/>
      <c r="AY1284" s="117"/>
      <c r="AZ1284" s="117"/>
      <c r="BA1284" s="117"/>
      <c r="BB1284" s="117"/>
      <c r="BC1284" s="117"/>
      <c r="BD1284" s="117"/>
    </row>
    <row r="1285" spans="1:56">
      <c r="A1285" s="114"/>
      <c r="B1285" s="385" t="s">
        <v>1136</v>
      </c>
      <c r="C1285" s="196"/>
      <c r="D1285" s="196"/>
      <c r="E1285" s="196"/>
      <c r="F1285" s="196"/>
      <c r="G1285" s="196"/>
      <c r="H1285" s="196"/>
      <c r="I1285" s="196"/>
      <c r="J1285" s="114"/>
      <c r="AW1285" s="117"/>
      <c r="AX1285" s="117"/>
      <c r="AY1285" s="117"/>
      <c r="AZ1285" s="117"/>
      <c r="BA1285" s="117"/>
      <c r="BB1285" s="117"/>
      <c r="BC1285" s="117"/>
      <c r="BD1285" s="117"/>
    </row>
    <row r="1286" spans="1:56" ht="15">
      <c r="A1286" s="114"/>
      <c r="B1286" s="196"/>
      <c r="C1286" s="196"/>
      <c r="D1286" s="196"/>
      <c r="E1286" s="196"/>
      <c r="F1286" s="196"/>
      <c r="G1286" s="196"/>
      <c r="H1286" s="196"/>
      <c r="I1286" s="196"/>
      <c r="J1286" s="114"/>
      <c r="AW1286" s="117"/>
      <c r="AX1286" s="117"/>
      <c r="AY1286" s="117"/>
      <c r="AZ1286" s="117"/>
      <c r="BA1286" s="117"/>
      <c r="BB1286" s="117"/>
      <c r="BC1286" s="117"/>
      <c r="BD1286" s="117"/>
    </row>
    <row r="1287" spans="1:56" ht="15">
      <c r="A1287" s="114"/>
      <c r="B1287" s="388" t="s">
        <v>1110</v>
      </c>
      <c r="C1287" s="389">
        <v>0.2</v>
      </c>
      <c r="D1287" s="390" t="s">
        <v>10</v>
      </c>
      <c r="E1287" s="196"/>
      <c r="F1287" s="196"/>
      <c r="G1287" s="392"/>
      <c r="H1287" s="393"/>
      <c r="I1287" s="196"/>
      <c r="J1287" s="114"/>
      <c r="AW1287" s="117"/>
      <c r="AX1287" s="117"/>
      <c r="AY1287" s="117"/>
      <c r="AZ1287" s="117"/>
      <c r="BA1287" s="117"/>
      <c r="BB1287" s="117"/>
      <c r="BC1287" s="117"/>
      <c r="BD1287" s="117"/>
    </row>
    <row r="1288" spans="1:56" ht="15">
      <c r="A1288" s="114"/>
      <c r="B1288" s="388" t="s">
        <v>1111</v>
      </c>
      <c r="C1288" s="403">
        <v>38.5</v>
      </c>
      <c r="D1288" s="390" t="s">
        <v>10</v>
      </c>
      <c r="E1288" s="196"/>
      <c r="F1288" s="196"/>
      <c r="G1288" s="392"/>
      <c r="H1288" s="393"/>
      <c r="I1288" s="196"/>
      <c r="J1288" s="114"/>
      <c r="AW1288" s="117"/>
      <c r="AX1288" s="117"/>
      <c r="AY1288" s="117"/>
      <c r="AZ1288" s="117"/>
      <c r="BA1288" s="117"/>
      <c r="BB1288" s="117"/>
      <c r="BC1288" s="117"/>
      <c r="BD1288" s="117"/>
    </row>
    <row r="1289" spans="1:56" ht="15">
      <c r="A1289" s="114"/>
      <c r="B1289" s="388" t="s">
        <v>1112</v>
      </c>
      <c r="C1289" s="389">
        <v>1.85</v>
      </c>
      <c r="D1289" s="390" t="s">
        <v>10</v>
      </c>
      <c r="E1289" s="196"/>
      <c r="F1289" s="196"/>
      <c r="G1289" s="392"/>
      <c r="H1289" s="393"/>
      <c r="I1289" s="196"/>
      <c r="J1289" s="114"/>
      <c r="AW1289" s="117"/>
      <c r="AX1289" s="117"/>
      <c r="AY1289" s="117"/>
      <c r="AZ1289" s="117"/>
      <c r="BA1289" s="117"/>
      <c r="BB1289" s="117"/>
      <c r="BC1289" s="117"/>
      <c r="BD1289" s="117"/>
    </row>
    <row r="1290" spans="1:56" ht="15">
      <c r="A1290" s="114"/>
      <c r="B1290" s="388" t="s">
        <v>1113</v>
      </c>
      <c r="C1290" s="389">
        <v>0.5</v>
      </c>
      <c r="D1290" s="390" t="s">
        <v>10</v>
      </c>
      <c r="E1290" s="196"/>
      <c r="F1290" s="196"/>
      <c r="G1290" s="392"/>
      <c r="H1290" s="394"/>
      <c r="I1290" s="196"/>
      <c r="J1290" s="114"/>
      <c r="AW1290" s="117"/>
      <c r="AX1290" s="117"/>
      <c r="AY1290" s="117"/>
      <c r="AZ1290" s="117"/>
      <c r="BA1290" s="117"/>
      <c r="BB1290" s="117"/>
      <c r="BC1290" s="117"/>
      <c r="BD1290" s="117"/>
    </row>
    <row r="1291" spans="1:56" ht="15">
      <c r="A1291" s="114"/>
      <c r="B1291" s="388" t="s">
        <v>1117</v>
      </c>
      <c r="C1291" s="389">
        <v>1</v>
      </c>
      <c r="D1291" s="390" t="s">
        <v>1118</v>
      </c>
      <c r="E1291" s="196"/>
      <c r="F1291" s="196"/>
      <c r="G1291" s="392"/>
      <c r="H1291" s="393"/>
      <c r="I1291" s="196"/>
      <c r="J1291" s="114"/>
      <c r="AW1291" s="117"/>
      <c r="AX1291" s="117"/>
      <c r="AY1291" s="117"/>
      <c r="AZ1291" s="117"/>
      <c r="BA1291" s="117"/>
      <c r="BB1291" s="117"/>
      <c r="BC1291" s="117"/>
      <c r="BD1291" s="117"/>
    </row>
    <row r="1292" spans="1:56" ht="15">
      <c r="A1292" s="114"/>
      <c r="B1292" s="392"/>
      <c r="C1292" s="393"/>
      <c r="D1292" s="196"/>
      <c r="E1292" s="196"/>
      <c r="F1292" s="196"/>
      <c r="G1292" s="392"/>
      <c r="H1292" s="393"/>
      <c r="I1292" s="196"/>
      <c r="J1292" s="114"/>
      <c r="AW1292" s="117"/>
      <c r="AX1292" s="117"/>
      <c r="AY1292" s="117"/>
      <c r="AZ1292" s="117"/>
      <c r="BA1292" s="117"/>
      <c r="BB1292" s="117"/>
      <c r="BC1292" s="117"/>
      <c r="BD1292" s="117"/>
    </row>
    <row r="1293" spans="1:56" ht="15">
      <c r="A1293" s="114"/>
      <c r="B1293" s="388" t="s">
        <v>1114</v>
      </c>
      <c r="C1293" s="389">
        <v>0.6</v>
      </c>
      <c r="D1293" s="390" t="s">
        <v>10</v>
      </c>
      <c r="E1293" s="288" t="s">
        <v>1120</v>
      </c>
      <c r="F1293" s="288"/>
      <c r="G1293" s="230"/>
      <c r="H1293" s="395"/>
      <c r="I1293" s="196"/>
      <c r="J1293" s="114"/>
      <c r="AW1293" s="117"/>
      <c r="AX1293" s="117"/>
      <c r="AY1293" s="117"/>
      <c r="AZ1293" s="117"/>
      <c r="BA1293" s="117"/>
      <c r="BB1293" s="117"/>
      <c r="BC1293" s="117"/>
      <c r="BD1293" s="117"/>
    </row>
    <row r="1294" spans="1:56" ht="15">
      <c r="A1294" s="114"/>
      <c r="B1294" s="388" t="s">
        <v>1114</v>
      </c>
      <c r="C1294" s="389">
        <v>0.2</v>
      </c>
      <c r="D1294" s="390" t="s">
        <v>10</v>
      </c>
      <c r="E1294" s="288" t="s">
        <v>1121</v>
      </c>
      <c r="F1294" s="288"/>
      <c r="G1294" s="230"/>
      <c r="H1294" s="395"/>
      <c r="I1294" s="196"/>
      <c r="J1294" s="114"/>
      <c r="AW1294" s="117"/>
      <c r="AX1294" s="117"/>
      <c r="AY1294" s="117"/>
      <c r="AZ1294" s="117"/>
      <c r="BA1294" s="117"/>
      <c r="BB1294" s="117"/>
      <c r="BC1294" s="117"/>
      <c r="BD1294" s="117"/>
    </row>
    <row r="1295" spans="1:56" ht="15">
      <c r="A1295" s="114"/>
      <c r="B1295" s="196"/>
      <c r="C1295" s="196"/>
      <c r="D1295" s="196"/>
      <c r="E1295" s="196"/>
      <c r="F1295" s="196"/>
      <c r="G1295" s="196"/>
      <c r="H1295" s="196"/>
      <c r="I1295" s="196"/>
      <c r="J1295" s="114"/>
      <c r="AW1295" s="117"/>
      <c r="AX1295" s="117"/>
      <c r="AY1295" s="117"/>
      <c r="AZ1295" s="117"/>
      <c r="BA1295" s="117"/>
      <c r="BB1295" s="117"/>
      <c r="BC1295" s="117"/>
      <c r="BD1295" s="117"/>
    </row>
    <row r="1296" spans="1:56" ht="15">
      <c r="A1296" s="114"/>
      <c r="B1296" s="303" t="s">
        <v>1122</v>
      </c>
      <c r="C1296" s="362"/>
      <c r="D1296" s="362"/>
      <c r="E1296" s="196"/>
      <c r="F1296" s="196"/>
      <c r="G1296" s="196"/>
      <c r="H1296" s="196"/>
      <c r="I1296" s="196"/>
      <c r="J1296" s="114"/>
      <c r="AW1296" s="117"/>
      <c r="AX1296" s="117"/>
      <c r="AY1296" s="117"/>
      <c r="AZ1296" s="117"/>
      <c r="BA1296" s="117"/>
      <c r="BB1296" s="117"/>
      <c r="BC1296" s="117"/>
      <c r="BD1296" s="117"/>
    </row>
    <row r="1297" spans="1:56" ht="18">
      <c r="A1297" s="114"/>
      <c r="B1297" s="396" t="s">
        <v>1123</v>
      </c>
      <c r="C1297" s="289"/>
      <c r="D1297" s="290"/>
      <c r="E1297" s="397">
        <f>C1291*(C1293*2*(0.05+C1290+C1289)*C1288)</f>
        <v>110.88000000000001</v>
      </c>
      <c r="F1297" s="390" t="s">
        <v>1124</v>
      </c>
      <c r="G1297" s="196"/>
      <c r="H1297" s="196"/>
      <c r="I1297" s="196"/>
      <c r="J1297" s="114"/>
      <c r="AW1297" s="117"/>
      <c r="AX1297" s="117"/>
      <c r="AY1297" s="117"/>
      <c r="AZ1297" s="117"/>
      <c r="BA1297" s="117"/>
      <c r="BB1297" s="117"/>
      <c r="BC1297" s="117"/>
      <c r="BD1297" s="117"/>
    </row>
    <row r="1298" spans="1:56" ht="18">
      <c r="A1298" s="114"/>
      <c r="B1298" s="398" t="s">
        <v>1125</v>
      </c>
      <c r="C1298" s="172"/>
      <c r="D1298" s="173"/>
      <c r="E1298" s="397">
        <f>E1297-(E1302+E1304)</f>
        <v>106.26</v>
      </c>
      <c r="F1298" s="390" t="s">
        <v>1124</v>
      </c>
      <c r="G1298" s="196"/>
      <c r="H1298" s="196"/>
      <c r="I1298" s="196"/>
      <c r="J1298" s="114"/>
      <c r="AW1298" s="117"/>
      <c r="AX1298" s="117"/>
      <c r="AY1298" s="117"/>
      <c r="AZ1298" s="117"/>
      <c r="BA1298" s="117"/>
      <c r="BB1298" s="117"/>
      <c r="BC1298" s="117"/>
      <c r="BD1298" s="117"/>
    </row>
    <row r="1299" spans="1:56" ht="15">
      <c r="A1299" s="114"/>
      <c r="B1299" s="399" t="s">
        <v>1126</v>
      </c>
      <c r="C1299" s="317"/>
      <c r="D1299" s="318"/>
      <c r="E1299" s="400">
        <f>(2*C1294)*C1288</f>
        <v>15.4</v>
      </c>
      <c r="F1299" s="390" t="s">
        <v>13</v>
      </c>
      <c r="G1299" s="196"/>
      <c r="H1299" s="196"/>
      <c r="I1299" s="196"/>
      <c r="J1299" s="114"/>
      <c r="AW1299" s="117"/>
      <c r="AX1299" s="117"/>
      <c r="AY1299" s="117"/>
      <c r="AZ1299" s="117"/>
      <c r="BA1299" s="117"/>
      <c r="BB1299" s="117"/>
      <c r="BC1299" s="117"/>
      <c r="BD1299" s="117"/>
    </row>
    <row r="1300" spans="1:56" ht="15">
      <c r="A1300" s="114"/>
      <c r="B1300" s="196"/>
      <c r="C1300" s="196"/>
      <c r="D1300" s="196"/>
      <c r="E1300" s="401"/>
      <c r="F1300" s="196"/>
      <c r="G1300" s="196"/>
      <c r="H1300" s="196"/>
      <c r="I1300" s="196"/>
      <c r="J1300" s="114"/>
      <c r="AW1300" s="117"/>
      <c r="AX1300" s="117"/>
      <c r="AY1300" s="117"/>
      <c r="AZ1300" s="117"/>
      <c r="BA1300" s="117"/>
      <c r="BB1300" s="117"/>
      <c r="BC1300" s="117"/>
      <c r="BD1300" s="117"/>
    </row>
    <row r="1301" spans="1:56" ht="15">
      <c r="A1301" s="114"/>
      <c r="B1301" s="303" t="s">
        <v>1127</v>
      </c>
      <c r="C1301" s="196"/>
      <c r="D1301" s="196"/>
      <c r="E1301" s="401"/>
      <c r="F1301" s="196"/>
      <c r="G1301" s="196"/>
      <c r="H1301" s="196"/>
      <c r="I1301" s="196"/>
      <c r="J1301" s="114"/>
      <c r="AW1301" s="117"/>
      <c r="AX1301" s="117"/>
      <c r="AY1301" s="117"/>
      <c r="AZ1301" s="117"/>
      <c r="BA1301" s="117"/>
      <c r="BB1301" s="117"/>
      <c r="BC1301" s="117"/>
      <c r="BD1301" s="117"/>
    </row>
    <row r="1302" spans="1:56" ht="18">
      <c r="A1302" s="114"/>
      <c r="B1302" s="398" t="s">
        <v>1128</v>
      </c>
      <c r="C1302" s="172"/>
      <c r="D1302" s="173"/>
      <c r="E1302" s="402">
        <f>E1299*0.05</f>
        <v>0.77</v>
      </c>
      <c r="F1302" s="390" t="s">
        <v>1124</v>
      </c>
      <c r="G1302" s="196"/>
      <c r="H1302" s="196"/>
      <c r="I1302" s="196"/>
      <c r="J1302" s="114"/>
      <c r="AW1302" s="117"/>
      <c r="AX1302" s="117"/>
      <c r="AY1302" s="117"/>
      <c r="AZ1302" s="117"/>
      <c r="BA1302" s="117"/>
      <c r="BB1302" s="117"/>
      <c r="BC1302" s="117"/>
      <c r="BD1302" s="117"/>
    </row>
    <row r="1303" spans="1:56" ht="15">
      <c r="A1303" s="114"/>
      <c r="B1303" s="398" t="s">
        <v>1129</v>
      </c>
      <c r="C1303" s="172"/>
      <c r="D1303" s="173"/>
      <c r="E1303" s="397">
        <f>C1290*2*C1288</f>
        <v>38.5</v>
      </c>
      <c r="F1303" s="390" t="s">
        <v>13</v>
      </c>
      <c r="G1303" s="393" t="s">
        <v>1108</v>
      </c>
      <c r="H1303" s="196" t="s">
        <v>1131</v>
      </c>
      <c r="I1303" s="393"/>
      <c r="J1303" s="114"/>
      <c r="AW1303" s="117"/>
      <c r="AX1303" s="117"/>
      <c r="AY1303" s="117"/>
      <c r="AZ1303" s="117"/>
      <c r="BA1303" s="117"/>
      <c r="BB1303" s="117"/>
      <c r="BC1303" s="117"/>
      <c r="BD1303" s="117"/>
    </row>
    <row r="1304" spans="1:56" ht="18">
      <c r="A1304" s="114"/>
      <c r="B1304" s="398" t="s">
        <v>1130</v>
      </c>
      <c r="C1304" s="172"/>
      <c r="D1304" s="173"/>
      <c r="E1304" s="402">
        <f>C1287*C1288*C1290</f>
        <v>3.85</v>
      </c>
      <c r="F1304" s="390" t="s">
        <v>1124</v>
      </c>
      <c r="G1304" s="196"/>
      <c r="H1304" s="196"/>
      <c r="I1304" s="196"/>
      <c r="J1304" s="114"/>
      <c r="AW1304" s="117"/>
      <c r="AX1304" s="117"/>
      <c r="AY1304" s="117"/>
      <c r="AZ1304" s="117"/>
      <c r="BA1304" s="117"/>
      <c r="BB1304" s="117"/>
      <c r="BC1304" s="117"/>
      <c r="BD1304" s="117"/>
    </row>
    <row r="1305" spans="1:56" ht="15">
      <c r="A1305" s="114"/>
      <c r="B1305" s="288"/>
      <c r="C1305" s="230"/>
      <c r="D1305" s="230"/>
      <c r="E1305" s="384"/>
      <c r="F1305" s="196"/>
      <c r="G1305" s="196"/>
      <c r="H1305" s="196"/>
      <c r="I1305" s="196"/>
      <c r="J1305" s="114"/>
      <c r="AW1305" s="117"/>
      <c r="AX1305" s="117"/>
      <c r="AY1305" s="117"/>
      <c r="AZ1305" s="117"/>
      <c r="BA1305" s="117"/>
      <c r="BB1305" s="117"/>
      <c r="BC1305" s="117"/>
      <c r="BD1305" s="117"/>
    </row>
    <row r="1306" spans="1:56" ht="15">
      <c r="A1306" s="114"/>
      <c r="B1306" s="293"/>
      <c r="C1306" s="387"/>
      <c r="D1306" s="387"/>
      <c r="E1306" s="387"/>
      <c r="F1306" s="387"/>
      <c r="G1306" s="387"/>
      <c r="H1306" s="386"/>
      <c r="I1306" s="386"/>
      <c r="J1306" s="114"/>
      <c r="AW1306" s="117"/>
      <c r="AX1306" s="117"/>
      <c r="AY1306" s="117"/>
      <c r="AZ1306" s="117"/>
      <c r="BA1306" s="117"/>
      <c r="BB1306" s="117"/>
      <c r="BC1306" s="117"/>
      <c r="BD1306" s="117"/>
    </row>
    <row r="1307" spans="1:56" ht="15">
      <c r="A1307" s="114"/>
      <c r="B1307" s="293"/>
      <c r="C1307" s="387"/>
      <c r="D1307" s="387"/>
      <c r="E1307" s="387"/>
      <c r="F1307" s="387"/>
      <c r="G1307" s="387"/>
      <c r="H1307" s="386"/>
      <c r="I1307" s="386"/>
      <c r="J1307" s="114"/>
      <c r="AW1307" s="117"/>
      <c r="AX1307" s="117"/>
      <c r="AY1307" s="117"/>
      <c r="AZ1307" s="117"/>
      <c r="BA1307" s="117"/>
      <c r="BB1307" s="117"/>
      <c r="BC1307" s="117"/>
      <c r="BD1307" s="117"/>
    </row>
    <row r="1308" spans="1:56">
      <c r="A1308" s="114"/>
      <c r="B1308" s="385" t="s">
        <v>1137</v>
      </c>
      <c r="C1308" s="196"/>
      <c r="D1308" s="196"/>
      <c r="E1308" s="196"/>
      <c r="F1308" s="196"/>
      <c r="G1308" s="196"/>
      <c r="H1308" s="196"/>
      <c r="I1308" s="196"/>
      <c r="J1308" s="114"/>
      <c r="AW1308" s="117"/>
      <c r="AX1308" s="117"/>
      <c r="AY1308" s="117"/>
      <c r="AZ1308" s="117"/>
      <c r="BA1308" s="117"/>
      <c r="BB1308" s="117"/>
      <c r="BC1308" s="117"/>
      <c r="BD1308" s="117"/>
    </row>
    <row r="1309" spans="1:56" ht="15">
      <c r="A1309" s="114"/>
      <c r="B1309" s="196"/>
      <c r="C1309" s="196"/>
      <c r="D1309" s="196"/>
      <c r="E1309" s="196"/>
      <c r="F1309" s="196"/>
      <c r="G1309" s="196"/>
      <c r="H1309" s="196"/>
      <c r="I1309" s="196"/>
      <c r="J1309" s="114"/>
      <c r="AW1309" s="117"/>
      <c r="AX1309" s="117"/>
      <c r="AY1309" s="117"/>
      <c r="AZ1309" s="117"/>
      <c r="BA1309" s="117"/>
      <c r="BB1309" s="117"/>
      <c r="BC1309" s="117"/>
      <c r="BD1309" s="117"/>
    </row>
    <row r="1310" spans="1:56" ht="15">
      <c r="A1310" s="114"/>
      <c r="B1310" s="388" t="s">
        <v>1110</v>
      </c>
      <c r="C1310" s="389">
        <v>0.2</v>
      </c>
      <c r="D1310" s="390" t="s">
        <v>10</v>
      </c>
      <c r="E1310" s="196"/>
      <c r="F1310" s="196"/>
      <c r="G1310" s="392"/>
      <c r="H1310" s="393"/>
      <c r="I1310" s="196"/>
      <c r="J1310" s="114"/>
      <c r="AW1310" s="117"/>
      <c r="AX1310" s="117"/>
      <c r="AY1310" s="117"/>
      <c r="AZ1310" s="117"/>
      <c r="BA1310" s="117"/>
      <c r="BB1310" s="117"/>
      <c r="BC1310" s="117"/>
      <c r="BD1310" s="117"/>
    </row>
    <row r="1311" spans="1:56" ht="15">
      <c r="A1311" s="114"/>
      <c r="B1311" s="388" t="s">
        <v>1111</v>
      </c>
      <c r="C1311" s="391">
        <v>13.775</v>
      </c>
      <c r="D1311" s="390" t="s">
        <v>10</v>
      </c>
      <c r="E1311" s="196"/>
      <c r="F1311" s="196"/>
      <c r="G1311" s="392"/>
      <c r="H1311" s="393"/>
      <c r="I1311" s="196"/>
      <c r="J1311" s="114"/>
      <c r="AW1311" s="117"/>
      <c r="AX1311" s="117"/>
      <c r="AY1311" s="117"/>
      <c r="AZ1311" s="117"/>
      <c r="BA1311" s="117"/>
      <c r="BB1311" s="117"/>
      <c r="BC1311" s="117"/>
      <c r="BD1311" s="117"/>
    </row>
    <row r="1312" spans="1:56" ht="15">
      <c r="A1312" s="114"/>
      <c r="B1312" s="388" t="s">
        <v>1112</v>
      </c>
      <c r="C1312" s="389">
        <v>1.85</v>
      </c>
      <c r="D1312" s="390" t="s">
        <v>10</v>
      </c>
      <c r="E1312" s="196"/>
      <c r="F1312" s="196"/>
      <c r="G1312" s="392"/>
      <c r="H1312" s="393"/>
      <c r="I1312" s="196"/>
      <c r="J1312" s="114"/>
      <c r="AW1312" s="117"/>
      <c r="AX1312" s="117"/>
      <c r="AY1312" s="117"/>
      <c r="AZ1312" s="117"/>
      <c r="BA1312" s="117"/>
      <c r="BB1312" s="117"/>
      <c r="BC1312" s="117"/>
      <c r="BD1312" s="117"/>
    </row>
    <row r="1313" spans="1:56" ht="15">
      <c r="A1313" s="114"/>
      <c r="B1313" s="388" t="s">
        <v>1113</v>
      </c>
      <c r="C1313" s="389">
        <v>0.7</v>
      </c>
      <c r="D1313" s="390" t="s">
        <v>10</v>
      </c>
      <c r="E1313" s="196"/>
      <c r="F1313" s="196"/>
      <c r="G1313" s="392"/>
      <c r="H1313" s="394"/>
      <c r="I1313" s="196"/>
      <c r="J1313" s="114"/>
      <c r="AW1313" s="117"/>
      <c r="AX1313" s="117"/>
      <c r="AY1313" s="117"/>
      <c r="AZ1313" s="117"/>
      <c r="BA1313" s="117"/>
      <c r="BB1313" s="117"/>
      <c r="BC1313" s="117"/>
      <c r="BD1313" s="117"/>
    </row>
    <row r="1314" spans="1:56" ht="15">
      <c r="A1314" s="114"/>
      <c r="B1314" s="388" t="s">
        <v>1117</v>
      </c>
      <c r="C1314" s="389">
        <v>1</v>
      </c>
      <c r="D1314" s="390" t="s">
        <v>1118</v>
      </c>
      <c r="E1314" s="196"/>
      <c r="F1314" s="196"/>
      <c r="G1314" s="392"/>
      <c r="H1314" s="393"/>
      <c r="I1314" s="196"/>
      <c r="J1314" s="114"/>
      <c r="AW1314" s="117"/>
      <c r="AX1314" s="117"/>
      <c r="AY1314" s="117"/>
      <c r="AZ1314" s="117"/>
      <c r="BA1314" s="117"/>
      <c r="BB1314" s="117"/>
      <c r="BC1314" s="117"/>
      <c r="BD1314" s="117"/>
    </row>
    <row r="1315" spans="1:56" ht="15">
      <c r="A1315" s="114"/>
      <c r="B1315" s="392"/>
      <c r="C1315" s="393"/>
      <c r="D1315" s="196"/>
      <c r="E1315" s="196"/>
      <c r="F1315" s="196"/>
      <c r="G1315" s="392"/>
      <c r="H1315" s="393"/>
      <c r="I1315" s="196"/>
      <c r="J1315" s="114"/>
      <c r="AW1315" s="117"/>
      <c r="AX1315" s="117"/>
      <c r="AY1315" s="117"/>
      <c r="AZ1315" s="117"/>
      <c r="BA1315" s="117"/>
      <c r="BB1315" s="117"/>
      <c r="BC1315" s="117"/>
      <c r="BD1315" s="117"/>
    </row>
    <row r="1316" spans="1:56" ht="15">
      <c r="A1316" s="114"/>
      <c r="B1316" s="388" t="s">
        <v>1114</v>
      </c>
      <c r="C1316" s="389">
        <v>0.6</v>
      </c>
      <c r="D1316" s="390" t="s">
        <v>10</v>
      </c>
      <c r="E1316" s="288" t="s">
        <v>1120</v>
      </c>
      <c r="F1316" s="288"/>
      <c r="G1316" s="230"/>
      <c r="H1316" s="395"/>
      <c r="I1316" s="196"/>
      <c r="J1316" s="114"/>
      <c r="AW1316" s="117"/>
      <c r="AX1316" s="117"/>
      <c r="AY1316" s="117"/>
      <c r="AZ1316" s="117"/>
      <c r="BA1316" s="117"/>
      <c r="BB1316" s="117"/>
      <c r="BC1316" s="117"/>
      <c r="BD1316" s="117"/>
    </row>
    <row r="1317" spans="1:56" ht="15">
      <c r="A1317" s="114"/>
      <c r="B1317" s="388" t="s">
        <v>1114</v>
      </c>
      <c r="C1317" s="389">
        <v>0.2</v>
      </c>
      <c r="D1317" s="390" t="s">
        <v>10</v>
      </c>
      <c r="E1317" s="288" t="s">
        <v>1121</v>
      </c>
      <c r="F1317" s="288"/>
      <c r="G1317" s="230"/>
      <c r="H1317" s="395"/>
      <c r="I1317" s="196"/>
      <c r="J1317" s="114"/>
      <c r="AW1317" s="117"/>
      <c r="AX1317" s="117"/>
      <c r="AY1317" s="117"/>
      <c r="AZ1317" s="117"/>
      <c r="BA1317" s="117"/>
      <c r="BB1317" s="117"/>
      <c r="BC1317" s="117"/>
      <c r="BD1317" s="117"/>
    </row>
    <row r="1318" spans="1:56" ht="15">
      <c r="A1318" s="114"/>
      <c r="B1318" s="196"/>
      <c r="C1318" s="196"/>
      <c r="D1318" s="196"/>
      <c r="E1318" s="196"/>
      <c r="F1318" s="196"/>
      <c r="G1318" s="196"/>
      <c r="H1318" s="196"/>
      <c r="I1318" s="196"/>
      <c r="J1318" s="114"/>
      <c r="AW1318" s="117"/>
      <c r="AX1318" s="117"/>
      <c r="AY1318" s="117"/>
      <c r="AZ1318" s="117"/>
      <c r="BA1318" s="117"/>
      <c r="BB1318" s="117"/>
      <c r="BC1318" s="117"/>
      <c r="BD1318" s="117"/>
    </row>
    <row r="1319" spans="1:56" ht="15">
      <c r="A1319" s="114"/>
      <c r="B1319" s="303" t="s">
        <v>1122</v>
      </c>
      <c r="C1319" s="362"/>
      <c r="D1319" s="362"/>
      <c r="E1319" s="196"/>
      <c r="F1319" s="196"/>
      <c r="G1319" s="196"/>
      <c r="H1319" s="196"/>
      <c r="I1319" s="196"/>
      <c r="J1319" s="114"/>
      <c r="AW1319" s="117"/>
      <c r="AX1319" s="117"/>
      <c r="AY1319" s="117"/>
      <c r="AZ1319" s="117"/>
      <c r="BA1319" s="117"/>
      <c r="BB1319" s="117"/>
      <c r="BC1319" s="117"/>
      <c r="BD1319" s="117"/>
    </row>
    <row r="1320" spans="1:56" ht="18">
      <c r="A1320" s="114"/>
      <c r="B1320" s="396" t="s">
        <v>1123</v>
      </c>
      <c r="C1320" s="289"/>
      <c r="D1320" s="290"/>
      <c r="E1320" s="397">
        <f>C1314*(C1316*2*(0.05+C1313+C1312)*C1311)</f>
        <v>42.978000000000002</v>
      </c>
      <c r="F1320" s="390" t="s">
        <v>1124</v>
      </c>
      <c r="G1320" s="196"/>
      <c r="H1320" s="196"/>
      <c r="I1320" s="196"/>
      <c r="J1320" s="114"/>
      <c r="AW1320" s="117"/>
      <c r="AX1320" s="117"/>
      <c r="AY1320" s="117"/>
      <c r="AZ1320" s="117"/>
      <c r="BA1320" s="117"/>
      <c r="BB1320" s="117"/>
      <c r="BC1320" s="117"/>
      <c r="BD1320" s="117"/>
    </row>
    <row r="1321" spans="1:56" ht="18">
      <c r="A1321" s="114"/>
      <c r="B1321" s="398" t="s">
        <v>1125</v>
      </c>
      <c r="C1321" s="172"/>
      <c r="D1321" s="173"/>
      <c r="E1321" s="397">
        <f>E1320-(E1325+E1327)</f>
        <v>40.774000000000001</v>
      </c>
      <c r="F1321" s="390" t="s">
        <v>1124</v>
      </c>
      <c r="G1321" s="196"/>
      <c r="H1321" s="196"/>
      <c r="I1321" s="196"/>
      <c r="J1321" s="114"/>
      <c r="AW1321" s="117"/>
      <c r="AX1321" s="117"/>
      <c r="AY1321" s="117"/>
      <c r="AZ1321" s="117"/>
      <c r="BA1321" s="117"/>
      <c r="BB1321" s="117"/>
      <c r="BC1321" s="117"/>
      <c r="BD1321" s="117"/>
    </row>
    <row r="1322" spans="1:56" ht="15">
      <c r="A1322" s="114"/>
      <c r="B1322" s="399" t="s">
        <v>1126</v>
      </c>
      <c r="C1322" s="317"/>
      <c r="D1322" s="318"/>
      <c r="E1322" s="400">
        <f>(2*C1317)*C1311</f>
        <v>5.5100000000000007</v>
      </c>
      <c r="F1322" s="390" t="s">
        <v>13</v>
      </c>
      <c r="G1322" s="196"/>
      <c r="H1322" s="196"/>
      <c r="I1322" s="196"/>
      <c r="J1322" s="114"/>
      <c r="AW1322" s="117"/>
      <c r="AX1322" s="117"/>
      <c r="AY1322" s="117"/>
      <c r="AZ1322" s="117"/>
      <c r="BA1322" s="117"/>
      <c r="BB1322" s="117"/>
      <c r="BC1322" s="117"/>
      <c r="BD1322" s="117"/>
    </row>
    <row r="1323" spans="1:56" ht="15">
      <c r="A1323" s="114"/>
      <c r="B1323" s="196"/>
      <c r="C1323" s="196"/>
      <c r="D1323" s="196"/>
      <c r="E1323" s="401"/>
      <c r="F1323" s="196"/>
      <c r="G1323" s="196"/>
      <c r="H1323" s="196"/>
      <c r="I1323" s="196"/>
      <c r="J1323" s="114"/>
      <c r="AW1323" s="117"/>
      <c r="AX1323" s="117"/>
      <c r="AY1323" s="117"/>
      <c r="AZ1323" s="117"/>
      <c r="BA1323" s="117"/>
      <c r="BB1323" s="117"/>
      <c r="BC1323" s="117"/>
      <c r="BD1323" s="117"/>
    </row>
    <row r="1324" spans="1:56" ht="15">
      <c r="A1324" s="114"/>
      <c r="B1324" s="303" t="s">
        <v>1127</v>
      </c>
      <c r="C1324" s="196"/>
      <c r="D1324" s="196"/>
      <c r="E1324" s="401"/>
      <c r="F1324" s="196"/>
      <c r="G1324" s="196"/>
      <c r="H1324" s="196"/>
      <c r="I1324" s="196"/>
      <c r="J1324" s="114"/>
      <c r="AW1324" s="117"/>
      <c r="AX1324" s="117"/>
      <c r="AY1324" s="117"/>
      <c r="AZ1324" s="117"/>
      <c r="BA1324" s="117"/>
      <c r="BB1324" s="117"/>
      <c r="BC1324" s="117"/>
      <c r="BD1324" s="117"/>
    </row>
    <row r="1325" spans="1:56" ht="18">
      <c r="A1325" s="114"/>
      <c r="B1325" s="398" t="s">
        <v>1128</v>
      </c>
      <c r="C1325" s="172"/>
      <c r="D1325" s="173"/>
      <c r="E1325" s="402">
        <f>E1322*0.05</f>
        <v>0.27550000000000002</v>
      </c>
      <c r="F1325" s="390" t="s">
        <v>1124</v>
      </c>
      <c r="G1325" s="196"/>
      <c r="H1325" s="196"/>
      <c r="I1325" s="196"/>
      <c r="J1325" s="114"/>
      <c r="AW1325" s="117"/>
      <c r="AX1325" s="117"/>
      <c r="AY1325" s="117"/>
      <c r="AZ1325" s="117"/>
      <c r="BA1325" s="117"/>
      <c r="BB1325" s="117"/>
      <c r="BC1325" s="117"/>
      <c r="BD1325" s="117"/>
    </row>
    <row r="1326" spans="1:56" ht="15">
      <c r="A1326" s="114"/>
      <c r="B1326" s="398" t="s">
        <v>1129</v>
      </c>
      <c r="C1326" s="172"/>
      <c r="D1326" s="173"/>
      <c r="E1326" s="397">
        <f>C1313*2*C1311</f>
        <v>19.285</v>
      </c>
      <c r="F1326" s="390" t="s">
        <v>13</v>
      </c>
      <c r="G1326" s="393" t="s">
        <v>1108</v>
      </c>
      <c r="H1326" s="196" t="s">
        <v>1131</v>
      </c>
      <c r="I1326" s="393"/>
      <c r="J1326" s="114"/>
      <c r="AW1326" s="117"/>
      <c r="AX1326" s="117"/>
      <c r="AY1326" s="117"/>
      <c r="AZ1326" s="117"/>
      <c r="BA1326" s="117"/>
      <c r="BB1326" s="117"/>
      <c r="BC1326" s="117"/>
      <c r="BD1326" s="117"/>
    </row>
    <row r="1327" spans="1:56" ht="18">
      <c r="A1327" s="114"/>
      <c r="B1327" s="398" t="s">
        <v>1130</v>
      </c>
      <c r="C1327" s="172"/>
      <c r="D1327" s="173"/>
      <c r="E1327" s="402">
        <f>C1310*C1311*C1313</f>
        <v>1.9285000000000001</v>
      </c>
      <c r="F1327" s="390" t="s">
        <v>1124</v>
      </c>
      <c r="G1327" s="196"/>
      <c r="H1327" s="196"/>
      <c r="I1327" s="196"/>
      <c r="J1327" s="114"/>
      <c r="AW1327" s="117"/>
      <c r="AX1327" s="117"/>
      <c r="AY1327" s="117"/>
      <c r="AZ1327" s="117"/>
      <c r="BA1327" s="117"/>
      <c r="BB1327" s="117"/>
      <c r="BC1327" s="117"/>
      <c r="BD1327" s="117"/>
    </row>
    <row r="1328" spans="1:56" ht="15">
      <c r="A1328" s="114"/>
      <c r="B1328" s="288"/>
      <c r="C1328" s="230"/>
      <c r="D1328" s="230"/>
      <c r="E1328" s="384"/>
      <c r="F1328" s="196"/>
      <c r="G1328" s="196"/>
      <c r="H1328" s="196"/>
      <c r="I1328" s="196"/>
      <c r="J1328" s="114"/>
      <c r="AW1328" s="117"/>
      <c r="AX1328" s="117"/>
      <c r="AY1328" s="117"/>
      <c r="AZ1328" s="117"/>
      <c r="BA1328" s="117"/>
      <c r="BB1328" s="117"/>
      <c r="BC1328" s="117"/>
      <c r="BD1328" s="117"/>
    </row>
    <row r="1329" spans="1:56" ht="15">
      <c r="A1329" s="114"/>
      <c r="B1329" s="293"/>
      <c r="C1329" s="387"/>
      <c r="D1329" s="387"/>
      <c r="E1329" s="387"/>
      <c r="F1329" s="387"/>
      <c r="G1329" s="387"/>
      <c r="H1329" s="386"/>
      <c r="I1329" s="386"/>
      <c r="J1329" s="114"/>
      <c r="AW1329" s="117"/>
      <c r="AX1329" s="117"/>
      <c r="AY1329" s="117"/>
      <c r="AZ1329" s="117"/>
      <c r="BA1329" s="117"/>
      <c r="BB1329" s="117"/>
      <c r="BC1329" s="117"/>
      <c r="BD1329" s="117"/>
    </row>
    <row r="1330" spans="1:56" ht="15">
      <c r="A1330" s="114"/>
      <c r="B1330" s="293"/>
      <c r="C1330" s="387"/>
      <c r="D1330" s="387"/>
      <c r="E1330" s="387"/>
      <c r="F1330" s="387"/>
      <c r="G1330" s="387"/>
      <c r="H1330" s="386"/>
      <c r="I1330" s="386"/>
      <c r="J1330" s="114"/>
      <c r="AW1330" s="117"/>
      <c r="AX1330" s="117"/>
      <c r="AY1330" s="117"/>
      <c r="AZ1330" s="117"/>
      <c r="BA1330" s="117"/>
      <c r="BB1330" s="117"/>
      <c r="BC1330" s="117"/>
      <c r="BD1330" s="117"/>
    </row>
    <row r="1331" spans="1:56">
      <c r="A1331" s="114"/>
      <c r="B1331" s="385" t="s">
        <v>1138</v>
      </c>
      <c r="C1331" s="196"/>
      <c r="D1331" s="196"/>
      <c r="E1331" s="196"/>
      <c r="F1331" s="196"/>
      <c r="G1331" s="196"/>
      <c r="H1331" s="196"/>
      <c r="I1331" s="196"/>
      <c r="J1331" s="114"/>
      <c r="AW1331" s="117"/>
      <c r="AX1331" s="117"/>
      <c r="AY1331" s="117"/>
      <c r="AZ1331" s="117"/>
      <c r="BA1331" s="117"/>
      <c r="BB1331" s="117"/>
      <c r="BC1331" s="117"/>
      <c r="BD1331" s="117"/>
    </row>
    <row r="1332" spans="1:56" ht="15">
      <c r="A1332" s="114"/>
      <c r="B1332" s="196"/>
      <c r="C1332" s="196"/>
      <c r="D1332" s="196"/>
      <c r="E1332" s="196"/>
      <c r="F1332" s="196"/>
      <c r="G1332" s="196"/>
      <c r="H1332" s="196"/>
      <c r="I1332" s="196"/>
      <c r="J1332" s="114"/>
      <c r="AW1332" s="117"/>
      <c r="AX1332" s="117"/>
      <c r="AY1332" s="117"/>
      <c r="AZ1332" s="117"/>
      <c r="BA1332" s="117"/>
      <c r="BB1332" s="117"/>
      <c r="BC1332" s="117"/>
      <c r="BD1332" s="117"/>
    </row>
    <row r="1333" spans="1:56" ht="15">
      <c r="A1333" s="114"/>
      <c r="B1333" s="388" t="s">
        <v>1110</v>
      </c>
      <c r="C1333" s="389">
        <v>0.25</v>
      </c>
      <c r="D1333" s="390" t="s">
        <v>10</v>
      </c>
      <c r="E1333" s="196"/>
      <c r="F1333" s="196"/>
      <c r="G1333" s="392"/>
      <c r="H1333" s="393"/>
      <c r="I1333" s="196"/>
      <c r="J1333" s="114"/>
      <c r="AW1333" s="117"/>
      <c r="AX1333" s="117"/>
      <c r="AY1333" s="117"/>
      <c r="AZ1333" s="117"/>
      <c r="BA1333" s="117"/>
      <c r="BB1333" s="117"/>
      <c r="BC1333" s="117"/>
      <c r="BD1333" s="117"/>
    </row>
    <row r="1334" spans="1:56" ht="15">
      <c r="A1334" s="114"/>
      <c r="B1334" s="388" t="s">
        <v>1111</v>
      </c>
      <c r="C1334" s="391">
        <v>42.255000000000003</v>
      </c>
      <c r="D1334" s="390" t="s">
        <v>10</v>
      </c>
      <c r="E1334" s="196"/>
      <c r="F1334" s="196"/>
      <c r="G1334" s="392"/>
      <c r="H1334" s="393"/>
      <c r="I1334" s="196"/>
      <c r="J1334" s="114"/>
      <c r="AW1334" s="117"/>
      <c r="AX1334" s="117"/>
      <c r="AY1334" s="117"/>
      <c r="AZ1334" s="117"/>
      <c r="BA1334" s="117"/>
      <c r="BB1334" s="117"/>
      <c r="BC1334" s="117"/>
      <c r="BD1334" s="117"/>
    </row>
    <row r="1335" spans="1:56" ht="15">
      <c r="A1335" s="114"/>
      <c r="B1335" s="388" t="s">
        <v>1112</v>
      </c>
      <c r="C1335" s="389">
        <v>1.85</v>
      </c>
      <c r="D1335" s="390" t="s">
        <v>10</v>
      </c>
      <c r="E1335" s="196"/>
      <c r="F1335" s="196"/>
      <c r="G1335" s="392"/>
      <c r="H1335" s="393"/>
      <c r="I1335" s="196"/>
      <c r="J1335" s="114"/>
      <c r="AW1335" s="117"/>
      <c r="AX1335" s="117"/>
      <c r="AY1335" s="117"/>
      <c r="AZ1335" s="117"/>
      <c r="BA1335" s="117"/>
      <c r="BB1335" s="117"/>
      <c r="BC1335" s="117"/>
      <c r="BD1335" s="117"/>
    </row>
    <row r="1336" spans="1:56" ht="15">
      <c r="A1336" s="114"/>
      <c r="B1336" s="388" t="s">
        <v>1113</v>
      </c>
      <c r="C1336" s="389">
        <v>0.7</v>
      </c>
      <c r="D1336" s="390" t="s">
        <v>10</v>
      </c>
      <c r="E1336" s="196"/>
      <c r="F1336" s="196"/>
      <c r="G1336" s="392"/>
      <c r="H1336" s="394"/>
      <c r="I1336" s="196"/>
      <c r="J1336" s="114"/>
      <c r="AW1336" s="117"/>
      <c r="AX1336" s="117"/>
      <c r="AY1336" s="117"/>
      <c r="AZ1336" s="117"/>
      <c r="BA1336" s="117"/>
      <c r="BB1336" s="117"/>
      <c r="BC1336" s="117"/>
      <c r="BD1336" s="117"/>
    </row>
    <row r="1337" spans="1:56" ht="15">
      <c r="A1337" s="114"/>
      <c r="B1337" s="388" t="s">
        <v>1117</v>
      </c>
      <c r="C1337" s="389">
        <v>1</v>
      </c>
      <c r="D1337" s="390" t="s">
        <v>1118</v>
      </c>
      <c r="E1337" s="196"/>
      <c r="F1337" s="196"/>
      <c r="G1337" s="392"/>
      <c r="H1337" s="393"/>
      <c r="I1337" s="196"/>
      <c r="J1337" s="114"/>
      <c r="AW1337" s="117"/>
      <c r="AX1337" s="117"/>
      <c r="AY1337" s="117"/>
      <c r="AZ1337" s="117"/>
      <c r="BA1337" s="117"/>
      <c r="BB1337" s="117"/>
      <c r="BC1337" s="117"/>
      <c r="BD1337" s="117"/>
    </row>
    <row r="1338" spans="1:56" ht="15">
      <c r="A1338" s="114"/>
      <c r="B1338" s="392"/>
      <c r="C1338" s="393"/>
      <c r="D1338" s="196"/>
      <c r="E1338" s="196"/>
      <c r="F1338" s="196"/>
      <c r="G1338" s="392"/>
      <c r="H1338" s="393"/>
      <c r="I1338" s="196"/>
      <c r="J1338" s="114"/>
      <c r="AW1338" s="117"/>
      <c r="AX1338" s="117"/>
      <c r="AY1338" s="117"/>
      <c r="AZ1338" s="117"/>
      <c r="BA1338" s="117"/>
      <c r="BB1338" s="117"/>
      <c r="BC1338" s="117"/>
      <c r="BD1338" s="117"/>
    </row>
    <row r="1339" spans="1:56" ht="15">
      <c r="A1339" s="114"/>
      <c r="B1339" s="388" t="s">
        <v>1114</v>
      </c>
      <c r="C1339" s="389">
        <v>0.6</v>
      </c>
      <c r="D1339" s="390" t="s">
        <v>10</v>
      </c>
      <c r="E1339" s="288" t="s">
        <v>1120</v>
      </c>
      <c r="F1339" s="288"/>
      <c r="G1339" s="230"/>
      <c r="H1339" s="395"/>
      <c r="I1339" s="196"/>
      <c r="J1339" s="114"/>
      <c r="AW1339" s="117"/>
      <c r="AX1339" s="117"/>
      <c r="AY1339" s="117"/>
      <c r="AZ1339" s="117"/>
      <c r="BA1339" s="117"/>
      <c r="BB1339" s="117"/>
      <c r="BC1339" s="117"/>
      <c r="BD1339" s="117"/>
    </row>
    <row r="1340" spans="1:56" ht="15">
      <c r="A1340" s="114"/>
      <c r="B1340" s="388" t="s">
        <v>1114</v>
      </c>
      <c r="C1340" s="389">
        <v>0.2</v>
      </c>
      <c r="D1340" s="390" t="s">
        <v>10</v>
      </c>
      <c r="E1340" s="288" t="s">
        <v>1121</v>
      </c>
      <c r="F1340" s="288"/>
      <c r="G1340" s="230"/>
      <c r="H1340" s="395"/>
      <c r="I1340" s="196"/>
      <c r="J1340" s="114"/>
      <c r="AW1340" s="117"/>
      <c r="AX1340" s="117"/>
      <c r="AY1340" s="117"/>
      <c r="AZ1340" s="117"/>
      <c r="BA1340" s="117"/>
      <c r="BB1340" s="117"/>
      <c r="BC1340" s="117"/>
      <c r="BD1340" s="117"/>
    </row>
    <row r="1341" spans="1:56" ht="15">
      <c r="A1341" s="114"/>
      <c r="B1341" s="196"/>
      <c r="C1341" s="196"/>
      <c r="D1341" s="196"/>
      <c r="E1341" s="196"/>
      <c r="F1341" s="196"/>
      <c r="G1341" s="196"/>
      <c r="H1341" s="196"/>
      <c r="I1341" s="196"/>
      <c r="J1341" s="114"/>
      <c r="AW1341" s="117"/>
      <c r="AX1341" s="117"/>
      <c r="AY1341" s="117"/>
      <c r="AZ1341" s="117"/>
      <c r="BA1341" s="117"/>
      <c r="BB1341" s="117"/>
      <c r="BC1341" s="117"/>
      <c r="BD1341" s="117"/>
    </row>
    <row r="1342" spans="1:56" ht="15">
      <c r="A1342" s="114"/>
      <c r="B1342" s="303" t="s">
        <v>1122</v>
      </c>
      <c r="C1342" s="362"/>
      <c r="D1342" s="362"/>
      <c r="E1342" s="196"/>
      <c r="F1342" s="196"/>
      <c r="G1342" s="196"/>
      <c r="H1342" s="196"/>
      <c r="I1342" s="196"/>
      <c r="J1342" s="114"/>
      <c r="AW1342" s="117"/>
      <c r="AX1342" s="117"/>
      <c r="AY1342" s="117"/>
      <c r="AZ1342" s="117"/>
      <c r="BA1342" s="117"/>
      <c r="BB1342" s="117"/>
      <c r="BC1342" s="117"/>
      <c r="BD1342" s="117"/>
    </row>
    <row r="1343" spans="1:56" ht="18">
      <c r="A1343" s="114"/>
      <c r="B1343" s="396" t="s">
        <v>1123</v>
      </c>
      <c r="C1343" s="289"/>
      <c r="D1343" s="290"/>
      <c r="E1343" s="397">
        <f>C1337*(C1339*2*(0.05+C1336+C1335)*C1334)</f>
        <v>131.8356</v>
      </c>
      <c r="F1343" s="390" t="s">
        <v>1124</v>
      </c>
      <c r="G1343" s="196"/>
      <c r="H1343" s="196"/>
      <c r="I1343" s="196"/>
      <c r="J1343" s="114"/>
      <c r="AW1343" s="117"/>
      <c r="AX1343" s="117"/>
      <c r="AY1343" s="117"/>
      <c r="AZ1343" s="117"/>
      <c r="BA1343" s="117"/>
      <c r="BB1343" s="117"/>
      <c r="BC1343" s="117"/>
      <c r="BD1343" s="117"/>
    </row>
    <row r="1344" spans="1:56" ht="18">
      <c r="A1344" s="114"/>
      <c r="B1344" s="398" t="s">
        <v>1125</v>
      </c>
      <c r="C1344" s="172"/>
      <c r="D1344" s="173"/>
      <c r="E1344" s="397">
        <f>E1343-(E1348+E1350)</f>
        <v>123.59587500000001</v>
      </c>
      <c r="F1344" s="390" t="s">
        <v>1124</v>
      </c>
      <c r="G1344" s="196"/>
      <c r="H1344" s="196"/>
      <c r="I1344" s="196"/>
      <c r="J1344" s="114"/>
      <c r="AW1344" s="117"/>
      <c r="AX1344" s="117"/>
      <c r="AY1344" s="117"/>
      <c r="AZ1344" s="117"/>
      <c r="BA1344" s="117"/>
      <c r="BB1344" s="117"/>
      <c r="BC1344" s="117"/>
      <c r="BD1344" s="117"/>
    </row>
    <row r="1345" spans="1:56" ht="15">
      <c r="A1345" s="114"/>
      <c r="B1345" s="399" t="s">
        <v>1126</v>
      </c>
      <c r="C1345" s="317"/>
      <c r="D1345" s="318"/>
      <c r="E1345" s="400">
        <f>(2*C1340)*C1334</f>
        <v>16.902000000000001</v>
      </c>
      <c r="F1345" s="390" t="s">
        <v>13</v>
      </c>
      <c r="G1345" s="196"/>
      <c r="H1345" s="196"/>
      <c r="I1345" s="196"/>
      <c r="J1345" s="114"/>
      <c r="AW1345" s="117"/>
      <c r="AX1345" s="117"/>
      <c r="AY1345" s="117"/>
      <c r="AZ1345" s="117"/>
      <c r="BA1345" s="117"/>
      <c r="BB1345" s="117"/>
      <c r="BC1345" s="117"/>
      <c r="BD1345" s="117"/>
    </row>
    <row r="1346" spans="1:56" ht="15">
      <c r="A1346" s="114"/>
      <c r="B1346" s="196"/>
      <c r="C1346" s="196"/>
      <c r="D1346" s="196"/>
      <c r="E1346" s="401"/>
      <c r="F1346" s="196"/>
      <c r="G1346" s="196"/>
      <c r="H1346" s="196"/>
      <c r="I1346" s="196"/>
      <c r="J1346" s="114"/>
      <c r="AW1346" s="117"/>
      <c r="AX1346" s="117"/>
      <c r="AY1346" s="117"/>
      <c r="AZ1346" s="117"/>
      <c r="BA1346" s="117"/>
      <c r="BB1346" s="117"/>
      <c r="BC1346" s="117"/>
      <c r="BD1346" s="117"/>
    </row>
    <row r="1347" spans="1:56" ht="15">
      <c r="A1347" s="114"/>
      <c r="B1347" s="303" t="s">
        <v>1127</v>
      </c>
      <c r="C1347" s="196"/>
      <c r="D1347" s="196"/>
      <c r="E1347" s="401"/>
      <c r="F1347" s="196"/>
      <c r="G1347" s="196"/>
      <c r="H1347" s="196"/>
      <c r="I1347" s="196"/>
      <c r="J1347" s="114"/>
      <c r="AW1347" s="117"/>
      <c r="AX1347" s="117"/>
      <c r="AY1347" s="117"/>
      <c r="AZ1347" s="117"/>
      <c r="BA1347" s="117"/>
      <c r="BB1347" s="117"/>
      <c r="BC1347" s="117"/>
      <c r="BD1347" s="117"/>
    </row>
    <row r="1348" spans="1:56" ht="18">
      <c r="A1348" s="114"/>
      <c r="B1348" s="398" t="s">
        <v>1128</v>
      </c>
      <c r="C1348" s="172"/>
      <c r="D1348" s="173"/>
      <c r="E1348" s="402">
        <f>E1345*0.05</f>
        <v>0.84510000000000007</v>
      </c>
      <c r="F1348" s="390" t="s">
        <v>1124</v>
      </c>
      <c r="G1348" s="196"/>
      <c r="H1348" s="196"/>
      <c r="I1348" s="196"/>
      <c r="J1348" s="114"/>
      <c r="AW1348" s="117"/>
      <c r="AX1348" s="117"/>
      <c r="AY1348" s="117"/>
      <c r="AZ1348" s="117"/>
      <c r="BA1348" s="117"/>
      <c r="BB1348" s="117"/>
      <c r="BC1348" s="117"/>
      <c r="BD1348" s="117"/>
    </row>
    <row r="1349" spans="1:56" ht="15">
      <c r="A1349" s="114"/>
      <c r="B1349" s="398" t="s">
        <v>1129</v>
      </c>
      <c r="C1349" s="172"/>
      <c r="D1349" s="173"/>
      <c r="E1349" s="397">
        <f>C1336*2*C1334</f>
        <v>59.156999999999996</v>
      </c>
      <c r="F1349" s="390" t="s">
        <v>13</v>
      </c>
      <c r="G1349" s="393" t="s">
        <v>1108</v>
      </c>
      <c r="H1349" s="196" t="s">
        <v>1131</v>
      </c>
      <c r="I1349" s="393"/>
      <c r="J1349" s="114"/>
      <c r="AW1349" s="117"/>
      <c r="AX1349" s="117"/>
      <c r="AY1349" s="117"/>
      <c r="AZ1349" s="117"/>
      <c r="BA1349" s="117"/>
      <c r="BB1349" s="117"/>
      <c r="BC1349" s="117"/>
      <c r="BD1349" s="117"/>
    </row>
    <row r="1350" spans="1:56" ht="18">
      <c r="A1350" s="114"/>
      <c r="B1350" s="398" t="s">
        <v>1130</v>
      </c>
      <c r="C1350" s="172"/>
      <c r="D1350" s="173"/>
      <c r="E1350" s="402">
        <f>C1333*C1334*C1336</f>
        <v>7.3946249999999996</v>
      </c>
      <c r="F1350" s="390" t="s">
        <v>1124</v>
      </c>
      <c r="G1350" s="196"/>
      <c r="H1350" s="196"/>
      <c r="I1350" s="196"/>
      <c r="J1350" s="114"/>
      <c r="AW1350" s="117"/>
      <c r="AX1350" s="117"/>
      <c r="AY1350" s="117"/>
      <c r="AZ1350" s="117"/>
      <c r="BA1350" s="117"/>
      <c r="BB1350" s="117"/>
      <c r="BC1350" s="117"/>
      <c r="BD1350" s="117"/>
    </row>
    <row r="1351" spans="1:56" ht="15">
      <c r="A1351" s="114"/>
      <c r="B1351" s="288"/>
      <c r="C1351" s="230"/>
      <c r="D1351" s="230"/>
      <c r="E1351" s="384"/>
      <c r="F1351" s="196"/>
      <c r="G1351" s="196"/>
      <c r="H1351" s="196"/>
      <c r="I1351" s="196"/>
      <c r="J1351" s="114"/>
      <c r="AW1351" s="117"/>
      <c r="AX1351" s="117"/>
      <c r="AY1351" s="117"/>
      <c r="AZ1351" s="117"/>
      <c r="BA1351" s="117"/>
      <c r="BB1351" s="117"/>
      <c r="BC1351" s="117"/>
      <c r="BD1351" s="117"/>
    </row>
    <row r="1352" spans="1:56" ht="15">
      <c r="A1352" s="114"/>
      <c r="B1352" s="293"/>
      <c r="C1352" s="387"/>
      <c r="D1352" s="387"/>
      <c r="E1352" s="387"/>
      <c r="F1352" s="387"/>
      <c r="G1352" s="387"/>
      <c r="H1352" s="386"/>
      <c r="I1352" s="386"/>
      <c r="J1352" s="114"/>
      <c r="AW1352" s="117"/>
      <c r="AX1352" s="117"/>
      <c r="AY1352" s="117"/>
      <c r="AZ1352" s="117"/>
      <c r="BA1352" s="117"/>
      <c r="BB1352" s="117"/>
      <c r="BC1352" s="117"/>
      <c r="BD1352" s="117"/>
    </row>
    <row r="1353" spans="1:56" ht="15">
      <c r="A1353" s="114"/>
      <c r="B1353" s="293"/>
      <c r="C1353" s="387"/>
      <c r="D1353" s="387"/>
      <c r="E1353" s="387"/>
      <c r="F1353" s="387"/>
      <c r="G1353" s="387"/>
      <c r="H1353" s="386"/>
      <c r="I1353" s="386"/>
      <c r="J1353" s="114"/>
      <c r="AW1353" s="117"/>
      <c r="AX1353" s="117"/>
      <c r="AY1353" s="117"/>
      <c r="AZ1353" s="117"/>
      <c r="BA1353" s="117"/>
      <c r="BB1353" s="117"/>
      <c r="BC1353" s="117"/>
      <c r="BD1353" s="117"/>
    </row>
    <row r="1354" spans="1:56">
      <c r="A1354" s="114"/>
      <c r="B1354" s="385" t="s">
        <v>1139</v>
      </c>
      <c r="C1354" s="196"/>
      <c r="D1354" s="196"/>
      <c r="E1354" s="196"/>
      <c r="F1354" s="196"/>
      <c r="G1354" s="196"/>
      <c r="H1354" s="196"/>
      <c r="I1354" s="196"/>
      <c r="J1354" s="114"/>
      <c r="AW1354" s="117"/>
      <c r="AX1354" s="117"/>
      <c r="AY1354" s="117"/>
      <c r="AZ1354" s="117"/>
      <c r="BA1354" s="117"/>
      <c r="BB1354" s="117"/>
      <c r="BC1354" s="117"/>
      <c r="BD1354" s="117"/>
    </row>
    <row r="1355" spans="1:56" ht="15">
      <c r="A1355" s="114"/>
      <c r="B1355" s="196"/>
      <c r="C1355" s="196"/>
      <c r="D1355" s="196"/>
      <c r="E1355" s="196"/>
      <c r="F1355" s="196"/>
      <c r="G1355" s="196"/>
      <c r="H1355" s="196"/>
      <c r="I1355" s="196"/>
      <c r="J1355" s="114"/>
      <c r="AW1355" s="117"/>
      <c r="AX1355" s="117"/>
      <c r="AY1355" s="117"/>
      <c r="AZ1355" s="117"/>
      <c r="BA1355" s="117"/>
      <c r="BB1355" s="117"/>
      <c r="BC1355" s="117"/>
      <c r="BD1355" s="117"/>
    </row>
    <row r="1356" spans="1:56" ht="15">
      <c r="A1356" s="114"/>
      <c r="B1356" s="388" t="s">
        <v>1110</v>
      </c>
      <c r="C1356" s="389">
        <v>0.25</v>
      </c>
      <c r="D1356" s="390" t="s">
        <v>10</v>
      </c>
      <c r="E1356" s="196"/>
      <c r="F1356" s="196"/>
      <c r="G1356" s="392"/>
      <c r="H1356" s="393"/>
      <c r="I1356" s="196"/>
      <c r="J1356" s="114"/>
      <c r="AW1356" s="117"/>
      <c r="AX1356" s="117"/>
      <c r="AY1356" s="117"/>
      <c r="AZ1356" s="117"/>
      <c r="BA1356" s="117"/>
      <c r="BB1356" s="117"/>
      <c r="BC1356" s="117"/>
      <c r="BD1356" s="117"/>
    </row>
    <row r="1357" spans="1:56" ht="15">
      <c r="A1357" s="114"/>
      <c r="B1357" s="388" t="s">
        <v>1111</v>
      </c>
      <c r="C1357" s="391">
        <v>53.8</v>
      </c>
      <c r="D1357" s="390" t="s">
        <v>10</v>
      </c>
      <c r="E1357" s="196"/>
      <c r="F1357" s="196"/>
      <c r="G1357" s="392"/>
      <c r="H1357" s="393"/>
      <c r="I1357" s="196"/>
      <c r="J1357" s="114"/>
      <c r="AW1357" s="117"/>
      <c r="AX1357" s="117"/>
      <c r="AY1357" s="117"/>
      <c r="AZ1357" s="117"/>
      <c r="BA1357" s="117"/>
      <c r="BB1357" s="117"/>
      <c r="BC1357" s="117"/>
      <c r="BD1357" s="117"/>
    </row>
    <row r="1358" spans="1:56" ht="15">
      <c r="A1358" s="114"/>
      <c r="B1358" s="388" t="s">
        <v>1112</v>
      </c>
      <c r="C1358" s="389">
        <v>1.85</v>
      </c>
      <c r="D1358" s="390" t="s">
        <v>10</v>
      </c>
      <c r="E1358" s="196"/>
      <c r="F1358" s="196"/>
      <c r="G1358" s="392"/>
      <c r="H1358" s="393"/>
      <c r="I1358" s="196"/>
      <c r="J1358" s="114"/>
      <c r="AW1358" s="117"/>
      <c r="AX1358" s="117"/>
      <c r="AY1358" s="117"/>
      <c r="AZ1358" s="117"/>
      <c r="BA1358" s="117"/>
      <c r="BB1358" s="117"/>
      <c r="BC1358" s="117"/>
      <c r="BD1358" s="117"/>
    </row>
    <row r="1359" spans="1:56" ht="15">
      <c r="A1359" s="114"/>
      <c r="B1359" s="388" t="s">
        <v>1113</v>
      </c>
      <c r="C1359" s="389">
        <v>0.8</v>
      </c>
      <c r="D1359" s="390" t="s">
        <v>10</v>
      </c>
      <c r="E1359" s="196"/>
      <c r="F1359" s="196"/>
      <c r="G1359" s="392"/>
      <c r="H1359" s="394"/>
      <c r="I1359" s="196"/>
      <c r="J1359" s="114"/>
      <c r="AW1359" s="117"/>
      <c r="AX1359" s="117"/>
      <c r="AY1359" s="117"/>
      <c r="AZ1359" s="117"/>
      <c r="BA1359" s="117"/>
      <c r="BB1359" s="117"/>
      <c r="BC1359" s="117"/>
      <c r="BD1359" s="117"/>
    </row>
    <row r="1360" spans="1:56" ht="15">
      <c r="A1360" s="114"/>
      <c r="B1360" s="388" t="s">
        <v>1117</v>
      </c>
      <c r="C1360" s="389">
        <v>1</v>
      </c>
      <c r="D1360" s="390" t="s">
        <v>1118</v>
      </c>
      <c r="E1360" s="196"/>
      <c r="F1360" s="196"/>
      <c r="G1360" s="392"/>
      <c r="H1360" s="393"/>
      <c r="I1360" s="196"/>
      <c r="J1360" s="114"/>
      <c r="AW1360" s="117"/>
      <c r="AX1360" s="117"/>
      <c r="AY1360" s="117"/>
      <c r="AZ1360" s="117"/>
      <c r="BA1360" s="117"/>
      <c r="BB1360" s="117"/>
      <c r="BC1360" s="117"/>
      <c r="BD1360" s="117"/>
    </row>
    <row r="1361" spans="1:56" ht="15">
      <c r="A1361" s="114"/>
      <c r="B1361" s="392"/>
      <c r="C1361" s="393"/>
      <c r="D1361" s="196"/>
      <c r="E1361" s="196"/>
      <c r="F1361" s="196"/>
      <c r="G1361" s="392"/>
      <c r="H1361" s="393"/>
      <c r="I1361" s="196"/>
      <c r="J1361" s="114"/>
      <c r="AW1361" s="117"/>
      <c r="AX1361" s="117"/>
      <c r="AY1361" s="117"/>
      <c r="AZ1361" s="117"/>
      <c r="BA1361" s="117"/>
      <c r="BB1361" s="117"/>
      <c r="BC1361" s="117"/>
      <c r="BD1361" s="117"/>
    </row>
    <row r="1362" spans="1:56" ht="15">
      <c r="A1362" s="114"/>
      <c r="B1362" s="388" t="s">
        <v>1114</v>
      </c>
      <c r="C1362" s="389">
        <v>0.6</v>
      </c>
      <c r="D1362" s="390" t="s">
        <v>10</v>
      </c>
      <c r="E1362" s="288" t="s">
        <v>1120</v>
      </c>
      <c r="F1362" s="288"/>
      <c r="G1362" s="230"/>
      <c r="H1362" s="395"/>
      <c r="I1362" s="196"/>
      <c r="J1362" s="114"/>
      <c r="AW1362" s="117"/>
      <c r="AX1362" s="117"/>
      <c r="AY1362" s="117"/>
      <c r="AZ1362" s="117"/>
      <c r="BA1362" s="117"/>
      <c r="BB1362" s="117"/>
      <c r="BC1362" s="117"/>
      <c r="BD1362" s="117"/>
    </row>
    <row r="1363" spans="1:56" ht="15">
      <c r="A1363" s="114"/>
      <c r="B1363" s="388" t="s">
        <v>1114</v>
      </c>
      <c r="C1363" s="389">
        <v>0.2</v>
      </c>
      <c r="D1363" s="390" t="s">
        <v>10</v>
      </c>
      <c r="E1363" s="288" t="s">
        <v>1121</v>
      </c>
      <c r="F1363" s="288"/>
      <c r="G1363" s="230"/>
      <c r="H1363" s="395"/>
      <c r="I1363" s="196"/>
      <c r="J1363" s="114"/>
      <c r="AW1363" s="117"/>
      <c r="AX1363" s="117"/>
      <c r="AY1363" s="117"/>
      <c r="AZ1363" s="117"/>
      <c r="BA1363" s="117"/>
      <c r="BB1363" s="117"/>
      <c r="BC1363" s="117"/>
      <c r="BD1363" s="117"/>
    </row>
    <row r="1364" spans="1:56" ht="15">
      <c r="A1364" s="114"/>
      <c r="B1364" s="196"/>
      <c r="C1364" s="196"/>
      <c r="D1364" s="196"/>
      <c r="E1364" s="196"/>
      <c r="F1364" s="196"/>
      <c r="G1364" s="196"/>
      <c r="H1364" s="196"/>
      <c r="I1364" s="196"/>
      <c r="J1364" s="114"/>
      <c r="AW1364" s="117"/>
      <c r="AX1364" s="117"/>
      <c r="AY1364" s="117"/>
      <c r="AZ1364" s="117"/>
      <c r="BA1364" s="117"/>
      <c r="BB1364" s="117"/>
      <c r="BC1364" s="117"/>
      <c r="BD1364" s="117"/>
    </row>
    <row r="1365" spans="1:56" ht="15">
      <c r="A1365" s="114"/>
      <c r="B1365" s="303" t="s">
        <v>1122</v>
      </c>
      <c r="C1365" s="362"/>
      <c r="D1365" s="362"/>
      <c r="E1365" s="196"/>
      <c r="F1365" s="196"/>
      <c r="G1365" s="196"/>
      <c r="H1365" s="196"/>
      <c r="I1365" s="196"/>
      <c r="J1365" s="114"/>
      <c r="AW1365" s="117"/>
      <c r="AX1365" s="117"/>
      <c r="AY1365" s="117"/>
      <c r="AZ1365" s="117"/>
      <c r="BA1365" s="117"/>
      <c r="BB1365" s="117"/>
      <c r="BC1365" s="117"/>
      <c r="BD1365" s="117"/>
    </row>
    <row r="1366" spans="1:56" ht="18">
      <c r="A1366" s="114"/>
      <c r="B1366" s="396" t="s">
        <v>1123</v>
      </c>
      <c r="C1366" s="289"/>
      <c r="D1366" s="290"/>
      <c r="E1366" s="397">
        <f>C1360*(C1362*2*(0.05+C1359+C1358)*C1357)</f>
        <v>174.31200000000001</v>
      </c>
      <c r="F1366" s="390" t="s">
        <v>1124</v>
      </c>
      <c r="G1366" s="196"/>
      <c r="H1366" s="196"/>
      <c r="I1366" s="196"/>
      <c r="J1366" s="114"/>
      <c r="AW1366" s="117"/>
      <c r="AX1366" s="117"/>
      <c r="AY1366" s="117"/>
      <c r="AZ1366" s="117"/>
      <c r="BA1366" s="117"/>
      <c r="BB1366" s="117"/>
      <c r="BC1366" s="117"/>
      <c r="BD1366" s="117"/>
    </row>
    <row r="1367" spans="1:56" ht="18">
      <c r="A1367" s="114"/>
      <c r="B1367" s="398" t="s">
        <v>1125</v>
      </c>
      <c r="C1367" s="172"/>
      <c r="D1367" s="173"/>
      <c r="E1367" s="397">
        <f>E1366-(E1371+E1373)</f>
        <v>162.476</v>
      </c>
      <c r="F1367" s="390" t="s">
        <v>1124</v>
      </c>
      <c r="G1367" s="196"/>
      <c r="H1367" s="196"/>
      <c r="I1367" s="196"/>
      <c r="J1367" s="114"/>
      <c r="AW1367" s="117"/>
      <c r="AX1367" s="117"/>
      <c r="AY1367" s="117"/>
      <c r="AZ1367" s="117"/>
      <c r="BA1367" s="117"/>
      <c r="BB1367" s="117"/>
      <c r="BC1367" s="117"/>
      <c r="BD1367" s="117"/>
    </row>
    <row r="1368" spans="1:56" ht="15">
      <c r="A1368" s="114"/>
      <c r="B1368" s="399" t="s">
        <v>1126</v>
      </c>
      <c r="C1368" s="317"/>
      <c r="D1368" s="318"/>
      <c r="E1368" s="400">
        <f>(2*C1363)*C1357</f>
        <v>21.52</v>
      </c>
      <c r="F1368" s="390" t="s">
        <v>13</v>
      </c>
      <c r="G1368" s="196"/>
      <c r="H1368" s="196"/>
      <c r="I1368" s="196"/>
      <c r="J1368" s="114"/>
      <c r="AW1368" s="117"/>
      <c r="AX1368" s="117"/>
      <c r="AY1368" s="117"/>
      <c r="AZ1368" s="117"/>
      <c r="BA1368" s="117"/>
      <c r="BB1368" s="117"/>
      <c r="BC1368" s="117"/>
      <c r="BD1368" s="117"/>
    </row>
    <row r="1369" spans="1:56" ht="15">
      <c r="A1369" s="114"/>
      <c r="B1369" s="196"/>
      <c r="C1369" s="196"/>
      <c r="D1369" s="196"/>
      <c r="E1369" s="401"/>
      <c r="F1369" s="196"/>
      <c r="G1369" s="196"/>
      <c r="H1369" s="196"/>
      <c r="I1369" s="196"/>
      <c r="J1369" s="114"/>
      <c r="AW1369" s="117"/>
      <c r="AX1369" s="117"/>
      <c r="AY1369" s="117"/>
      <c r="AZ1369" s="117"/>
      <c r="BA1369" s="117"/>
      <c r="BB1369" s="117"/>
      <c r="BC1369" s="117"/>
      <c r="BD1369" s="117"/>
    </row>
    <row r="1370" spans="1:56" ht="15">
      <c r="A1370" s="114"/>
      <c r="B1370" s="303" t="s">
        <v>1127</v>
      </c>
      <c r="C1370" s="196"/>
      <c r="D1370" s="196"/>
      <c r="E1370" s="401"/>
      <c r="F1370" s="196"/>
      <c r="G1370" s="196"/>
      <c r="H1370" s="196"/>
      <c r="I1370" s="196"/>
      <c r="J1370" s="114"/>
      <c r="AW1370" s="117"/>
      <c r="AX1370" s="117"/>
      <c r="AY1370" s="117"/>
      <c r="AZ1370" s="117"/>
      <c r="BA1370" s="117"/>
      <c r="BB1370" s="117"/>
      <c r="BC1370" s="117"/>
      <c r="BD1370" s="117"/>
    </row>
    <row r="1371" spans="1:56" ht="18">
      <c r="A1371" s="114"/>
      <c r="B1371" s="398" t="s">
        <v>1128</v>
      </c>
      <c r="C1371" s="172"/>
      <c r="D1371" s="173"/>
      <c r="E1371" s="402">
        <f>E1368*0.05</f>
        <v>1.0760000000000001</v>
      </c>
      <c r="F1371" s="390" t="s">
        <v>1124</v>
      </c>
      <c r="G1371" s="196"/>
      <c r="H1371" s="196"/>
      <c r="I1371" s="196"/>
      <c r="J1371" s="114"/>
      <c r="AW1371" s="117"/>
      <c r="AX1371" s="117"/>
      <c r="AY1371" s="117"/>
      <c r="AZ1371" s="117"/>
      <c r="BA1371" s="117"/>
      <c r="BB1371" s="117"/>
      <c r="BC1371" s="117"/>
      <c r="BD1371" s="117"/>
    </row>
    <row r="1372" spans="1:56" ht="15">
      <c r="A1372" s="114"/>
      <c r="B1372" s="398" t="s">
        <v>1129</v>
      </c>
      <c r="C1372" s="172"/>
      <c r="D1372" s="173"/>
      <c r="E1372" s="397">
        <f>C1359*2*C1357</f>
        <v>86.08</v>
      </c>
      <c r="F1372" s="390" t="s">
        <v>13</v>
      </c>
      <c r="G1372" s="393" t="s">
        <v>1108</v>
      </c>
      <c r="H1372" s="196" t="s">
        <v>1131</v>
      </c>
      <c r="I1372" s="393"/>
      <c r="J1372" s="114"/>
      <c r="AW1372" s="117"/>
      <c r="AX1372" s="117"/>
      <c r="AY1372" s="117"/>
      <c r="AZ1372" s="117"/>
      <c r="BA1372" s="117"/>
      <c r="BB1372" s="117"/>
      <c r="BC1372" s="117"/>
      <c r="BD1372" s="117"/>
    </row>
    <row r="1373" spans="1:56" ht="18">
      <c r="A1373" s="114"/>
      <c r="B1373" s="398" t="s">
        <v>1130</v>
      </c>
      <c r="C1373" s="172"/>
      <c r="D1373" s="173"/>
      <c r="E1373" s="402">
        <f>C1356*C1357*C1359</f>
        <v>10.76</v>
      </c>
      <c r="F1373" s="390" t="s">
        <v>1124</v>
      </c>
      <c r="G1373" s="196"/>
      <c r="H1373" s="196"/>
      <c r="I1373" s="196"/>
      <c r="J1373" s="114"/>
      <c r="AW1373" s="117"/>
      <c r="AX1373" s="117"/>
      <c r="AY1373" s="117"/>
      <c r="AZ1373" s="117"/>
      <c r="BA1373" s="117"/>
      <c r="BB1373" s="117"/>
      <c r="BC1373" s="117"/>
      <c r="BD1373" s="117"/>
    </row>
    <row r="1374" spans="1:56" ht="15">
      <c r="A1374" s="114"/>
      <c r="B1374" s="288"/>
      <c r="C1374" s="230"/>
      <c r="D1374" s="230"/>
      <c r="E1374" s="384"/>
      <c r="F1374" s="196"/>
      <c r="G1374" s="196"/>
      <c r="H1374" s="196"/>
      <c r="I1374" s="196"/>
      <c r="J1374" s="114"/>
      <c r="AW1374" s="117"/>
      <c r="AX1374" s="117"/>
      <c r="AY1374" s="117"/>
      <c r="AZ1374" s="117"/>
      <c r="BA1374" s="117"/>
      <c r="BB1374" s="117"/>
      <c r="BC1374" s="117"/>
      <c r="BD1374" s="117"/>
    </row>
    <row r="1375" spans="1:56" ht="15">
      <c r="A1375" s="114"/>
      <c r="B1375" s="293"/>
      <c r="C1375" s="387"/>
      <c r="D1375" s="387"/>
      <c r="E1375" s="387"/>
      <c r="F1375" s="387"/>
      <c r="G1375" s="387"/>
      <c r="H1375" s="386"/>
      <c r="I1375" s="386"/>
      <c r="J1375" s="114"/>
      <c r="AW1375" s="117"/>
      <c r="AX1375" s="117"/>
      <c r="AY1375" s="117"/>
      <c r="AZ1375" s="117"/>
      <c r="BA1375" s="117"/>
      <c r="BB1375" s="117"/>
      <c r="BC1375" s="117"/>
      <c r="BD1375" s="117"/>
    </row>
    <row r="1376" spans="1:56" ht="15">
      <c r="A1376" s="114"/>
      <c r="B1376" s="293"/>
      <c r="C1376" s="387"/>
      <c r="D1376" s="387"/>
      <c r="E1376" s="387"/>
      <c r="F1376" s="387"/>
      <c r="G1376" s="387"/>
      <c r="H1376" s="386"/>
      <c r="I1376" s="386"/>
      <c r="J1376" s="114"/>
      <c r="AW1376" s="117"/>
      <c r="AX1376" s="117"/>
      <c r="AY1376" s="117"/>
      <c r="AZ1376" s="117"/>
      <c r="BA1376" s="117"/>
      <c r="BB1376" s="117"/>
      <c r="BC1376" s="117"/>
      <c r="BD1376" s="117"/>
    </row>
    <row r="1377" spans="1:56" customFormat="1" ht="19.5" customHeight="1">
      <c r="B1377" s="362"/>
      <c r="C1377" s="362"/>
      <c r="D1377" s="362"/>
      <c r="E1377" s="362"/>
      <c r="F1377" s="362"/>
      <c r="G1377" s="362"/>
      <c r="H1377" s="362"/>
      <c r="I1377" s="362"/>
      <c r="J1377" s="362"/>
    </row>
    <row r="1378" spans="1:56">
      <c r="A1378" s="114"/>
      <c r="B1378" s="385" t="s">
        <v>1140</v>
      </c>
      <c r="C1378" s="196"/>
      <c r="D1378" s="196"/>
      <c r="E1378" s="196"/>
      <c r="F1378" s="196"/>
      <c r="G1378" s="196"/>
      <c r="H1378" s="196"/>
      <c r="I1378" s="196"/>
      <c r="J1378" s="196"/>
      <c r="AX1378" s="117"/>
      <c r="AY1378" s="117"/>
      <c r="AZ1378" s="117"/>
      <c r="BA1378" s="117"/>
      <c r="BB1378" s="117"/>
      <c r="BC1378" s="117"/>
      <c r="BD1378" s="117"/>
    </row>
    <row r="1379" spans="1:56" ht="15">
      <c r="A1379" s="114"/>
      <c r="B1379" s="362"/>
      <c r="C1379" s="362"/>
      <c r="D1379" s="362"/>
      <c r="E1379" s="362"/>
      <c r="F1379" s="404"/>
      <c r="G1379" s="404"/>
      <c r="H1379" s="404"/>
      <c r="I1379" s="404"/>
      <c r="J1379" s="404"/>
      <c r="AX1379" s="117"/>
      <c r="AY1379" s="117"/>
      <c r="AZ1379" s="117"/>
      <c r="BA1379" s="117"/>
      <c r="BB1379" s="117"/>
      <c r="BC1379" s="117"/>
      <c r="BD1379" s="117"/>
    </row>
    <row r="1380" spans="1:56" ht="18">
      <c r="A1380" s="114"/>
      <c r="B1380" s="388" t="s">
        <v>1141</v>
      </c>
      <c r="C1380" s="389">
        <v>0.5</v>
      </c>
      <c r="D1380" s="390" t="s">
        <v>10</v>
      </c>
      <c r="E1380" s="196"/>
      <c r="F1380" s="405"/>
      <c r="G1380" s="406" t="s">
        <v>1142</v>
      </c>
      <c r="H1380" s="407">
        <f>C1380*C1381</f>
        <v>0.15</v>
      </c>
      <c r="I1380" s="405" t="s">
        <v>1143</v>
      </c>
      <c r="J1380" s="405"/>
      <c r="AX1380" s="117"/>
      <c r="AY1380" s="117"/>
      <c r="AZ1380" s="117"/>
      <c r="BA1380" s="117"/>
      <c r="BB1380" s="117"/>
      <c r="BC1380" s="117"/>
      <c r="BD1380" s="117"/>
    </row>
    <row r="1381" spans="1:56" ht="15">
      <c r="A1381" s="114"/>
      <c r="B1381" s="388" t="s">
        <v>1144</v>
      </c>
      <c r="C1381" s="389">
        <v>0.3</v>
      </c>
      <c r="D1381" s="390" t="s">
        <v>10</v>
      </c>
      <c r="E1381" s="196"/>
      <c r="F1381" s="405"/>
      <c r="G1381" s="406" t="e">
        <f>TEXT(C1388,"tg 0°=")</f>
        <v>#VALUE!</v>
      </c>
      <c r="H1381" s="408">
        <f>TAN(3.14159265359*C1388/180)</f>
        <v>1.732050807569153</v>
      </c>
      <c r="I1381" s="405"/>
      <c r="J1381" s="405"/>
      <c r="AX1381" s="117"/>
      <c r="AY1381" s="117"/>
      <c r="AZ1381" s="117"/>
      <c r="BA1381" s="117"/>
      <c r="BB1381" s="117"/>
      <c r="BC1381" s="117"/>
      <c r="BD1381" s="117"/>
    </row>
    <row r="1382" spans="1:56" ht="15">
      <c r="A1382" s="114"/>
      <c r="B1382" s="388" t="s">
        <v>1145</v>
      </c>
      <c r="C1382" s="389">
        <v>2.2999999999999998</v>
      </c>
      <c r="D1382" s="390" t="s">
        <v>10</v>
      </c>
      <c r="E1382" s="196"/>
      <c r="F1382" s="405"/>
      <c r="G1382" s="406"/>
      <c r="H1382" s="407"/>
      <c r="I1382" s="405"/>
      <c r="J1382" s="405"/>
      <c r="AX1382" s="117"/>
      <c r="AY1382" s="117"/>
      <c r="AZ1382" s="117"/>
      <c r="BA1382" s="117"/>
      <c r="BB1382" s="117"/>
      <c r="BC1382" s="117"/>
      <c r="BD1382" s="117"/>
    </row>
    <row r="1383" spans="1:56" ht="18">
      <c r="A1383" s="114"/>
      <c r="B1383" s="388" t="s">
        <v>1146</v>
      </c>
      <c r="C1383" s="389">
        <v>2.2999999999999998</v>
      </c>
      <c r="D1383" s="390" t="s">
        <v>10</v>
      </c>
      <c r="E1383" s="196"/>
      <c r="F1383" s="405"/>
      <c r="G1383" s="406" t="s">
        <v>1142</v>
      </c>
      <c r="H1383" s="409">
        <f>(C1382+2*C1390+((C1384+C1385+0.05)/H1381)*2)*(C1383+2*C1390+((C1384+C1385+0.05)/H1381)*2)</f>
        <v>44.204301637905125</v>
      </c>
      <c r="I1383" s="405" t="s">
        <v>1143</v>
      </c>
      <c r="J1383" s="405"/>
      <c r="AX1383" s="117"/>
      <c r="AY1383" s="117"/>
      <c r="AZ1383" s="117"/>
      <c r="BA1383" s="117"/>
      <c r="BB1383" s="117"/>
      <c r="BC1383" s="117"/>
      <c r="BD1383" s="117"/>
    </row>
    <row r="1384" spans="1:56" ht="18">
      <c r="A1384" s="114"/>
      <c r="B1384" s="388" t="s">
        <v>1112</v>
      </c>
      <c r="C1384" s="389">
        <v>1.85</v>
      </c>
      <c r="D1384" s="390" t="s">
        <v>10</v>
      </c>
      <c r="E1384" s="196"/>
      <c r="F1384" s="405"/>
      <c r="G1384" s="406" t="s">
        <v>1147</v>
      </c>
      <c r="H1384" s="409">
        <f>(C1382+2*C1390)*(C1383+2*C1390)</f>
        <v>10.889999999999999</v>
      </c>
      <c r="I1384" s="405" t="s">
        <v>1143</v>
      </c>
      <c r="J1384" s="405"/>
      <c r="AX1384" s="117"/>
      <c r="AY1384" s="117"/>
      <c r="AZ1384" s="117"/>
      <c r="BA1384" s="117"/>
      <c r="BB1384" s="117"/>
      <c r="BC1384" s="117"/>
      <c r="BD1384" s="117"/>
    </row>
    <row r="1385" spans="1:56" ht="15">
      <c r="A1385" s="114"/>
      <c r="B1385" s="388" t="s">
        <v>1113</v>
      </c>
      <c r="C1385" s="389">
        <v>1</v>
      </c>
      <c r="D1385" s="390" t="s">
        <v>10</v>
      </c>
      <c r="E1385" s="196"/>
      <c r="F1385" s="405"/>
      <c r="G1385" s="406"/>
      <c r="H1385" s="407"/>
      <c r="I1385" s="405"/>
      <c r="J1385" s="405"/>
      <c r="AX1385" s="117"/>
      <c r="AY1385" s="117"/>
      <c r="AZ1385" s="117"/>
      <c r="BA1385" s="117"/>
      <c r="BB1385" s="117"/>
      <c r="BC1385" s="117"/>
      <c r="BD1385" s="117"/>
    </row>
    <row r="1386" spans="1:56" ht="15">
      <c r="A1386" s="114"/>
      <c r="B1386" s="388" t="s">
        <v>1117</v>
      </c>
      <c r="C1386" s="391">
        <v>7</v>
      </c>
      <c r="D1386" s="390" t="s">
        <v>1118</v>
      </c>
      <c r="E1386" s="196"/>
      <c r="F1386" s="405"/>
      <c r="G1386" s="406"/>
      <c r="H1386" s="407"/>
      <c r="I1386" s="405"/>
      <c r="J1386" s="405"/>
      <c r="AX1386" s="117"/>
      <c r="AY1386" s="117"/>
      <c r="AZ1386" s="117"/>
      <c r="BA1386" s="117"/>
      <c r="BB1386" s="117"/>
      <c r="BC1386" s="117"/>
      <c r="BD1386" s="117"/>
    </row>
    <row r="1387" spans="1:56" ht="15">
      <c r="A1387" s="114"/>
      <c r="B1387" s="196" t="s">
        <v>1148</v>
      </c>
      <c r="C1387" s="393"/>
      <c r="D1387" s="196"/>
      <c r="E1387" s="196"/>
      <c r="F1387" s="405"/>
      <c r="G1387" s="406"/>
      <c r="H1387" s="407"/>
      <c r="I1387" s="405"/>
      <c r="J1387" s="405"/>
      <c r="AX1387" s="117"/>
      <c r="AY1387" s="117"/>
      <c r="AZ1387" s="117"/>
      <c r="BA1387" s="117"/>
      <c r="BB1387" s="117"/>
      <c r="BC1387" s="117"/>
      <c r="BD1387" s="117"/>
    </row>
    <row r="1388" spans="1:56" ht="15">
      <c r="A1388" s="114"/>
      <c r="B1388" s="388" t="s">
        <v>1149</v>
      </c>
      <c r="C1388" s="389">
        <v>60</v>
      </c>
      <c r="D1388" s="390" t="s">
        <v>1150</v>
      </c>
      <c r="E1388" s="196"/>
      <c r="F1388" s="196"/>
      <c r="G1388" s="392"/>
      <c r="H1388" s="393"/>
      <c r="I1388" s="196"/>
      <c r="J1388" s="196"/>
      <c r="AX1388" s="117"/>
      <c r="AY1388" s="117"/>
      <c r="AZ1388" s="117"/>
      <c r="BA1388" s="117"/>
      <c r="BB1388" s="117"/>
      <c r="BC1388" s="117"/>
      <c r="BD1388" s="117"/>
    </row>
    <row r="1389" spans="1:56" ht="15">
      <c r="A1389" s="114"/>
      <c r="B1389" s="362"/>
      <c r="C1389" s="196"/>
      <c r="D1389" s="196"/>
      <c r="E1389" s="196"/>
      <c r="F1389" s="196"/>
      <c r="G1389" s="362"/>
      <c r="H1389" s="362"/>
      <c r="I1389" s="362"/>
      <c r="J1389" s="196"/>
      <c r="AX1389" s="117"/>
      <c r="AY1389" s="117"/>
      <c r="AZ1389" s="117"/>
      <c r="BA1389" s="117"/>
      <c r="BB1389" s="117"/>
      <c r="BC1389" s="117"/>
      <c r="BD1389" s="117"/>
    </row>
    <row r="1390" spans="1:56" ht="15">
      <c r="A1390" s="114"/>
      <c r="B1390" s="388" t="s">
        <v>1114</v>
      </c>
      <c r="C1390" s="389">
        <v>0.5</v>
      </c>
      <c r="D1390" s="390" t="s">
        <v>10</v>
      </c>
      <c r="E1390" s="288" t="s">
        <v>1120</v>
      </c>
      <c r="F1390" s="196"/>
      <c r="G1390" s="196" t="s">
        <v>1131</v>
      </c>
      <c r="H1390" s="114"/>
      <c r="I1390" s="114"/>
      <c r="J1390" s="196"/>
      <c r="AX1390" s="117"/>
      <c r="AY1390" s="117"/>
      <c r="AZ1390" s="117"/>
      <c r="BA1390" s="117"/>
      <c r="BB1390" s="117"/>
      <c r="BC1390" s="117"/>
      <c r="BD1390" s="117"/>
    </row>
    <row r="1391" spans="1:56" ht="15">
      <c r="A1391" s="114"/>
      <c r="B1391" s="388" t="s">
        <v>1114</v>
      </c>
      <c r="C1391" s="389">
        <v>0.1</v>
      </c>
      <c r="D1391" s="390" t="s">
        <v>10</v>
      </c>
      <c r="E1391" s="288" t="s">
        <v>1121</v>
      </c>
      <c r="F1391" s="196"/>
      <c r="G1391" s="196"/>
      <c r="H1391" s="196"/>
      <c r="I1391" s="196"/>
      <c r="J1391" s="196"/>
      <c r="AX1391" s="117"/>
      <c r="AY1391" s="117"/>
      <c r="AZ1391" s="117"/>
      <c r="BA1391" s="117"/>
      <c r="BB1391" s="117"/>
      <c r="BC1391" s="117"/>
      <c r="BD1391" s="117"/>
    </row>
    <row r="1392" spans="1:56" ht="15">
      <c r="A1392" s="114"/>
      <c r="B1392" s="362"/>
      <c r="C1392" s="362"/>
      <c r="D1392" s="362"/>
      <c r="E1392" s="362"/>
      <c r="F1392" s="362"/>
      <c r="G1392" s="114"/>
      <c r="H1392" s="362"/>
      <c r="I1392" s="196"/>
      <c r="J1392" s="196"/>
      <c r="AX1392" s="117"/>
      <c r="AY1392" s="117"/>
      <c r="AZ1392" s="117"/>
      <c r="BA1392" s="117"/>
      <c r="BB1392" s="117"/>
      <c r="BC1392" s="117"/>
      <c r="BD1392" s="117"/>
    </row>
    <row r="1393" spans="1:56" ht="15">
      <c r="A1393" s="114"/>
      <c r="B1393" s="303" t="s">
        <v>1122</v>
      </c>
      <c r="C1393" s="362"/>
      <c r="D1393" s="362"/>
      <c r="E1393" s="362"/>
      <c r="F1393" s="362"/>
      <c r="G1393" s="196"/>
      <c r="H1393" s="196"/>
      <c r="I1393" s="196"/>
      <c r="J1393" s="196"/>
      <c r="AX1393" s="117"/>
      <c r="AY1393" s="117"/>
      <c r="AZ1393" s="117"/>
      <c r="BA1393" s="117"/>
      <c r="BB1393" s="117"/>
      <c r="BC1393" s="117"/>
      <c r="BD1393" s="117"/>
    </row>
    <row r="1394" spans="1:56" ht="18">
      <c r="A1394" s="114"/>
      <c r="B1394" s="398" t="s">
        <v>1123</v>
      </c>
      <c r="C1394" s="172"/>
      <c r="D1394" s="173"/>
      <c r="E1394" s="397">
        <f>C1386*((H1384+H1383)/2)*(C1384+C1385+0.05)</f>
        <v>559.20716162473707</v>
      </c>
      <c r="F1394" s="390" t="s">
        <v>1124</v>
      </c>
      <c r="G1394" s="196"/>
      <c r="H1394" s="362"/>
      <c r="I1394" s="362"/>
      <c r="J1394" s="362"/>
      <c r="AX1394" s="117"/>
      <c r="AY1394" s="117"/>
      <c r="AZ1394" s="117"/>
      <c r="BA1394" s="117"/>
      <c r="BB1394" s="117"/>
      <c r="BC1394" s="117"/>
      <c r="BD1394" s="117"/>
    </row>
    <row r="1395" spans="1:56" ht="18">
      <c r="A1395" s="114"/>
      <c r="B1395" s="398" t="s">
        <v>1125</v>
      </c>
      <c r="C1395" s="172"/>
      <c r="D1395" s="173"/>
      <c r="E1395" s="397">
        <f>E1394-(E1413+E1415)</f>
        <v>519.9896616247371</v>
      </c>
      <c r="F1395" s="390" t="s">
        <v>1124</v>
      </c>
      <c r="G1395" s="196"/>
      <c r="H1395" s="196"/>
      <c r="I1395" s="196"/>
      <c r="J1395" s="196"/>
      <c r="AX1395" s="117"/>
      <c r="AY1395" s="117"/>
      <c r="AZ1395" s="117"/>
      <c r="BA1395" s="117"/>
      <c r="BB1395" s="117"/>
      <c r="BC1395" s="117"/>
      <c r="BD1395" s="117"/>
    </row>
    <row r="1396" spans="1:56" ht="15">
      <c r="A1396" s="114"/>
      <c r="B1396" s="398" t="s">
        <v>1126</v>
      </c>
      <c r="C1396" s="172"/>
      <c r="D1396" s="173"/>
      <c r="E1396" s="400">
        <f>((C1382+2*C1391)*(C1383+2*C1391))*C1386</f>
        <v>43.75</v>
      </c>
      <c r="F1396" s="390" t="s">
        <v>13</v>
      </c>
      <c r="G1396" s="362"/>
      <c r="H1396" s="362"/>
      <c r="I1396" s="362"/>
      <c r="J1396" s="362"/>
      <c r="AX1396" s="117"/>
      <c r="AY1396" s="117"/>
      <c r="AZ1396" s="117"/>
      <c r="BA1396" s="117"/>
      <c r="BB1396" s="117"/>
      <c r="BC1396" s="117"/>
      <c r="BD1396" s="117"/>
    </row>
    <row r="1397" spans="1:56" ht="15">
      <c r="A1397" s="114"/>
      <c r="B1397" s="362"/>
      <c r="C1397" s="362"/>
      <c r="D1397" s="362"/>
      <c r="E1397" s="401"/>
      <c r="F1397" s="196"/>
      <c r="G1397" s="362"/>
      <c r="H1397" s="362"/>
      <c r="I1397" s="362"/>
      <c r="J1397" s="362"/>
      <c r="AX1397" s="117"/>
      <c r="AY1397" s="117"/>
      <c r="AZ1397" s="117"/>
      <c r="BA1397" s="117"/>
      <c r="BB1397" s="117"/>
      <c r="BC1397" s="117"/>
      <c r="BD1397" s="117"/>
    </row>
    <row r="1398" spans="1:56" ht="15">
      <c r="A1398" s="114"/>
      <c r="B1398" s="303" t="s">
        <v>1151</v>
      </c>
      <c r="C1398" s="362"/>
      <c r="D1398" s="362"/>
      <c r="E1398" s="410"/>
      <c r="F1398" s="362"/>
      <c r="G1398" s="362"/>
      <c r="H1398" s="362"/>
      <c r="I1398" s="362"/>
      <c r="J1398" s="362"/>
      <c r="AX1398" s="117"/>
      <c r="AY1398" s="117"/>
      <c r="AZ1398" s="117"/>
      <c r="BA1398" s="117"/>
      <c r="BB1398" s="117"/>
      <c r="BC1398" s="117"/>
      <c r="BD1398" s="117"/>
    </row>
    <row r="1399" spans="1:56" ht="15">
      <c r="A1399" s="114"/>
      <c r="B1399" s="398" t="s">
        <v>1152</v>
      </c>
      <c r="C1399" s="398"/>
      <c r="D1399" s="366"/>
      <c r="E1399" s="411">
        <v>4</v>
      </c>
      <c r="F1399" s="390" t="s">
        <v>1153</v>
      </c>
      <c r="G1399" s="362"/>
      <c r="H1399" s="362"/>
      <c r="I1399" s="362"/>
      <c r="J1399" s="362"/>
      <c r="AX1399" s="117"/>
      <c r="AY1399" s="117"/>
      <c r="AZ1399" s="117"/>
      <c r="BA1399" s="117"/>
      <c r="BB1399" s="117"/>
      <c r="BC1399" s="117"/>
      <c r="BD1399" s="117"/>
    </row>
    <row r="1400" spans="1:56" ht="15">
      <c r="A1400" s="114"/>
      <c r="B1400" s="399" t="s">
        <v>1154</v>
      </c>
      <c r="C1400" s="31"/>
      <c r="D1400" s="32"/>
      <c r="E1400" s="412">
        <f>4*E1399</f>
        <v>16</v>
      </c>
      <c r="F1400" s="390" t="s">
        <v>1153</v>
      </c>
      <c r="G1400" s="362"/>
      <c r="H1400" s="362"/>
      <c r="I1400" s="362"/>
      <c r="J1400" s="362"/>
      <c r="AX1400" s="117"/>
      <c r="AY1400" s="117"/>
      <c r="AZ1400" s="117"/>
      <c r="BA1400" s="117"/>
      <c r="BB1400" s="117"/>
      <c r="BC1400" s="117"/>
      <c r="BD1400" s="117"/>
    </row>
    <row r="1401" spans="1:56" ht="15">
      <c r="A1401" s="114"/>
      <c r="B1401" s="398" t="s">
        <v>1155</v>
      </c>
      <c r="C1401" s="21"/>
      <c r="D1401" s="413"/>
      <c r="E1401" s="411">
        <v>350</v>
      </c>
      <c r="F1401" s="390" t="s">
        <v>1156</v>
      </c>
      <c r="G1401" s="362"/>
      <c r="H1401" s="414"/>
      <c r="I1401" s="362"/>
      <c r="J1401" s="415"/>
      <c r="AX1401" s="117"/>
      <c r="AY1401" s="117"/>
      <c r="AZ1401" s="117"/>
      <c r="BA1401" s="117"/>
      <c r="BB1401" s="117"/>
      <c r="BC1401" s="117"/>
      <c r="BD1401" s="117"/>
    </row>
    <row r="1402" spans="1:56" ht="15">
      <c r="A1402" s="114"/>
      <c r="B1402" s="398" t="s">
        <v>1157</v>
      </c>
      <c r="C1402" s="21"/>
      <c r="D1402" s="413"/>
      <c r="E1402" s="416">
        <v>13</v>
      </c>
      <c r="F1402" s="390" t="s">
        <v>10</v>
      </c>
      <c r="G1402" s="362"/>
      <c r="H1402" s="6"/>
      <c r="I1402" s="362"/>
      <c r="J1402" s="362"/>
      <c r="AX1402" s="117"/>
      <c r="AY1402" s="117"/>
      <c r="AZ1402" s="117"/>
      <c r="BA1402" s="117"/>
      <c r="BB1402" s="117"/>
      <c r="BC1402" s="117"/>
      <c r="BD1402" s="117"/>
    </row>
    <row r="1403" spans="1:56" ht="15">
      <c r="A1403" s="114"/>
      <c r="B1403" s="398" t="s">
        <v>1158</v>
      </c>
      <c r="C1403" s="21"/>
      <c r="D1403" s="413"/>
      <c r="E1403" s="412">
        <f>E1400*E1402</f>
        <v>208</v>
      </c>
      <c r="F1403" s="390" t="s">
        <v>10</v>
      </c>
      <c r="G1403" s="362"/>
      <c r="H1403" s="362"/>
      <c r="I1403" s="362"/>
      <c r="J1403" s="362"/>
      <c r="AX1403" s="117"/>
      <c r="AY1403" s="117"/>
      <c r="AZ1403" s="117"/>
      <c r="BA1403" s="117"/>
      <c r="BB1403" s="117"/>
      <c r="BC1403" s="117"/>
      <c r="BD1403" s="117"/>
    </row>
    <row r="1404" spans="1:56" ht="15">
      <c r="A1404" s="114"/>
      <c r="B1404" s="362"/>
      <c r="C1404" s="362"/>
      <c r="D1404" s="362"/>
      <c r="E1404" s="401"/>
      <c r="F1404" s="196"/>
      <c r="G1404" s="362"/>
      <c r="H1404" s="362"/>
      <c r="I1404" s="362"/>
      <c r="J1404" s="362"/>
      <c r="AX1404" s="117"/>
      <c r="AY1404" s="117"/>
      <c r="AZ1404" s="117"/>
      <c r="BA1404" s="117"/>
      <c r="BB1404" s="117"/>
      <c r="BC1404" s="117"/>
      <c r="BD1404" s="117"/>
    </row>
    <row r="1405" spans="1:56" ht="15">
      <c r="A1405" s="114"/>
      <c r="B1405" s="303" t="s">
        <v>1159</v>
      </c>
      <c r="C1405" s="362"/>
      <c r="D1405" s="362"/>
      <c r="E1405" s="410"/>
      <c r="F1405" s="362"/>
      <c r="G1405" s="362"/>
      <c r="H1405" s="362"/>
      <c r="I1405" s="362"/>
      <c r="J1405" s="362"/>
      <c r="AX1405" s="117"/>
      <c r="AY1405" s="117"/>
      <c r="AZ1405" s="117"/>
      <c r="BA1405" s="117"/>
      <c r="BB1405" s="117"/>
      <c r="BC1405" s="117"/>
      <c r="BD1405" s="117"/>
    </row>
    <row r="1406" spans="1:56" ht="15">
      <c r="A1406" s="114"/>
      <c r="B1406" s="398" t="s">
        <v>1152</v>
      </c>
      <c r="C1406" s="398"/>
      <c r="D1406" s="366"/>
      <c r="E1406" s="411">
        <v>4</v>
      </c>
      <c r="F1406" s="390" t="s">
        <v>1153</v>
      </c>
      <c r="G1406" s="362"/>
      <c r="H1406" s="362"/>
      <c r="I1406" s="362"/>
      <c r="J1406" s="362"/>
      <c r="AX1406" s="117"/>
      <c r="AY1406" s="117"/>
      <c r="AZ1406" s="117"/>
      <c r="BA1406" s="117"/>
      <c r="BB1406" s="117"/>
      <c r="BC1406" s="117"/>
      <c r="BD1406" s="117"/>
    </row>
    <row r="1407" spans="1:56" ht="15">
      <c r="A1407" s="114"/>
      <c r="B1407" s="399" t="s">
        <v>1154</v>
      </c>
      <c r="C1407" s="31"/>
      <c r="D1407" s="32"/>
      <c r="E1407" s="412">
        <f>3*E1406</f>
        <v>12</v>
      </c>
      <c r="F1407" s="390" t="s">
        <v>1153</v>
      </c>
      <c r="G1407" s="362"/>
      <c r="H1407" s="362"/>
      <c r="I1407" s="362"/>
      <c r="J1407" s="362"/>
      <c r="AX1407" s="117"/>
      <c r="AY1407" s="117"/>
      <c r="AZ1407" s="117"/>
      <c r="BA1407" s="117"/>
      <c r="BB1407" s="117"/>
      <c r="BC1407" s="117"/>
      <c r="BD1407" s="117"/>
    </row>
    <row r="1408" spans="1:56" ht="15">
      <c r="A1408" s="114"/>
      <c r="B1408" s="398" t="s">
        <v>1155</v>
      </c>
      <c r="C1408" s="21"/>
      <c r="D1408" s="413"/>
      <c r="E1408" s="411">
        <v>400</v>
      </c>
      <c r="F1408" s="390" t="s">
        <v>1156</v>
      </c>
      <c r="G1408" s="362"/>
      <c r="H1408" s="414"/>
      <c r="I1408" s="362"/>
      <c r="J1408" s="415"/>
      <c r="AX1408" s="117"/>
      <c r="AY1408" s="117"/>
      <c r="AZ1408" s="117"/>
      <c r="BA1408" s="117"/>
      <c r="BB1408" s="117"/>
      <c r="BC1408" s="117"/>
      <c r="BD1408" s="117"/>
    </row>
    <row r="1409" spans="1:56" ht="15">
      <c r="A1409" s="114"/>
      <c r="B1409" s="398" t="s">
        <v>1157</v>
      </c>
      <c r="C1409" s="21"/>
      <c r="D1409" s="413"/>
      <c r="E1409" s="416">
        <v>14</v>
      </c>
      <c r="F1409" s="390" t="s">
        <v>10</v>
      </c>
      <c r="G1409" s="362"/>
      <c r="H1409" s="6"/>
      <c r="I1409" s="362"/>
      <c r="J1409" s="362"/>
      <c r="AX1409" s="117"/>
      <c r="AY1409" s="117"/>
      <c r="AZ1409" s="117"/>
      <c r="BA1409" s="117"/>
      <c r="BB1409" s="117"/>
      <c r="BC1409" s="117"/>
      <c r="BD1409" s="117"/>
    </row>
    <row r="1410" spans="1:56" ht="15">
      <c r="A1410" s="114"/>
      <c r="B1410" s="398" t="s">
        <v>1158</v>
      </c>
      <c r="C1410" s="21"/>
      <c r="D1410" s="413"/>
      <c r="E1410" s="412">
        <f>E1407*E1409</f>
        <v>168</v>
      </c>
      <c r="F1410" s="390" t="s">
        <v>10</v>
      </c>
      <c r="G1410" s="362"/>
      <c r="H1410" s="362"/>
      <c r="I1410" s="362"/>
      <c r="J1410" s="362"/>
      <c r="AX1410" s="117"/>
      <c r="AY1410" s="117"/>
      <c r="AZ1410" s="117"/>
      <c r="BA1410" s="117"/>
      <c r="BB1410" s="117"/>
      <c r="BC1410" s="117"/>
      <c r="BD1410" s="117"/>
    </row>
    <row r="1411" spans="1:56" ht="15">
      <c r="A1411" s="114"/>
      <c r="B1411" s="362"/>
      <c r="C1411" s="362"/>
      <c r="D1411" s="362"/>
      <c r="E1411" s="410"/>
      <c r="F1411" s="362"/>
      <c r="G1411" s="362"/>
      <c r="H1411" s="362"/>
      <c r="I1411" s="362"/>
      <c r="J1411" s="362"/>
      <c r="AX1411" s="117"/>
      <c r="AY1411" s="117"/>
      <c r="AZ1411" s="117"/>
      <c r="BA1411" s="117"/>
      <c r="BB1411" s="117"/>
      <c r="BC1411" s="117"/>
      <c r="BD1411" s="117"/>
    </row>
    <row r="1412" spans="1:56" ht="15">
      <c r="A1412" s="114"/>
      <c r="B1412" s="303" t="s">
        <v>1160</v>
      </c>
      <c r="C1412" s="362"/>
      <c r="D1412" s="362"/>
      <c r="E1412" s="410"/>
      <c r="F1412" s="362"/>
      <c r="G1412" s="362"/>
      <c r="H1412" s="362"/>
      <c r="I1412" s="362"/>
      <c r="J1412" s="362"/>
      <c r="AX1412" s="117"/>
      <c r="AY1412" s="117"/>
      <c r="AZ1412" s="117"/>
      <c r="BA1412" s="117"/>
      <c r="BB1412" s="117"/>
      <c r="BC1412" s="117"/>
      <c r="BD1412" s="117"/>
    </row>
    <row r="1413" spans="1:56" ht="18">
      <c r="A1413" s="114"/>
      <c r="B1413" s="398" t="s">
        <v>1128</v>
      </c>
      <c r="C1413" s="172"/>
      <c r="D1413" s="173"/>
      <c r="E1413" s="402">
        <f>E1396*0.05</f>
        <v>2.1875</v>
      </c>
      <c r="F1413" s="390" t="s">
        <v>1124</v>
      </c>
      <c r="G1413" s="362"/>
      <c r="H1413" s="362"/>
      <c r="I1413" s="362"/>
      <c r="J1413" s="362"/>
      <c r="AX1413" s="117"/>
      <c r="AY1413" s="117"/>
      <c r="AZ1413" s="117"/>
      <c r="BA1413" s="117"/>
      <c r="BB1413" s="117"/>
      <c r="BC1413" s="117"/>
      <c r="BD1413" s="117"/>
    </row>
    <row r="1414" spans="1:56" ht="15">
      <c r="A1414" s="114"/>
      <c r="B1414" s="398" t="s">
        <v>1129</v>
      </c>
      <c r="C1414" s="172"/>
      <c r="D1414" s="173"/>
      <c r="E1414" s="397">
        <f>(2*(C1382+C1383)*C1385)*C1386</f>
        <v>64.399999999999991</v>
      </c>
      <c r="F1414" s="390" t="s">
        <v>13</v>
      </c>
      <c r="G1414" s="362"/>
      <c r="H1414" s="362"/>
      <c r="I1414" s="362"/>
      <c r="J1414" s="362"/>
      <c r="AX1414" s="117"/>
      <c r="AY1414" s="117"/>
      <c r="AZ1414" s="117"/>
      <c r="BA1414" s="117"/>
      <c r="BB1414" s="117"/>
      <c r="BC1414" s="117"/>
      <c r="BD1414" s="117"/>
    </row>
    <row r="1415" spans="1:56" ht="18">
      <c r="A1415" s="114"/>
      <c r="B1415" s="398" t="s">
        <v>1130</v>
      </c>
      <c r="C1415" s="172"/>
      <c r="D1415" s="173"/>
      <c r="E1415" s="402">
        <f>(C1382*C1383*C1385)*C1386</f>
        <v>37.029999999999994</v>
      </c>
      <c r="F1415" s="390" t="s">
        <v>1124</v>
      </c>
      <c r="G1415" s="362"/>
      <c r="H1415" s="362"/>
      <c r="I1415" s="362"/>
      <c r="J1415" s="362"/>
      <c r="AX1415" s="117"/>
      <c r="AY1415" s="117"/>
      <c r="AZ1415" s="117"/>
      <c r="BA1415" s="117"/>
      <c r="BB1415" s="117"/>
      <c r="BC1415" s="117"/>
      <c r="BD1415" s="117"/>
    </row>
    <row r="1416" spans="1:56" ht="15">
      <c r="A1416" s="114"/>
      <c r="B1416" s="288"/>
      <c r="C1416" s="230"/>
      <c r="D1416" s="230"/>
      <c r="E1416" s="384"/>
      <c r="F1416" s="196"/>
      <c r="G1416" s="196"/>
      <c r="H1416" s="196"/>
      <c r="I1416" s="196"/>
      <c r="J1416" s="114"/>
      <c r="AW1416" s="117"/>
      <c r="AX1416" s="117"/>
      <c r="AY1416" s="117"/>
      <c r="AZ1416" s="117"/>
      <c r="BA1416" s="117"/>
      <c r="BB1416" s="117"/>
      <c r="BC1416" s="117"/>
      <c r="BD1416" s="117"/>
    </row>
    <row r="1417" spans="1:56" ht="15">
      <c r="A1417" s="114"/>
      <c r="B1417" s="288"/>
      <c r="C1417" s="230"/>
      <c r="D1417" s="230"/>
      <c r="E1417" s="384"/>
      <c r="F1417" s="196"/>
      <c r="G1417" s="196"/>
      <c r="H1417" s="196"/>
      <c r="I1417" s="196"/>
      <c r="J1417" s="114"/>
      <c r="AW1417" s="117"/>
      <c r="AX1417" s="117"/>
      <c r="AY1417" s="117"/>
      <c r="AZ1417" s="117"/>
      <c r="BA1417" s="117"/>
      <c r="BB1417" s="117"/>
      <c r="BC1417" s="117"/>
      <c r="BD1417" s="117"/>
    </row>
    <row r="1418" spans="1:56" customFormat="1" ht="12.75">
      <c r="B1418" s="362"/>
      <c r="C1418" s="362"/>
      <c r="D1418" s="362"/>
      <c r="E1418" s="362"/>
      <c r="F1418" s="362"/>
      <c r="G1418" s="362"/>
      <c r="H1418" s="362"/>
      <c r="I1418" s="362"/>
      <c r="J1418" s="362"/>
    </row>
    <row r="1419" spans="1:56">
      <c r="A1419" s="114"/>
      <c r="B1419" s="385" t="s">
        <v>1161</v>
      </c>
      <c r="C1419" s="196"/>
      <c r="D1419" s="196"/>
      <c r="E1419" s="196"/>
      <c r="F1419" s="196"/>
      <c r="G1419" s="196"/>
      <c r="H1419" s="196"/>
      <c r="I1419" s="196"/>
      <c r="J1419" s="196"/>
      <c r="AX1419" s="117"/>
      <c r="AY1419" s="117"/>
      <c r="AZ1419" s="117"/>
      <c r="BA1419" s="117"/>
      <c r="BB1419" s="117"/>
      <c r="BC1419" s="117"/>
      <c r="BD1419" s="117"/>
    </row>
    <row r="1420" spans="1:56" ht="15">
      <c r="A1420" s="114"/>
      <c r="B1420" s="362"/>
      <c r="C1420" s="362"/>
      <c r="D1420" s="362"/>
      <c r="E1420" s="362"/>
      <c r="F1420" s="404"/>
      <c r="G1420" s="404"/>
      <c r="H1420" s="404"/>
      <c r="I1420" s="404"/>
      <c r="J1420" s="404"/>
      <c r="AX1420" s="117"/>
      <c r="AY1420" s="117"/>
      <c r="AZ1420" s="117"/>
      <c r="BA1420" s="117"/>
      <c r="BB1420" s="117"/>
      <c r="BC1420" s="117"/>
      <c r="BD1420" s="117"/>
    </row>
    <row r="1421" spans="1:56" ht="18">
      <c r="A1421" s="114"/>
      <c r="B1421" s="388" t="s">
        <v>1141</v>
      </c>
      <c r="C1421" s="389">
        <v>0.6</v>
      </c>
      <c r="D1421" s="390" t="s">
        <v>10</v>
      </c>
      <c r="E1421" s="196"/>
      <c r="F1421" s="405"/>
      <c r="G1421" s="406" t="s">
        <v>1142</v>
      </c>
      <c r="H1421" s="407">
        <f>C1421*C1422</f>
        <v>0.18</v>
      </c>
      <c r="I1421" s="405" t="s">
        <v>1143</v>
      </c>
      <c r="J1421" s="405"/>
      <c r="AX1421" s="117"/>
      <c r="AY1421" s="117"/>
      <c r="AZ1421" s="117"/>
      <c r="BA1421" s="117"/>
      <c r="BB1421" s="117"/>
      <c r="BC1421" s="117"/>
      <c r="BD1421" s="117"/>
    </row>
    <row r="1422" spans="1:56" ht="15">
      <c r="A1422" s="114"/>
      <c r="B1422" s="388" t="s">
        <v>1144</v>
      </c>
      <c r="C1422" s="389">
        <v>0.3</v>
      </c>
      <c r="D1422" s="390" t="s">
        <v>10</v>
      </c>
      <c r="E1422" s="196"/>
      <c r="F1422" s="405"/>
      <c r="G1422" s="406" t="e">
        <f>TEXT(C1429,"tg 0°=")</f>
        <v>#VALUE!</v>
      </c>
      <c r="H1422" s="408">
        <f>TAN(3.14159265359*C1429/180)</f>
        <v>1.732050807569153</v>
      </c>
      <c r="I1422" s="405"/>
      <c r="J1422" s="405"/>
      <c r="AX1422" s="117"/>
      <c r="AY1422" s="117"/>
      <c r="AZ1422" s="117"/>
      <c r="BA1422" s="117"/>
      <c r="BB1422" s="117"/>
      <c r="BC1422" s="117"/>
      <c r="BD1422" s="117"/>
    </row>
    <row r="1423" spans="1:56" ht="15">
      <c r="A1423" s="114"/>
      <c r="B1423" s="388" t="s">
        <v>1145</v>
      </c>
      <c r="C1423" s="389">
        <v>2.2999999999999998</v>
      </c>
      <c r="D1423" s="390" t="s">
        <v>10</v>
      </c>
      <c r="E1423" s="196"/>
      <c r="F1423" s="405"/>
      <c r="G1423" s="406"/>
      <c r="H1423" s="407"/>
      <c r="I1423" s="405"/>
      <c r="J1423" s="405"/>
      <c r="AX1423" s="117"/>
      <c r="AY1423" s="117"/>
      <c r="AZ1423" s="117"/>
      <c r="BA1423" s="117"/>
      <c r="BB1423" s="117"/>
      <c r="BC1423" s="117"/>
      <c r="BD1423" s="117"/>
    </row>
    <row r="1424" spans="1:56" ht="18">
      <c r="A1424" s="114"/>
      <c r="B1424" s="388" t="s">
        <v>1146</v>
      </c>
      <c r="C1424" s="389">
        <v>2.2999999999999998</v>
      </c>
      <c r="D1424" s="390" t="s">
        <v>10</v>
      </c>
      <c r="E1424" s="196"/>
      <c r="F1424" s="405"/>
      <c r="G1424" s="406" t="s">
        <v>1142</v>
      </c>
      <c r="H1424" s="409">
        <f>(C1423+2*C1431+((C1425+C1426+0.05)/H1422)*2)*(C1424+2*C1431+((C1425+C1426+0.05)/H1422)*2)</f>
        <v>44.204301637905125</v>
      </c>
      <c r="I1424" s="405" t="s">
        <v>1143</v>
      </c>
      <c r="J1424" s="405"/>
      <c r="AX1424" s="117"/>
      <c r="AY1424" s="117"/>
      <c r="AZ1424" s="117"/>
      <c r="BA1424" s="117"/>
      <c r="BB1424" s="117"/>
      <c r="BC1424" s="117"/>
      <c r="BD1424" s="117"/>
    </row>
    <row r="1425" spans="1:56" ht="18">
      <c r="A1425" s="114"/>
      <c r="B1425" s="388" t="s">
        <v>1112</v>
      </c>
      <c r="C1425" s="389">
        <v>1.85</v>
      </c>
      <c r="D1425" s="390" t="s">
        <v>10</v>
      </c>
      <c r="E1425" s="196"/>
      <c r="F1425" s="405"/>
      <c r="G1425" s="406" t="s">
        <v>1147</v>
      </c>
      <c r="H1425" s="409">
        <f>(C1423+2*C1431)*(C1424+2*C1431)</f>
        <v>10.889999999999999</v>
      </c>
      <c r="I1425" s="405" t="s">
        <v>1143</v>
      </c>
      <c r="J1425" s="405"/>
      <c r="AX1425" s="117"/>
      <c r="AY1425" s="117"/>
      <c r="AZ1425" s="117"/>
      <c r="BA1425" s="117"/>
      <c r="BB1425" s="117"/>
      <c r="BC1425" s="117"/>
      <c r="BD1425" s="117"/>
    </row>
    <row r="1426" spans="1:56" ht="15">
      <c r="A1426" s="114"/>
      <c r="B1426" s="388" t="s">
        <v>1113</v>
      </c>
      <c r="C1426" s="389">
        <v>1</v>
      </c>
      <c r="D1426" s="390" t="s">
        <v>10</v>
      </c>
      <c r="E1426" s="196"/>
      <c r="F1426" s="405"/>
      <c r="G1426" s="406"/>
      <c r="H1426" s="407"/>
      <c r="I1426" s="405"/>
      <c r="J1426" s="405"/>
      <c r="AX1426" s="117"/>
      <c r="AY1426" s="117"/>
      <c r="AZ1426" s="117"/>
      <c r="BA1426" s="117"/>
      <c r="BB1426" s="117"/>
      <c r="BC1426" s="117"/>
      <c r="BD1426" s="117"/>
    </row>
    <row r="1427" spans="1:56" ht="15">
      <c r="A1427" s="114"/>
      <c r="B1427" s="388" t="s">
        <v>1117</v>
      </c>
      <c r="C1427" s="391">
        <v>3</v>
      </c>
      <c r="D1427" s="390" t="s">
        <v>1118</v>
      </c>
      <c r="E1427" s="196"/>
      <c r="F1427" s="405"/>
      <c r="G1427" s="406"/>
      <c r="H1427" s="407"/>
      <c r="I1427" s="405"/>
      <c r="J1427" s="405"/>
      <c r="AX1427" s="117"/>
      <c r="AY1427" s="117"/>
      <c r="AZ1427" s="117"/>
      <c r="BA1427" s="117"/>
      <c r="BB1427" s="117"/>
      <c r="BC1427" s="117"/>
      <c r="BD1427" s="117"/>
    </row>
    <row r="1428" spans="1:56" ht="15">
      <c r="A1428" s="114"/>
      <c r="B1428" s="196" t="s">
        <v>1148</v>
      </c>
      <c r="C1428" s="393"/>
      <c r="D1428" s="196"/>
      <c r="E1428" s="196"/>
      <c r="F1428" s="405"/>
      <c r="G1428" s="406"/>
      <c r="H1428" s="407"/>
      <c r="I1428" s="405"/>
      <c r="J1428" s="405"/>
      <c r="AX1428" s="117"/>
      <c r="AY1428" s="117"/>
      <c r="AZ1428" s="117"/>
      <c r="BA1428" s="117"/>
      <c r="BB1428" s="117"/>
      <c r="BC1428" s="117"/>
      <c r="BD1428" s="117"/>
    </row>
    <row r="1429" spans="1:56" ht="15">
      <c r="A1429" s="114"/>
      <c r="B1429" s="388" t="s">
        <v>1149</v>
      </c>
      <c r="C1429" s="389">
        <v>60</v>
      </c>
      <c r="D1429" s="390" t="s">
        <v>1150</v>
      </c>
      <c r="E1429" s="196"/>
      <c r="F1429" s="196"/>
      <c r="G1429" s="392"/>
      <c r="H1429" s="393"/>
      <c r="I1429" s="196"/>
      <c r="J1429" s="196"/>
      <c r="AX1429" s="117"/>
      <c r="AY1429" s="117"/>
      <c r="AZ1429" s="117"/>
      <c r="BA1429" s="117"/>
      <c r="BB1429" s="117"/>
      <c r="BC1429" s="117"/>
      <c r="BD1429" s="117"/>
    </row>
    <row r="1430" spans="1:56" ht="15">
      <c r="A1430" s="114"/>
      <c r="B1430" s="362"/>
      <c r="C1430" s="196"/>
      <c r="D1430" s="196"/>
      <c r="E1430" s="196"/>
      <c r="F1430" s="196"/>
      <c r="G1430" s="362"/>
      <c r="H1430" s="362"/>
      <c r="I1430" s="362"/>
      <c r="J1430" s="196"/>
      <c r="AX1430" s="117"/>
      <c r="AY1430" s="117"/>
      <c r="AZ1430" s="117"/>
      <c r="BA1430" s="117"/>
      <c r="BB1430" s="117"/>
      <c r="BC1430" s="117"/>
      <c r="BD1430" s="117"/>
    </row>
    <row r="1431" spans="1:56" ht="15">
      <c r="A1431" s="114"/>
      <c r="B1431" s="388" t="s">
        <v>1114</v>
      </c>
      <c r="C1431" s="389">
        <v>0.5</v>
      </c>
      <c r="D1431" s="390" t="s">
        <v>10</v>
      </c>
      <c r="E1431" s="288" t="s">
        <v>1120</v>
      </c>
      <c r="F1431" s="196"/>
      <c r="G1431" s="196" t="s">
        <v>1131</v>
      </c>
      <c r="H1431" s="114"/>
      <c r="I1431" s="114"/>
      <c r="J1431" s="196"/>
      <c r="AX1431" s="117"/>
      <c r="AY1431" s="117"/>
      <c r="AZ1431" s="117"/>
      <c r="BA1431" s="117"/>
      <c r="BB1431" s="117"/>
      <c r="BC1431" s="117"/>
      <c r="BD1431" s="117"/>
    </row>
    <row r="1432" spans="1:56" ht="15">
      <c r="A1432" s="114"/>
      <c r="B1432" s="388" t="s">
        <v>1114</v>
      </c>
      <c r="C1432" s="389">
        <v>0.1</v>
      </c>
      <c r="D1432" s="390" t="s">
        <v>10</v>
      </c>
      <c r="E1432" s="288" t="s">
        <v>1121</v>
      </c>
      <c r="F1432" s="196"/>
      <c r="G1432" s="196"/>
      <c r="H1432" s="196"/>
      <c r="I1432" s="196"/>
      <c r="J1432" s="196"/>
      <c r="AX1432" s="117"/>
      <c r="AY1432" s="117"/>
      <c r="AZ1432" s="117"/>
      <c r="BA1432" s="117"/>
      <c r="BB1432" s="117"/>
      <c r="BC1432" s="117"/>
      <c r="BD1432" s="117"/>
    </row>
    <row r="1433" spans="1:56" ht="15">
      <c r="A1433" s="114"/>
      <c r="B1433" s="362"/>
      <c r="C1433" s="362"/>
      <c r="D1433" s="362"/>
      <c r="E1433" s="362"/>
      <c r="F1433" s="362"/>
      <c r="G1433" s="114"/>
      <c r="H1433" s="362"/>
      <c r="I1433" s="196"/>
      <c r="J1433" s="196"/>
      <c r="AX1433" s="117"/>
      <c r="AY1433" s="117"/>
      <c r="AZ1433" s="117"/>
      <c r="BA1433" s="117"/>
      <c r="BB1433" s="117"/>
      <c r="BC1433" s="117"/>
      <c r="BD1433" s="117"/>
    </row>
    <row r="1434" spans="1:56" ht="15">
      <c r="A1434" s="114"/>
      <c r="B1434" s="303" t="s">
        <v>1122</v>
      </c>
      <c r="C1434" s="362"/>
      <c r="D1434" s="362"/>
      <c r="E1434" s="362"/>
      <c r="F1434" s="362"/>
      <c r="G1434" s="196"/>
      <c r="H1434" s="196"/>
      <c r="I1434" s="196"/>
      <c r="J1434" s="196"/>
      <c r="AX1434" s="117"/>
      <c r="AY1434" s="117"/>
      <c r="AZ1434" s="117"/>
      <c r="BA1434" s="117"/>
      <c r="BB1434" s="117"/>
      <c r="BC1434" s="117"/>
      <c r="BD1434" s="117"/>
    </row>
    <row r="1435" spans="1:56" ht="18">
      <c r="A1435" s="114"/>
      <c r="B1435" s="398" t="s">
        <v>1123</v>
      </c>
      <c r="C1435" s="172"/>
      <c r="D1435" s="173"/>
      <c r="E1435" s="397">
        <f>C1427*((H1425+H1424)/2)*(C1425+C1426+0.05)</f>
        <v>239.66021212488729</v>
      </c>
      <c r="F1435" s="390" t="s">
        <v>1124</v>
      </c>
      <c r="G1435" s="196"/>
      <c r="H1435" s="362"/>
      <c r="I1435" s="362"/>
      <c r="J1435" s="362"/>
      <c r="AX1435" s="117"/>
      <c r="AY1435" s="117"/>
      <c r="AZ1435" s="117"/>
      <c r="BA1435" s="117"/>
      <c r="BB1435" s="117"/>
      <c r="BC1435" s="117"/>
      <c r="BD1435" s="117"/>
    </row>
    <row r="1436" spans="1:56" ht="18">
      <c r="A1436" s="114"/>
      <c r="B1436" s="398" t="s">
        <v>1125</v>
      </c>
      <c r="C1436" s="172"/>
      <c r="D1436" s="173"/>
      <c r="E1436" s="397">
        <f>E1435-(E1454+E1456)</f>
        <v>239.66021212488729</v>
      </c>
      <c r="F1436" s="390" t="s">
        <v>1124</v>
      </c>
      <c r="G1436" s="196"/>
      <c r="H1436" s="196"/>
      <c r="I1436" s="196"/>
      <c r="J1436" s="196"/>
      <c r="AX1436" s="117"/>
      <c r="AY1436" s="117"/>
      <c r="AZ1436" s="117"/>
      <c r="BA1436" s="117"/>
      <c r="BB1436" s="117"/>
      <c r="BC1436" s="117"/>
      <c r="BD1436" s="117"/>
    </row>
    <row r="1437" spans="1:56" ht="15">
      <c r="A1437" s="114"/>
      <c r="B1437" s="398" t="s">
        <v>1126</v>
      </c>
      <c r="C1437" s="172"/>
      <c r="D1437" s="173"/>
      <c r="E1437" s="400">
        <f>((C1423+2*C1432)*(C1424+2*C1432))*C1427</f>
        <v>18.75</v>
      </c>
      <c r="F1437" s="390" t="s">
        <v>13</v>
      </c>
      <c r="G1437" s="362"/>
      <c r="H1437" s="362"/>
      <c r="I1437" s="362"/>
      <c r="J1437" s="362"/>
      <c r="AX1437" s="117"/>
      <c r="AY1437" s="117"/>
      <c r="AZ1437" s="117"/>
      <c r="BA1437" s="117"/>
      <c r="BB1437" s="117"/>
      <c r="BC1437" s="117"/>
      <c r="BD1437" s="117"/>
    </row>
    <row r="1438" spans="1:56" ht="15">
      <c r="A1438" s="114"/>
      <c r="B1438" s="362"/>
      <c r="C1438" s="362"/>
      <c r="D1438" s="362"/>
      <c r="E1438" s="401"/>
      <c r="F1438" s="196"/>
      <c r="G1438" s="362"/>
      <c r="H1438" s="362"/>
      <c r="I1438" s="362"/>
      <c r="J1438" s="362"/>
      <c r="AX1438" s="117"/>
      <c r="AY1438" s="117"/>
      <c r="AZ1438" s="117"/>
      <c r="BA1438" s="117"/>
      <c r="BB1438" s="117"/>
      <c r="BC1438" s="117"/>
      <c r="BD1438" s="117"/>
    </row>
    <row r="1439" spans="1:56" ht="15">
      <c r="A1439" s="114"/>
      <c r="B1439" s="303" t="s">
        <v>1162</v>
      </c>
      <c r="C1439" s="362"/>
      <c r="D1439" s="362"/>
      <c r="E1439" s="410"/>
      <c r="F1439" s="362"/>
      <c r="G1439" s="362"/>
      <c r="H1439" s="362"/>
      <c r="I1439" s="362"/>
      <c r="J1439" s="362"/>
      <c r="AX1439" s="117"/>
      <c r="AY1439" s="117"/>
      <c r="AZ1439" s="117"/>
      <c r="BA1439" s="117"/>
      <c r="BB1439" s="117"/>
      <c r="BC1439" s="117"/>
      <c r="BD1439" s="117"/>
    </row>
    <row r="1440" spans="1:56" ht="15">
      <c r="A1440" s="114"/>
      <c r="B1440" s="398" t="s">
        <v>1152</v>
      </c>
      <c r="C1440" s="398"/>
      <c r="D1440" s="366"/>
      <c r="E1440" s="411">
        <v>4</v>
      </c>
      <c r="F1440" s="390" t="s">
        <v>1153</v>
      </c>
      <c r="G1440" s="362"/>
      <c r="H1440" s="362"/>
      <c r="I1440" s="362"/>
      <c r="J1440" s="362"/>
      <c r="AX1440" s="117"/>
      <c r="AY1440" s="117"/>
      <c r="AZ1440" s="117"/>
      <c r="BA1440" s="117"/>
      <c r="BB1440" s="117"/>
      <c r="BC1440" s="117"/>
      <c r="BD1440" s="117"/>
    </row>
    <row r="1441" spans="1:56" ht="15">
      <c r="A1441" s="114"/>
      <c r="B1441" s="399" t="s">
        <v>1154</v>
      </c>
      <c r="C1441" s="31"/>
      <c r="D1441" s="32"/>
      <c r="E1441" s="412">
        <f>C1427*E1440</f>
        <v>12</v>
      </c>
      <c r="F1441" s="390" t="s">
        <v>1153</v>
      </c>
      <c r="G1441" s="362"/>
      <c r="H1441" s="362"/>
      <c r="I1441" s="362"/>
      <c r="J1441" s="362"/>
      <c r="AX1441" s="117"/>
      <c r="AY1441" s="117"/>
      <c r="AZ1441" s="117"/>
      <c r="BA1441" s="117"/>
      <c r="BB1441" s="117"/>
      <c r="BC1441" s="117"/>
      <c r="BD1441" s="117"/>
    </row>
    <row r="1442" spans="1:56" ht="15">
      <c r="A1442" s="114"/>
      <c r="B1442" s="398" t="s">
        <v>1155</v>
      </c>
      <c r="C1442" s="21"/>
      <c r="D1442" s="413"/>
      <c r="E1442" s="411">
        <v>400</v>
      </c>
      <c r="F1442" s="390" t="s">
        <v>1156</v>
      </c>
      <c r="G1442" s="362"/>
      <c r="H1442" s="414"/>
      <c r="I1442" s="362"/>
      <c r="J1442" s="415"/>
      <c r="AX1442" s="117"/>
      <c r="AY1442" s="117"/>
      <c r="AZ1442" s="117"/>
      <c r="BA1442" s="117"/>
      <c r="BB1442" s="117"/>
      <c r="BC1442" s="117"/>
      <c r="BD1442" s="117"/>
    </row>
    <row r="1443" spans="1:56" ht="15">
      <c r="A1443" s="114"/>
      <c r="B1443" s="398" t="s">
        <v>1157</v>
      </c>
      <c r="C1443" s="21"/>
      <c r="D1443" s="413"/>
      <c r="E1443" s="416">
        <v>14</v>
      </c>
      <c r="F1443" s="390" t="s">
        <v>10</v>
      </c>
      <c r="G1443" s="362"/>
      <c r="H1443" s="6"/>
      <c r="I1443" s="362"/>
      <c r="J1443" s="362"/>
      <c r="AX1443" s="117"/>
      <c r="AY1443" s="117"/>
      <c r="AZ1443" s="117"/>
      <c r="BA1443" s="117"/>
      <c r="BB1443" s="117"/>
      <c r="BC1443" s="117"/>
      <c r="BD1443" s="117"/>
    </row>
    <row r="1444" spans="1:56" ht="15">
      <c r="A1444" s="114"/>
      <c r="B1444" s="398" t="s">
        <v>1158</v>
      </c>
      <c r="C1444" s="21"/>
      <c r="D1444" s="413"/>
      <c r="E1444" s="412">
        <f>E1441*E1443</f>
        <v>168</v>
      </c>
      <c r="F1444" s="390" t="s">
        <v>10</v>
      </c>
      <c r="G1444" s="362"/>
      <c r="H1444" s="362"/>
      <c r="I1444" s="362"/>
      <c r="J1444" s="362"/>
      <c r="AX1444" s="117"/>
      <c r="AY1444" s="117"/>
      <c r="AZ1444" s="117"/>
      <c r="BA1444" s="117"/>
      <c r="BB1444" s="117"/>
      <c r="BC1444" s="117"/>
      <c r="BD1444" s="117"/>
    </row>
    <row r="1445" spans="1:56" ht="15">
      <c r="A1445" s="114"/>
      <c r="B1445" s="362"/>
      <c r="C1445" s="362"/>
      <c r="D1445" s="362"/>
      <c r="E1445" s="410"/>
      <c r="F1445" s="362"/>
      <c r="G1445" s="362"/>
      <c r="H1445" s="362"/>
      <c r="I1445" s="362"/>
      <c r="J1445" s="362"/>
      <c r="AX1445" s="117"/>
      <c r="AY1445" s="117"/>
      <c r="AZ1445" s="117"/>
      <c r="BA1445" s="117"/>
      <c r="BB1445" s="117"/>
      <c r="BC1445" s="117"/>
      <c r="BD1445" s="117"/>
    </row>
    <row r="1446" spans="1:56" ht="15">
      <c r="A1446" s="114"/>
      <c r="B1446" s="303" t="s">
        <v>1160</v>
      </c>
      <c r="C1446" s="362"/>
      <c r="D1446" s="362"/>
      <c r="E1446" s="410"/>
      <c r="F1446" s="362"/>
      <c r="G1446" s="362"/>
      <c r="H1446" s="362"/>
      <c r="I1446" s="362"/>
      <c r="J1446" s="362"/>
      <c r="AX1446" s="117"/>
      <c r="AY1446" s="117"/>
      <c r="AZ1446" s="117"/>
      <c r="BA1446" s="117"/>
      <c r="BB1446" s="117"/>
      <c r="BC1446" s="117"/>
      <c r="BD1446" s="117"/>
    </row>
    <row r="1447" spans="1:56" ht="18">
      <c r="A1447" s="114"/>
      <c r="B1447" s="398" t="s">
        <v>1128</v>
      </c>
      <c r="C1447" s="172"/>
      <c r="D1447" s="173"/>
      <c r="E1447" s="402">
        <f>E1437*0.05</f>
        <v>0.9375</v>
      </c>
      <c r="F1447" s="390" t="s">
        <v>1124</v>
      </c>
      <c r="G1447" s="362"/>
      <c r="H1447" s="362"/>
      <c r="I1447" s="362"/>
      <c r="J1447" s="362"/>
      <c r="AX1447" s="117"/>
      <c r="AY1447" s="117"/>
      <c r="AZ1447" s="117"/>
      <c r="BA1447" s="117"/>
      <c r="BB1447" s="117"/>
      <c r="BC1447" s="117"/>
      <c r="BD1447" s="117"/>
    </row>
    <row r="1448" spans="1:56" ht="15">
      <c r="A1448" s="114"/>
      <c r="B1448" s="398" t="s">
        <v>1129</v>
      </c>
      <c r="C1448" s="172"/>
      <c r="D1448" s="173"/>
      <c r="E1448" s="397">
        <f>(2*(C1423+C1424)*C1426)*C1427</f>
        <v>27.599999999999998</v>
      </c>
      <c r="F1448" s="390" t="s">
        <v>13</v>
      </c>
      <c r="G1448" s="362"/>
      <c r="H1448" s="362"/>
      <c r="I1448" s="362"/>
      <c r="J1448" s="362"/>
      <c r="AX1448" s="117"/>
      <c r="AY1448" s="117"/>
      <c r="AZ1448" s="117"/>
      <c r="BA1448" s="117"/>
      <c r="BB1448" s="117"/>
      <c r="BC1448" s="117"/>
      <c r="BD1448" s="117"/>
    </row>
    <row r="1449" spans="1:56" ht="18">
      <c r="A1449" s="114"/>
      <c r="B1449" s="398" t="s">
        <v>1130</v>
      </c>
      <c r="C1449" s="172"/>
      <c r="D1449" s="173"/>
      <c r="E1449" s="402">
        <f>(C1423*C1424*C1426)*C1427</f>
        <v>15.869999999999997</v>
      </c>
      <c r="F1449" s="390" t="s">
        <v>1124</v>
      </c>
      <c r="G1449" s="362"/>
      <c r="H1449" s="362"/>
      <c r="I1449" s="362"/>
      <c r="J1449" s="362"/>
      <c r="AX1449" s="117"/>
      <c r="AY1449" s="117"/>
      <c r="AZ1449" s="117"/>
      <c r="BA1449" s="117"/>
      <c r="BB1449" s="117"/>
      <c r="BC1449" s="117"/>
      <c r="BD1449" s="117"/>
    </row>
    <row r="1450" spans="1:56" ht="15">
      <c r="A1450" s="114"/>
      <c r="B1450" s="288"/>
      <c r="C1450" s="230"/>
      <c r="D1450" s="230"/>
      <c r="E1450" s="384"/>
      <c r="F1450" s="196"/>
      <c r="G1450" s="196"/>
      <c r="H1450" s="196"/>
      <c r="I1450" s="196"/>
      <c r="J1450" s="114"/>
      <c r="AW1450" s="117"/>
      <c r="AX1450" s="117"/>
      <c r="AY1450" s="117"/>
      <c r="AZ1450" s="117"/>
      <c r="BA1450" s="117"/>
      <c r="BB1450" s="117"/>
      <c r="BC1450" s="117"/>
      <c r="BD1450" s="117"/>
    </row>
    <row r="1451" spans="1:56" ht="15">
      <c r="A1451" s="114"/>
      <c r="B1451" s="288"/>
      <c r="C1451" s="230"/>
      <c r="D1451" s="230"/>
      <c r="E1451" s="384"/>
      <c r="F1451" s="196"/>
      <c r="G1451" s="196"/>
      <c r="H1451" s="196"/>
      <c r="I1451" s="196"/>
      <c r="J1451" s="114"/>
      <c r="AW1451" s="117"/>
      <c r="AX1451" s="117"/>
      <c r="AY1451" s="117"/>
      <c r="AZ1451" s="117"/>
      <c r="BA1451" s="117"/>
      <c r="BB1451" s="117"/>
      <c r="BC1451" s="117"/>
      <c r="BD1451" s="117"/>
    </row>
    <row r="1452" spans="1:56" customFormat="1" ht="12.75">
      <c r="B1452" s="362"/>
      <c r="C1452" s="362"/>
      <c r="D1452" s="362"/>
      <c r="E1452" s="362"/>
      <c r="F1452" s="362"/>
      <c r="G1452" s="362"/>
      <c r="H1452" s="362"/>
      <c r="I1452" s="362"/>
      <c r="J1452" s="362"/>
    </row>
    <row r="1453" spans="1:56">
      <c r="A1453" s="114"/>
      <c r="B1453" s="385" t="s">
        <v>1163</v>
      </c>
      <c r="C1453" s="196"/>
      <c r="D1453" s="196"/>
      <c r="E1453" s="196"/>
      <c r="F1453" s="196"/>
      <c r="G1453" s="196"/>
      <c r="H1453" s="196"/>
      <c r="I1453" s="196"/>
      <c r="J1453" s="196"/>
      <c r="AX1453" s="117"/>
      <c r="AY1453" s="117"/>
      <c r="AZ1453" s="117"/>
      <c r="BA1453" s="117"/>
      <c r="BB1453" s="117"/>
      <c r="BC1453" s="117"/>
      <c r="BD1453" s="117"/>
    </row>
    <row r="1454" spans="1:56" ht="15">
      <c r="A1454" s="114"/>
      <c r="B1454" s="362"/>
      <c r="C1454" s="362"/>
      <c r="D1454" s="362"/>
      <c r="E1454" s="362"/>
      <c r="F1454" s="404"/>
      <c r="G1454" s="404"/>
      <c r="H1454" s="404"/>
      <c r="I1454" s="404"/>
      <c r="J1454" s="404"/>
      <c r="AX1454" s="117"/>
      <c r="AY1454" s="117"/>
      <c r="AZ1454" s="117"/>
      <c r="BA1454" s="117"/>
      <c r="BB1454" s="117"/>
      <c r="BC1454" s="117"/>
      <c r="BD1454" s="117"/>
    </row>
    <row r="1455" spans="1:56" ht="18">
      <c r="A1455" s="114"/>
      <c r="B1455" s="388" t="s">
        <v>1141</v>
      </c>
      <c r="C1455" s="389">
        <v>0.6</v>
      </c>
      <c r="D1455" s="390" t="s">
        <v>10</v>
      </c>
      <c r="E1455" s="196"/>
      <c r="F1455" s="405"/>
      <c r="G1455" s="406" t="s">
        <v>1142</v>
      </c>
      <c r="H1455" s="407">
        <f>C1455*C1456</f>
        <v>0.372</v>
      </c>
      <c r="I1455" s="405" t="s">
        <v>1143</v>
      </c>
      <c r="J1455" s="405"/>
      <c r="AX1455" s="117"/>
      <c r="AY1455" s="117"/>
      <c r="AZ1455" s="117"/>
      <c r="BA1455" s="117"/>
      <c r="BB1455" s="117"/>
      <c r="BC1455" s="117"/>
      <c r="BD1455" s="117"/>
    </row>
    <row r="1456" spans="1:56" ht="15">
      <c r="A1456" s="114"/>
      <c r="B1456" s="388" t="s">
        <v>1144</v>
      </c>
      <c r="C1456" s="389">
        <v>0.62</v>
      </c>
      <c r="D1456" s="390" t="s">
        <v>10</v>
      </c>
      <c r="E1456" s="196"/>
      <c r="F1456" s="405"/>
      <c r="G1456" s="406" t="e">
        <f>TEXT(C1463,"tg 0°=")</f>
        <v>#VALUE!</v>
      </c>
      <c r="H1456" s="408">
        <f>TAN(3.14159265359*C1463/180)</f>
        <v>1.732050807569153</v>
      </c>
      <c r="I1456" s="405"/>
      <c r="J1456" s="405"/>
      <c r="AX1456" s="117"/>
      <c r="AY1456" s="117"/>
      <c r="AZ1456" s="117"/>
      <c r="BA1456" s="117"/>
      <c r="BB1456" s="117"/>
      <c r="BC1456" s="117"/>
      <c r="BD1456" s="117"/>
    </row>
    <row r="1457" spans="1:56" ht="15">
      <c r="A1457" s="114"/>
      <c r="B1457" s="388" t="s">
        <v>1145</v>
      </c>
      <c r="C1457" s="389">
        <v>2.2999999999999998</v>
      </c>
      <c r="D1457" s="390" t="s">
        <v>10</v>
      </c>
      <c r="E1457" s="196"/>
      <c r="F1457" s="405"/>
      <c r="G1457" s="406"/>
      <c r="H1457" s="407"/>
      <c r="I1457" s="405"/>
      <c r="J1457" s="405"/>
      <c r="AX1457" s="117"/>
      <c r="AY1457" s="117"/>
      <c r="AZ1457" s="117"/>
      <c r="BA1457" s="117"/>
      <c r="BB1457" s="117"/>
      <c r="BC1457" s="117"/>
      <c r="BD1457" s="117"/>
    </row>
    <row r="1458" spans="1:56" ht="18">
      <c r="A1458" s="114"/>
      <c r="B1458" s="388" t="s">
        <v>1146</v>
      </c>
      <c r="C1458" s="389">
        <v>2.2999999999999998</v>
      </c>
      <c r="D1458" s="390" t="s">
        <v>10</v>
      </c>
      <c r="E1458" s="196"/>
      <c r="F1458" s="405"/>
      <c r="G1458" s="406" t="s">
        <v>1142</v>
      </c>
      <c r="H1458" s="409">
        <f>(C1457+2*C1465+((C1459+C1460+0.05)/H1456)*2)*(C1458+2*C1465+((C1459+C1460+0.05)/H1456)*2)</f>
        <v>44.204301637905125</v>
      </c>
      <c r="I1458" s="405" t="s">
        <v>1143</v>
      </c>
      <c r="J1458" s="405"/>
      <c r="AX1458" s="117"/>
      <c r="AY1458" s="117"/>
      <c r="AZ1458" s="117"/>
      <c r="BA1458" s="117"/>
      <c r="BB1458" s="117"/>
      <c r="BC1458" s="117"/>
      <c r="BD1458" s="117"/>
    </row>
    <row r="1459" spans="1:56" ht="18">
      <c r="A1459" s="114"/>
      <c r="B1459" s="388" t="s">
        <v>1112</v>
      </c>
      <c r="C1459" s="389">
        <v>1.85</v>
      </c>
      <c r="D1459" s="390" t="s">
        <v>10</v>
      </c>
      <c r="E1459" s="196"/>
      <c r="F1459" s="405"/>
      <c r="G1459" s="406" t="s">
        <v>1147</v>
      </c>
      <c r="H1459" s="409">
        <f>(C1457+2*C1465)*(C1458+2*C1465)</f>
        <v>10.889999999999999</v>
      </c>
      <c r="I1459" s="405" t="s">
        <v>1143</v>
      </c>
      <c r="J1459" s="405"/>
      <c r="AX1459" s="117"/>
      <c r="AY1459" s="117"/>
      <c r="AZ1459" s="117"/>
      <c r="BA1459" s="117"/>
      <c r="BB1459" s="117"/>
      <c r="BC1459" s="117"/>
      <c r="BD1459" s="117"/>
    </row>
    <row r="1460" spans="1:56" ht="15">
      <c r="A1460" s="114"/>
      <c r="B1460" s="388" t="s">
        <v>1113</v>
      </c>
      <c r="C1460" s="389">
        <v>1</v>
      </c>
      <c r="D1460" s="390" t="s">
        <v>10</v>
      </c>
      <c r="E1460" s="196"/>
      <c r="F1460" s="405"/>
      <c r="G1460" s="406"/>
      <c r="H1460" s="407"/>
      <c r="I1460" s="405"/>
      <c r="J1460" s="405"/>
      <c r="AX1460" s="117"/>
      <c r="AY1460" s="117"/>
      <c r="AZ1460" s="117"/>
      <c r="BA1460" s="117"/>
      <c r="BB1460" s="117"/>
      <c r="BC1460" s="117"/>
      <c r="BD1460" s="117"/>
    </row>
    <row r="1461" spans="1:56" ht="15">
      <c r="A1461" s="114"/>
      <c r="B1461" s="388" t="s">
        <v>1117</v>
      </c>
      <c r="C1461" s="391">
        <v>3</v>
      </c>
      <c r="D1461" s="390" t="s">
        <v>1118</v>
      </c>
      <c r="E1461" s="196"/>
      <c r="F1461" s="405"/>
      <c r="G1461" s="406"/>
      <c r="H1461" s="407"/>
      <c r="I1461" s="405"/>
      <c r="J1461" s="405"/>
      <c r="AX1461" s="117"/>
      <c r="AY1461" s="117"/>
      <c r="AZ1461" s="117"/>
      <c r="BA1461" s="117"/>
      <c r="BB1461" s="117"/>
      <c r="BC1461" s="117"/>
      <c r="BD1461" s="117"/>
    </row>
    <row r="1462" spans="1:56" ht="15">
      <c r="A1462" s="114"/>
      <c r="B1462" s="196" t="s">
        <v>1148</v>
      </c>
      <c r="C1462" s="393"/>
      <c r="D1462" s="196"/>
      <c r="E1462" s="196"/>
      <c r="F1462" s="405"/>
      <c r="G1462" s="406"/>
      <c r="H1462" s="407"/>
      <c r="I1462" s="405"/>
      <c r="J1462" s="405"/>
      <c r="AX1462" s="117"/>
      <c r="AY1462" s="117"/>
      <c r="AZ1462" s="117"/>
      <c r="BA1462" s="117"/>
      <c r="BB1462" s="117"/>
      <c r="BC1462" s="117"/>
      <c r="BD1462" s="117"/>
    </row>
    <row r="1463" spans="1:56" ht="15">
      <c r="A1463" s="114"/>
      <c r="B1463" s="388" t="s">
        <v>1149</v>
      </c>
      <c r="C1463" s="389">
        <v>60</v>
      </c>
      <c r="D1463" s="390" t="s">
        <v>1150</v>
      </c>
      <c r="E1463" s="196"/>
      <c r="F1463" s="196"/>
      <c r="G1463" s="392"/>
      <c r="H1463" s="393"/>
      <c r="I1463" s="196"/>
      <c r="J1463" s="196"/>
      <c r="AX1463" s="117"/>
      <c r="AY1463" s="117"/>
      <c r="AZ1463" s="117"/>
      <c r="BA1463" s="117"/>
      <c r="BB1463" s="117"/>
      <c r="BC1463" s="117"/>
      <c r="BD1463" s="117"/>
    </row>
    <row r="1464" spans="1:56" ht="15">
      <c r="A1464" s="114"/>
      <c r="B1464" s="362"/>
      <c r="C1464" s="196"/>
      <c r="D1464" s="196"/>
      <c r="E1464" s="196"/>
      <c r="F1464" s="196"/>
      <c r="G1464" s="362"/>
      <c r="H1464" s="362"/>
      <c r="I1464" s="362"/>
      <c r="J1464" s="196"/>
      <c r="AX1464" s="117"/>
      <c r="AY1464" s="117"/>
      <c r="AZ1464" s="117"/>
      <c r="BA1464" s="117"/>
      <c r="BB1464" s="117"/>
      <c r="BC1464" s="117"/>
      <c r="BD1464" s="117"/>
    </row>
    <row r="1465" spans="1:56" ht="15">
      <c r="A1465" s="114"/>
      <c r="B1465" s="388" t="s">
        <v>1114</v>
      </c>
      <c r="C1465" s="389">
        <v>0.5</v>
      </c>
      <c r="D1465" s="390" t="s">
        <v>10</v>
      </c>
      <c r="E1465" s="288" t="s">
        <v>1120</v>
      </c>
      <c r="F1465" s="196"/>
      <c r="G1465" s="196" t="s">
        <v>1131</v>
      </c>
      <c r="H1465" s="114"/>
      <c r="I1465" s="114"/>
      <c r="J1465" s="196"/>
      <c r="AX1465" s="117"/>
      <c r="AY1465" s="117"/>
      <c r="AZ1465" s="117"/>
      <c r="BA1465" s="117"/>
      <c r="BB1465" s="117"/>
      <c r="BC1465" s="117"/>
      <c r="BD1465" s="117"/>
    </row>
    <row r="1466" spans="1:56" ht="15">
      <c r="A1466" s="114"/>
      <c r="B1466" s="388" t="s">
        <v>1114</v>
      </c>
      <c r="C1466" s="389">
        <v>0.1</v>
      </c>
      <c r="D1466" s="390" t="s">
        <v>10</v>
      </c>
      <c r="E1466" s="288" t="s">
        <v>1121</v>
      </c>
      <c r="F1466" s="196"/>
      <c r="G1466" s="196"/>
      <c r="H1466" s="196"/>
      <c r="I1466" s="196"/>
      <c r="J1466" s="196"/>
      <c r="AX1466" s="117"/>
      <c r="AY1466" s="117"/>
      <c r="AZ1466" s="117"/>
      <c r="BA1466" s="117"/>
      <c r="BB1466" s="117"/>
      <c r="BC1466" s="117"/>
      <c r="BD1466" s="117"/>
    </row>
    <row r="1467" spans="1:56" ht="15">
      <c r="A1467" s="114"/>
      <c r="B1467" s="362"/>
      <c r="C1467" s="362"/>
      <c r="D1467" s="362"/>
      <c r="E1467" s="362"/>
      <c r="F1467" s="362"/>
      <c r="G1467" s="114"/>
      <c r="H1467" s="362"/>
      <c r="I1467" s="196"/>
      <c r="J1467" s="196"/>
      <c r="AX1467" s="117"/>
      <c r="AY1467" s="117"/>
      <c r="AZ1467" s="117"/>
      <c r="BA1467" s="117"/>
      <c r="BB1467" s="117"/>
      <c r="BC1467" s="117"/>
      <c r="BD1467" s="117"/>
    </row>
    <row r="1468" spans="1:56" ht="15">
      <c r="A1468" s="114"/>
      <c r="B1468" s="303" t="s">
        <v>1122</v>
      </c>
      <c r="C1468" s="362"/>
      <c r="D1468" s="362"/>
      <c r="E1468" s="362"/>
      <c r="F1468" s="362"/>
      <c r="G1468" s="196"/>
      <c r="H1468" s="196"/>
      <c r="I1468" s="196"/>
      <c r="J1468" s="196"/>
      <c r="AX1468" s="117"/>
      <c r="AY1468" s="117"/>
      <c r="AZ1468" s="117"/>
      <c r="BA1468" s="117"/>
      <c r="BB1468" s="117"/>
      <c r="BC1468" s="117"/>
      <c r="BD1468" s="117"/>
    </row>
    <row r="1469" spans="1:56" ht="18">
      <c r="A1469" s="114"/>
      <c r="B1469" s="398" t="s">
        <v>1123</v>
      </c>
      <c r="C1469" s="172"/>
      <c r="D1469" s="173"/>
      <c r="E1469" s="397">
        <f>C1461*((H1459+H1458)/2)*(C1459+C1460+0.05)</f>
        <v>239.66021212488729</v>
      </c>
      <c r="F1469" s="390" t="s">
        <v>1124</v>
      </c>
      <c r="G1469" s="196"/>
      <c r="H1469" s="362"/>
      <c r="I1469" s="362"/>
      <c r="J1469" s="362"/>
      <c r="AX1469" s="117"/>
      <c r="AY1469" s="117"/>
      <c r="AZ1469" s="117"/>
      <c r="BA1469" s="117"/>
      <c r="BB1469" s="117"/>
      <c r="BC1469" s="117"/>
      <c r="BD1469" s="117"/>
    </row>
    <row r="1470" spans="1:56" ht="18">
      <c r="A1470" s="114"/>
      <c r="B1470" s="398" t="s">
        <v>1125</v>
      </c>
      <c r="C1470" s="172"/>
      <c r="D1470" s="173"/>
      <c r="E1470" s="397">
        <f>E1469-(E1488+E1490)</f>
        <v>222.85271212488729</v>
      </c>
      <c r="F1470" s="390" t="s">
        <v>1124</v>
      </c>
      <c r="G1470" s="196"/>
      <c r="H1470" s="196"/>
      <c r="I1470" s="196"/>
      <c r="J1470" s="196"/>
      <c r="AX1470" s="117"/>
      <c r="AY1470" s="117"/>
      <c r="AZ1470" s="117"/>
      <c r="BA1470" s="117"/>
      <c r="BB1470" s="117"/>
      <c r="BC1470" s="117"/>
      <c r="BD1470" s="117"/>
    </row>
    <row r="1471" spans="1:56" ht="15">
      <c r="A1471" s="114"/>
      <c r="B1471" s="398" t="s">
        <v>1126</v>
      </c>
      <c r="C1471" s="172"/>
      <c r="D1471" s="173"/>
      <c r="E1471" s="400">
        <f>((C1457+2*C1466)*(C1458+2*C1466))*C1461</f>
        <v>18.75</v>
      </c>
      <c r="F1471" s="390" t="s">
        <v>13</v>
      </c>
      <c r="G1471" s="362"/>
      <c r="H1471" s="362"/>
      <c r="I1471" s="362"/>
      <c r="J1471" s="362"/>
      <c r="AX1471" s="117"/>
      <c r="AY1471" s="117"/>
      <c r="AZ1471" s="117"/>
      <c r="BA1471" s="117"/>
      <c r="BB1471" s="117"/>
      <c r="BC1471" s="117"/>
      <c r="BD1471" s="117"/>
    </row>
    <row r="1472" spans="1:56" ht="15">
      <c r="A1472" s="114"/>
      <c r="B1472" s="362"/>
      <c r="C1472" s="362"/>
      <c r="D1472" s="362"/>
      <c r="E1472" s="401"/>
      <c r="F1472" s="196"/>
      <c r="G1472" s="362"/>
      <c r="H1472" s="362"/>
      <c r="I1472" s="362"/>
      <c r="J1472" s="362"/>
      <c r="AX1472" s="117"/>
      <c r="AY1472" s="117"/>
      <c r="AZ1472" s="117"/>
      <c r="BA1472" s="117"/>
      <c r="BB1472" s="117"/>
      <c r="BC1472" s="117"/>
      <c r="BD1472" s="117"/>
    </row>
    <row r="1473" spans="1:56" ht="15">
      <c r="A1473" s="114"/>
      <c r="B1473" s="303" t="s">
        <v>1159</v>
      </c>
      <c r="C1473" s="362"/>
      <c r="D1473" s="362"/>
      <c r="E1473" s="410"/>
      <c r="F1473" s="362"/>
      <c r="G1473" s="362"/>
      <c r="H1473" s="362"/>
      <c r="I1473" s="362"/>
      <c r="J1473" s="362"/>
      <c r="AX1473" s="117"/>
      <c r="AY1473" s="117"/>
      <c r="AZ1473" s="117"/>
      <c r="BA1473" s="117"/>
      <c r="BB1473" s="117"/>
      <c r="BC1473" s="117"/>
      <c r="BD1473" s="117"/>
    </row>
    <row r="1474" spans="1:56" ht="15">
      <c r="A1474" s="114"/>
      <c r="B1474" s="398" t="s">
        <v>1152</v>
      </c>
      <c r="C1474" s="398"/>
      <c r="D1474" s="366"/>
      <c r="E1474" s="411">
        <v>4</v>
      </c>
      <c r="F1474" s="390" t="s">
        <v>1153</v>
      </c>
      <c r="G1474" s="362"/>
      <c r="H1474" s="362"/>
      <c r="I1474" s="362"/>
      <c r="J1474" s="362"/>
      <c r="AX1474" s="117"/>
      <c r="AY1474" s="117"/>
      <c r="AZ1474" s="117"/>
      <c r="BA1474" s="117"/>
      <c r="BB1474" s="117"/>
      <c r="BC1474" s="117"/>
      <c r="BD1474" s="117"/>
    </row>
    <row r="1475" spans="1:56" ht="15">
      <c r="A1475" s="114"/>
      <c r="B1475" s="399" t="s">
        <v>1154</v>
      </c>
      <c r="C1475" s="31"/>
      <c r="D1475" s="32"/>
      <c r="E1475" s="412">
        <f>2*E1474</f>
        <v>8</v>
      </c>
      <c r="F1475" s="390" t="s">
        <v>1153</v>
      </c>
      <c r="G1475" s="362"/>
      <c r="H1475" s="362"/>
      <c r="I1475" s="362"/>
      <c r="J1475" s="362"/>
      <c r="AX1475" s="117"/>
      <c r="AY1475" s="117"/>
      <c r="AZ1475" s="117"/>
      <c r="BA1475" s="117"/>
      <c r="BB1475" s="117"/>
      <c r="BC1475" s="117"/>
      <c r="BD1475" s="117"/>
    </row>
    <row r="1476" spans="1:56" ht="15">
      <c r="A1476" s="114"/>
      <c r="B1476" s="398" t="s">
        <v>1155</v>
      </c>
      <c r="C1476" s="21"/>
      <c r="D1476" s="413"/>
      <c r="E1476" s="411">
        <v>400</v>
      </c>
      <c r="F1476" s="390" t="s">
        <v>1156</v>
      </c>
      <c r="G1476" s="362"/>
      <c r="H1476" s="414"/>
      <c r="I1476" s="362"/>
      <c r="J1476" s="415"/>
      <c r="AX1476" s="117"/>
      <c r="AY1476" s="117"/>
      <c r="AZ1476" s="117"/>
      <c r="BA1476" s="117"/>
      <c r="BB1476" s="117"/>
      <c r="BC1476" s="117"/>
      <c r="BD1476" s="117"/>
    </row>
    <row r="1477" spans="1:56" ht="15">
      <c r="A1477" s="114"/>
      <c r="B1477" s="398" t="s">
        <v>1157</v>
      </c>
      <c r="C1477" s="21"/>
      <c r="D1477" s="413"/>
      <c r="E1477" s="416">
        <v>14</v>
      </c>
      <c r="F1477" s="390" t="s">
        <v>10</v>
      </c>
      <c r="G1477" s="362"/>
      <c r="H1477" s="6"/>
      <c r="I1477" s="362"/>
      <c r="J1477" s="362"/>
      <c r="AX1477" s="117"/>
      <c r="AY1477" s="117"/>
      <c r="AZ1477" s="117"/>
      <c r="BA1477" s="117"/>
      <c r="BB1477" s="117"/>
      <c r="BC1477" s="117"/>
      <c r="BD1477" s="117"/>
    </row>
    <row r="1478" spans="1:56" ht="15">
      <c r="A1478" s="114"/>
      <c r="B1478" s="398" t="s">
        <v>1158</v>
      </c>
      <c r="C1478" s="21"/>
      <c r="D1478" s="413"/>
      <c r="E1478" s="412">
        <f>E1475*E1477</f>
        <v>112</v>
      </c>
      <c r="F1478" s="390" t="s">
        <v>10</v>
      </c>
      <c r="G1478" s="362"/>
      <c r="H1478" s="362"/>
      <c r="I1478" s="362"/>
      <c r="J1478" s="362"/>
      <c r="AX1478" s="117"/>
      <c r="AY1478" s="117"/>
      <c r="AZ1478" s="117"/>
      <c r="BA1478" s="117"/>
      <c r="BB1478" s="117"/>
      <c r="BC1478" s="117"/>
      <c r="BD1478" s="117"/>
    </row>
    <row r="1479" spans="1:56" ht="15">
      <c r="A1479" s="114"/>
      <c r="B1479" s="362"/>
      <c r="C1479" s="362"/>
      <c r="D1479" s="362"/>
      <c r="E1479" s="401"/>
      <c r="F1479" s="196"/>
      <c r="G1479" s="362"/>
      <c r="H1479" s="362"/>
      <c r="I1479" s="362"/>
      <c r="J1479" s="362"/>
      <c r="AX1479" s="117"/>
      <c r="AY1479" s="117"/>
      <c r="AZ1479" s="117"/>
      <c r="BA1479" s="117"/>
      <c r="BB1479" s="117"/>
      <c r="BC1479" s="117"/>
      <c r="BD1479" s="117"/>
    </row>
    <row r="1480" spans="1:56" ht="15">
      <c r="A1480" s="114"/>
      <c r="B1480" s="303" t="s">
        <v>1151</v>
      </c>
      <c r="C1480" s="362"/>
      <c r="D1480" s="362"/>
      <c r="E1480" s="410"/>
      <c r="F1480" s="362"/>
      <c r="G1480" s="362"/>
      <c r="H1480" s="362"/>
      <c r="I1480" s="362"/>
      <c r="J1480" s="362"/>
      <c r="AX1480" s="117"/>
      <c r="AY1480" s="117"/>
      <c r="AZ1480" s="117"/>
      <c r="BA1480" s="117"/>
      <c r="BB1480" s="117"/>
      <c r="BC1480" s="117"/>
      <c r="BD1480" s="117"/>
    </row>
    <row r="1481" spans="1:56" ht="15">
      <c r="A1481" s="114"/>
      <c r="B1481" s="398" t="s">
        <v>1152</v>
      </c>
      <c r="C1481" s="398"/>
      <c r="D1481" s="366"/>
      <c r="E1481" s="411">
        <v>4</v>
      </c>
      <c r="F1481" s="390" t="s">
        <v>1153</v>
      </c>
      <c r="G1481" s="362"/>
      <c r="H1481" s="362"/>
      <c r="I1481" s="362"/>
      <c r="J1481" s="362"/>
      <c r="AX1481" s="117"/>
      <c r="AY1481" s="117"/>
      <c r="AZ1481" s="117"/>
      <c r="BA1481" s="117"/>
      <c r="BB1481" s="117"/>
      <c r="BC1481" s="117"/>
      <c r="BD1481" s="117"/>
    </row>
    <row r="1482" spans="1:56" ht="15">
      <c r="A1482" s="114"/>
      <c r="B1482" s="399" t="s">
        <v>1154</v>
      </c>
      <c r="C1482" s="31"/>
      <c r="D1482" s="32"/>
      <c r="E1482" s="412">
        <f>1*E1481</f>
        <v>4</v>
      </c>
      <c r="F1482" s="390" t="s">
        <v>1153</v>
      </c>
      <c r="G1482" s="362"/>
      <c r="H1482" s="362"/>
      <c r="I1482" s="362"/>
      <c r="J1482" s="362"/>
      <c r="AX1482" s="117"/>
      <c r="AY1482" s="117"/>
      <c r="AZ1482" s="117"/>
      <c r="BA1482" s="117"/>
      <c r="BB1482" s="117"/>
      <c r="BC1482" s="117"/>
      <c r="BD1482" s="117"/>
    </row>
    <row r="1483" spans="1:56" ht="15">
      <c r="A1483" s="114"/>
      <c r="B1483" s="398" t="s">
        <v>1155</v>
      </c>
      <c r="C1483" s="21"/>
      <c r="D1483" s="413"/>
      <c r="E1483" s="411">
        <v>350</v>
      </c>
      <c r="F1483" s="390" t="s">
        <v>1156</v>
      </c>
      <c r="G1483" s="362"/>
      <c r="H1483" s="414"/>
      <c r="I1483" s="362"/>
      <c r="J1483" s="415"/>
      <c r="AX1483" s="117"/>
      <c r="AY1483" s="117"/>
      <c r="AZ1483" s="117"/>
      <c r="BA1483" s="117"/>
      <c r="BB1483" s="117"/>
      <c r="BC1483" s="117"/>
      <c r="BD1483" s="117"/>
    </row>
    <row r="1484" spans="1:56" ht="15">
      <c r="A1484" s="114"/>
      <c r="B1484" s="398" t="s">
        <v>1157</v>
      </c>
      <c r="C1484" s="21"/>
      <c r="D1484" s="413"/>
      <c r="E1484" s="416">
        <v>13</v>
      </c>
      <c r="F1484" s="390" t="s">
        <v>10</v>
      </c>
      <c r="G1484" s="362"/>
      <c r="H1484" s="6"/>
      <c r="I1484" s="362"/>
      <c r="J1484" s="362"/>
      <c r="AX1484" s="117"/>
      <c r="AY1484" s="117"/>
      <c r="AZ1484" s="117"/>
      <c r="BA1484" s="117"/>
      <c r="BB1484" s="117"/>
      <c r="BC1484" s="117"/>
      <c r="BD1484" s="117"/>
    </row>
    <row r="1485" spans="1:56" ht="15">
      <c r="A1485" s="114"/>
      <c r="B1485" s="398" t="s">
        <v>1158</v>
      </c>
      <c r="C1485" s="21"/>
      <c r="D1485" s="413"/>
      <c r="E1485" s="412">
        <f>E1482*E1484</f>
        <v>52</v>
      </c>
      <c r="F1485" s="390" t="s">
        <v>10</v>
      </c>
      <c r="G1485" s="362"/>
      <c r="H1485" s="362"/>
      <c r="I1485" s="362"/>
      <c r="J1485" s="362"/>
      <c r="AX1485" s="117"/>
      <c r="AY1485" s="117"/>
      <c r="AZ1485" s="117"/>
      <c r="BA1485" s="117"/>
      <c r="BB1485" s="117"/>
      <c r="BC1485" s="117"/>
      <c r="BD1485" s="117"/>
    </row>
    <row r="1486" spans="1:56" ht="15">
      <c r="A1486" s="114"/>
      <c r="B1486" s="362"/>
      <c r="C1486" s="362"/>
      <c r="D1486" s="362"/>
      <c r="E1486" s="410"/>
      <c r="F1486" s="362"/>
      <c r="G1486" s="362"/>
      <c r="H1486" s="362"/>
      <c r="I1486" s="362"/>
      <c r="J1486" s="362"/>
      <c r="AX1486" s="117"/>
      <c r="AY1486" s="117"/>
      <c r="AZ1486" s="117"/>
      <c r="BA1486" s="117"/>
      <c r="BB1486" s="117"/>
      <c r="BC1486" s="117"/>
      <c r="BD1486" s="117"/>
    </row>
    <row r="1487" spans="1:56" ht="15">
      <c r="A1487" s="114"/>
      <c r="B1487" s="303" t="s">
        <v>1160</v>
      </c>
      <c r="C1487" s="362"/>
      <c r="D1487" s="362"/>
      <c r="E1487" s="410"/>
      <c r="F1487" s="362"/>
      <c r="G1487" s="362"/>
      <c r="H1487" s="362"/>
      <c r="I1487" s="362"/>
      <c r="J1487" s="362"/>
      <c r="AX1487" s="117"/>
      <c r="AY1487" s="117"/>
      <c r="AZ1487" s="117"/>
      <c r="BA1487" s="117"/>
      <c r="BB1487" s="117"/>
      <c r="BC1487" s="117"/>
      <c r="BD1487" s="117"/>
    </row>
    <row r="1488" spans="1:56" ht="18">
      <c r="A1488" s="114"/>
      <c r="B1488" s="398" t="s">
        <v>1128</v>
      </c>
      <c r="C1488" s="172"/>
      <c r="D1488" s="173"/>
      <c r="E1488" s="402">
        <f>E1471*0.05</f>
        <v>0.9375</v>
      </c>
      <c r="F1488" s="390" t="s">
        <v>1124</v>
      </c>
      <c r="G1488" s="362"/>
      <c r="H1488" s="362"/>
      <c r="I1488" s="362"/>
      <c r="J1488" s="362"/>
      <c r="AX1488" s="117"/>
      <c r="AY1488" s="117"/>
      <c r="AZ1488" s="117"/>
      <c r="BA1488" s="117"/>
      <c r="BB1488" s="117"/>
      <c r="BC1488" s="117"/>
      <c r="BD1488" s="117"/>
    </row>
    <row r="1489" spans="1:56" ht="15">
      <c r="A1489" s="114"/>
      <c r="B1489" s="398" t="s">
        <v>1129</v>
      </c>
      <c r="C1489" s="172"/>
      <c r="D1489" s="173"/>
      <c r="E1489" s="397">
        <f>(2*(C1457+C1458)*C1460)*C1461</f>
        <v>27.599999999999998</v>
      </c>
      <c r="F1489" s="390" t="s">
        <v>13</v>
      </c>
      <c r="G1489" s="362"/>
      <c r="H1489" s="362"/>
      <c r="I1489" s="362"/>
      <c r="J1489" s="362"/>
      <c r="AX1489" s="117"/>
      <c r="AY1489" s="117"/>
      <c r="AZ1489" s="117"/>
      <c r="BA1489" s="117"/>
      <c r="BB1489" s="117"/>
      <c r="BC1489" s="117"/>
      <c r="BD1489" s="117"/>
    </row>
    <row r="1490" spans="1:56" ht="18">
      <c r="A1490" s="114"/>
      <c r="B1490" s="398" t="s">
        <v>1130</v>
      </c>
      <c r="C1490" s="172"/>
      <c r="D1490" s="173"/>
      <c r="E1490" s="402">
        <f>(C1457*C1458*C1460)*C1461</f>
        <v>15.869999999999997</v>
      </c>
      <c r="F1490" s="390" t="s">
        <v>1124</v>
      </c>
      <c r="G1490" s="362"/>
      <c r="H1490" s="362"/>
      <c r="I1490" s="362"/>
      <c r="J1490" s="362"/>
      <c r="AX1490" s="117"/>
      <c r="AY1490" s="117"/>
      <c r="AZ1490" s="117"/>
      <c r="BA1490" s="117"/>
      <c r="BB1490" s="117"/>
      <c r="BC1490" s="117"/>
      <c r="BD1490" s="117"/>
    </row>
    <row r="1491" spans="1:56" ht="15">
      <c r="A1491" s="114"/>
      <c r="B1491" s="288"/>
      <c r="C1491" s="230"/>
      <c r="D1491" s="230"/>
      <c r="E1491" s="384"/>
      <c r="F1491" s="196"/>
      <c r="G1491" s="196"/>
      <c r="H1491" s="196"/>
      <c r="I1491" s="196"/>
      <c r="J1491" s="114"/>
      <c r="AW1491" s="117"/>
      <c r="AX1491" s="117"/>
      <c r="AY1491" s="117"/>
      <c r="AZ1491" s="117"/>
      <c r="BA1491" s="117"/>
      <c r="BB1491" s="117"/>
      <c r="BC1491" s="117"/>
      <c r="BD1491" s="117"/>
    </row>
    <row r="1492" spans="1:56" customFormat="1" ht="12.75">
      <c r="B1492" s="362"/>
      <c r="C1492" s="362"/>
      <c r="D1492" s="362"/>
      <c r="E1492" s="362"/>
      <c r="F1492" s="362"/>
      <c r="G1492" s="362"/>
      <c r="H1492" s="362"/>
      <c r="I1492" s="362"/>
      <c r="J1492" s="362"/>
    </row>
    <row r="1493" spans="1:56">
      <c r="A1493" s="114"/>
      <c r="B1493" s="385" t="s">
        <v>1164</v>
      </c>
      <c r="C1493" s="196"/>
      <c r="D1493" s="196"/>
      <c r="E1493" s="196"/>
      <c r="F1493" s="196"/>
      <c r="G1493" s="196"/>
      <c r="H1493" s="196"/>
      <c r="I1493" s="196"/>
      <c r="J1493" s="196"/>
      <c r="AX1493" s="117"/>
      <c r="AY1493" s="117"/>
      <c r="AZ1493" s="117"/>
      <c r="BA1493" s="117"/>
      <c r="BB1493" s="117"/>
      <c r="BC1493" s="117"/>
      <c r="BD1493" s="117"/>
    </row>
    <row r="1494" spans="1:56" ht="15">
      <c r="A1494" s="114"/>
      <c r="B1494" s="362"/>
      <c r="C1494" s="362"/>
      <c r="D1494" s="362"/>
      <c r="E1494" s="362"/>
      <c r="F1494" s="404"/>
      <c r="G1494" s="404"/>
      <c r="H1494" s="404"/>
      <c r="I1494" s="404"/>
      <c r="J1494" s="404"/>
      <c r="AX1494" s="117"/>
      <c r="AY1494" s="117"/>
      <c r="AZ1494" s="117"/>
      <c r="BA1494" s="117"/>
      <c r="BB1494" s="117"/>
      <c r="BC1494" s="117"/>
      <c r="BD1494" s="117"/>
    </row>
    <row r="1495" spans="1:56" ht="18">
      <c r="A1495" s="114"/>
      <c r="B1495" s="388" t="s">
        <v>1141</v>
      </c>
      <c r="C1495" s="389">
        <v>0.76</v>
      </c>
      <c r="D1495" s="390" t="s">
        <v>10</v>
      </c>
      <c r="E1495" s="196"/>
      <c r="F1495" s="405"/>
      <c r="G1495" s="406" t="s">
        <v>1142</v>
      </c>
      <c r="H1495" s="407">
        <f>C1495*C1496</f>
        <v>0.22799999999999998</v>
      </c>
      <c r="I1495" s="405" t="s">
        <v>1143</v>
      </c>
      <c r="J1495" s="405"/>
      <c r="AX1495" s="117"/>
      <c r="AY1495" s="117"/>
      <c r="AZ1495" s="117"/>
      <c r="BA1495" s="117"/>
      <c r="BB1495" s="117"/>
      <c r="BC1495" s="117"/>
      <c r="BD1495" s="117"/>
    </row>
    <row r="1496" spans="1:56" ht="15">
      <c r="A1496" s="114"/>
      <c r="B1496" s="388" t="s">
        <v>1144</v>
      </c>
      <c r="C1496" s="389">
        <v>0.3</v>
      </c>
      <c r="D1496" s="390" t="s">
        <v>10</v>
      </c>
      <c r="E1496" s="196"/>
      <c r="F1496" s="405"/>
      <c r="G1496" s="406" t="e">
        <f>TEXT(C1503,"tg 0°=")</f>
        <v>#VALUE!</v>
      </c>
      <c r="H1496" s="408">
        <f>TAN(3.14159265359*C1503/180)</f>
        <v>1.732050807569153</v>
      </c>
      <c r="I1496" s="405"/>
      <c r="J1496" s="405"/>
      <c r="AX1496" s="117"/>
      <c r="AY1496" s="117"/>
      <c r="AZ1496" s="117"/>
      <c r="BA1496" s="117"/>
      <c r="BB1496" s="117"/>
      <c r="BC1496" s="117"/>
      <c r="BD1496" s="117"/>
    </row>
    <row r="1497" spans="1:56" ht="15">
      <c r="A1497" s="114"/>
      <c r="B1497" s="388" t="s">
        <v>1145</v>
      </c>
      <c r="C1497" s="389">
        <v>2.2999999999999998</v>
      </c>
      <c r="D1497" s="390" t="s">
        <v>10</v>
      </c>
      <c r="E1497" s="196"/>
      <c r="F1497" s="405"/>
      <c r="G1497" s="406"/>
      <c r="H1497" s="407"/>
      <c r="I1497" s="405"/>
      <c r="J1497" s="405"/>
      <c r="AX1497" s="117"/>
      <c r="AY1497" s="117"/>
      <c r="AZ1497" s="117"/>
      <c r="BA1497" s="117"/>
      <c r="BB1497" s="117"/>
      <c r="BC1497" s="117"/>
      <c r="BD1497" s="117"/>
    </row>
    <row r="1498" spans="1:56" ht="18">
      <c r="A1498" s="114"/>
      <c r="B1498" s="388" t="s">
        <v>1146</v>
      </c>
      <c r="C1498" s="389">
        <v>0.8</v>
      </c>
      <c r="D1498" s="390" t="s">
        <v>10</v>
      </c>
      <c r="E1498" s="196"/>
      <c r="F1498" s="405"/>
      <c r="G1498" s="406" t="s">
        <v>1142</v>
      </c>
      <c r="H1498" s="409">
        <f>(C1497+2*C1505+((C1499+C1500+0.05)/H1496)*2)*(C1498+2*C1505+((C1499+C1500+0.05)/H1496)*2)</f>
        <v>34.23135429595618</v>
      </c>
      <c r="I1498" s="405" t="s">
        <v>1143</v>
      </c>
      <c r="J1498" s="405"/>
      <c r="AX1498" s="117"/>
      <c r="AY1498" s="117"/>
      <c r="AZ1498" s="117"/>
      <c r="BA1498" s="117"/>
      <c r="BB1498" s="117"/>
      <c r="BC1498" s="117"/>
      <c r="BD1498" s="117"/>
    </row>
    <row r="1499" spans="1:56" ht="18">
      <c r="A1499" s="114"/>
      <c r="B1499" s="388" t="s">
        <v>1112</v>
      </c>
      <c r="C1499" s="389">
        <v>1.85</v>
      </c>
      <c r="D1499" s="390" t="s">
        <v>10</v>
      </c>
      <c r="E1499" s="196"/>
      <c r="F1499" s="405"/>
      <c r="G1499" s="406" t="s">
        <v>1147</v>
      </c>
      <c r="H1499" s="409">
        <f>(C1497+2*C1505)*(C1498+2*C1505)</f>
        <v>5.9399999999999995</v>
      </c>
      <c r="I1499" s="405" t="s">
        <v>1143</v>
      </c>
      <c r="J1499" s="405"/>
      <c r="AX1499" s="117"/>
      <c r="AY1499" s="117"/>
      <c r="AZ1499" s="117"/>
      <c r="BA1499" s="117"/>
      <c r="BB1499" s="117"/>
      <c r="BC1499" s="117"/>
      <c r="BD1499" s="117"/>
    </row>
    <row r="1500" spans="1:56" ht="15">
      <c r="A1500" s="114"/>
      <c r="B1500" s="388" t="s">
        <v>1113</v>
      </c>
      <c r="C1500" s="389">
        <v>1</v>
      </c>
      <c r="D1500" s="390" t="s">
        <v>10</v>
      </c>
      <c r="E1500" s="196"/>
      <c r="F1500" s="405"/>
      <c r="G1500" s="406"/>
      <c r="H1500" s="407"/>
      <c r="I1500" s="405"/>
      <c r="J1500" s="405"/>
      <c r="AX1500" s="117"/>
      <c r="AY1500" s="117"/>
      <c r="AZ1500" s="117"/>
      <c r="BA1500" s="117"/>
      <c r="BB1500" s="117"/>
      <c r="BC1500" s="117"/>
      <c r="BD1500" s="117"/>
    </row>
    <row r="1501" spans="1:56" ht="15">
      <c r="A1501" s="114"/>
      <c r="B1501" s="388" t="s">
        <v>1117</v>
      </c>
      <c r="C1501" s="391">
        <v>6</v>
      </c>
      <c r="D1501" s="390" t="s">
        <v>1118</v>
      </c>
      <c r="E1501" s="196"/>
      <c r="F1501" s="405"/>
      <c r="G1501" s="406"/>
      <c r="H1501" s="407"/>
      <c r="I1501" s="405"/>
      <c r="J1501" s="405"/>
      <c r="AX1501" s="117"/>
      <c r="AY1501" s="117"/>
      <c r="AZ1501" s="117"/>
      <c r="BA1501" s="117"/>
      <c r="BB1501" s="117"/>
      <c r="BC1501" s="117"/>
      <c r="BD1501" s="117"/>
    </row>
    <row r="1502" spans="1:56" ht="15">
      <c r="A1502" s="114"/>
      <c r="B1502" s="196" t="s">
        <v>1148</v>
      </c>
      <c r="C1502" s="393"/>
      <c r="D1502" s="196"/>
      <c r="E1502" s="196"/>
      <c r="F1502" s="405"/>
      <c r="G1502" s="406"/>
      <c r="H1502" s="407"/>
      <c r="I1502" s="405"/>
      <c r="J1502" s="405"/>
      <c r="AX1502" s="117"/>
      <c r="AY1502" s="117"/>
      <c r="AZ1502" s="117"/>
      <c r="BA1502" s="117"/>
      <c r="BB1502" s="117"/>
      <c r="BC1502" s="117"/>
      <c r="BD1502" s="117"/>
    </row>
    <row r="1503" spans="1:56" ht="15">
      <c r="A1503" s="114"/>
      <c r="B1503" s="388" t="s">
        <v>1149</v>
      </c>
      <c r="C1503" s="389">
        <v>60</v>
      </c>
      <c r="D1503" s="390" t="s">
        <v>1150</v>
      </c>
      <c r="E1503" s="196"/>
      <c r="F1503" s="196"/>
      <c r="G1503" s="392"/>
      <c r="H1503" s="393"/>
      <c r="I1503" s="196"/>
      <c r="J1503" s="196"/>
      <c r="AX1503" s="117"/>
      <c r="AY1503" s="117"/>
      <c r="AZ1503" s="117"/>
      <c r="BA1503" s="117"/>
      <c r="BB1503" s="117"/>
      <c r="BC1503" s="117"/>
      <c r="BD1503" s="117"/>
    </row>
    <row r="1504" spans="1:56" ht="15">
      <c r="A1504" s="114"/>
      <c r="B1504" s="362"/>
      <c r="C1504" s="196"/>
      <c r="D1504" s="196"/>
      <c r="E1504" s="196"/>
      <c r="F1504" s="196"/>
      <c r="G1504" s="362"/>
      <c r="H1504" s="362"/>
      <c r="I1504" s="362"/>
      <c r="J1504" s="196"/>
      <c r="AX1504" s="117"/>
      <c r="AY1504" s="117"/>
      <c r="AZ1504" s="117"/>
      <c r="BA1504" s="117"/>
      <c r="BB1504" s="117"/>
      <c r="BC1504" s="117"/>
      <c r="BD1504" s="117"/>
    </row>
    <row r="1505" spans="1:56">
      <c r="A1505" s="114"/>
      <c r="B1505" s="388" t="s">
        <v>1114</v>
      </c>
      <c r="C1505" s="389">
        <v>0.5</v>
      </c>
      <c r="D1505" s="390" t="s">
        <v>10</v>
      </c>
      <c r="E1505" s="288" t="s">
        <v>1120</v>
      </c>
      <c r="F1505" s="196"/>
      <c r="G1505" s="115"/>
      <c r="H1505" s="114"/>
      <c r="I1505" s="114"/>
      <c r="J1505" s="196"/>
      <c r="AX1505" s="117"/>
      <c r="AY1505" s="117"/>
      <c r="AZ1505" s="117"/>
      <c r="BA1505" s="117"/>
      <c r="BB1505" s="117"/>
      <c r="BC1505" s="117"/>
      <c r="BD1505" s="117"/>
    </row>
    <row r="1506" spans="1:56" ht="15">
      <c r="A1506" s="114"/>
      <c r="B1506" s="388" t="s">
        <v>1114</v>
      </c>
      <c r="C1506" s="389">
        <v>0.1</v>
      </c>
      <c r="D1506" s="390" t="s">
        <v>10</v>
      </c>
      <c r="E1506" s="288" t="s">
        <v>1121</v>
      </c>
      <c r="F1506" s="196"/>
      <c r="G1506" s="196"/>
      <c r="H1506" s="196"/>
      <c r="I1506" s="196"/>
      <c r="J1506" s="196"/>
      <c r="AX1506" s="117"/>
      <c r="AY1506" s="117"/>
      <c r="AZ1506" s="117"/>
      <c r="BA1506" s="117"/>
      <c r="BB1506" s="117"/>
      <c r="BC1506" s="117"/>
      <c r="BD1506" s="117"/>
    </row>
    <row r="1507" spans="1:56">
      <c r="A1507" s="114"/>
      <c r="B1507" s="362"/>
      <c r="C1507" s="362"/>
      <c r="D1507" s="362"/>
      <c r="E1507" s="362"/>
      <c r="F1507" s="362"/>
      <c r="G1507" s="115"/>
      <c r="H1507" s="362"/>
      <c r="I1507" s="196"/>
      <c r="J1507" s="196"/>
      <c r="AX1507" s="117"/>
      <c r="AY1507" s="117"/>
      <c r="AZ1507" s="117"/>
      <c r="BA1507" s="117"/>
      <c r="BB1507" s="117"/>
      <c r="BC1507" s="117"/>
      <c r="BD1507" s="117"/>
    </row>
    <row r="1508" spans="1:56" ht="15">
      <c r="A1508" s="114"/>
      <c r="B1508" s="303" t="s">
        <v>1122</v>
      </c>
      <c r="C1508" s="362"/>
      <c r="D1508" s="362"/>
      <c r="E1508" s="362"/>
      <c r="F1508" s="362"/>
      <c r="G1508" s="196"/>
      <c r="H1508" s="196" t="s">
        <v>1131</v>
      </c>
      <c r="I1508" s="196"/>
      <c r="J1508" s="196"/>
      <c r="AX1508" s="117"/>
      <c r="AY1508" s="117"/>
      <c r="AZ1508" s="117"/>
      <c r="BA1508" s="117"/>
      <c r="BB1508" s="117"/>
      <c r="BC1508" s="117"/>
      <c r="BD1508" s="117"/>
    </row>
    <row r="1509" spans="1:56" ht="18">
      <c r="A1509" s="114"/>
      <c r="B1509" s="398" t="s">
        <v>1123</v>
      </c>
      <c r="C1509" s="172"/>
      <c r="D1509" s="173"/>
      <c r="E1509" s="397">
        <f>C1501*((H1499+H1498)/2)*(C1499+C1500+0.05)</f>
        <v>349.49078237481876</v>
      </c>
      <c r="F1509" s="390" t="s">
        <v>1124</v>
      </c>
      <c r="G1509" s="196"/>
      <c r="H1509" s="362"/>
      <c r="I1509" s="362"/>
      <c r="J1509" s="362"/>
      <c r="AX1509" s="117"/>
      <c r="AY1509" s="117"/>
      <c r="AZ1509" s="117"/>
      <c r="BA1509" s="117"/>
      <c r="BB1509" s="117"/>
      <c r="BC1509" s="117"/>
      <c r="BD1509" s="117"/>
    </row>
    <row r="1510" spans="1:56" ht="18">
      <c r="A1510" s="114"/>
      <c r="B1510" s="398" t="s">
        <v>1125</v>
      </c>
      <c r="C1510" s="172"/>
      <c r="D1510" s="173"/>
      <c r="E1510" s="397">
        <f>E1509-(E1528+E1530)</f>
        <v>337.70078237481874</v>
      </c>
      <c r="F1510" s="390" t="s">
        <v>1124</v>
      </c>
      <c r="G1510" s="196"/>
      <c r="H1510" s="196"/>
      <c r="I1510" s="196"/>
      <c r="J1510" s="196"/>
      <c r="AX1510" s="117"/>
      <c r="AY1510" s="117"/>
      <c r="AZ1510" s="117"/>
      <c r="BA1510" s="117"/>
      <c r="BB1510" s="117"/>
      <c r="BC1510" s="117"/>
      <c r="BD1510" s="117"/>
    </row>
    <row r="1511" spans="1:56" ht="15">
      <c r="A1511" s="114"/>
      <c r="B1511" s="398" t="s">
        <v>1126</v>
      </c>
      <c r="C1511" s="172"/>
      <c r="D1511" s="173"/>
      <c r="E1511" s="400">
        <f>((C1497+2*C1506)*(C1498+2*C1506))*C1501</f>
        <v>15</v>
      </c>
      <c r="F1511" s="390" t="s">
        <v>13</v>
      </c>
      <c r="G1511" s="362"/>
      <c r="H1511" s="362"/>
      <c r="I1511" s="362"/>
      <c r="J1511" s="362"/>
      <c r="AX1511" s="117"/>
      <c r="AY1511" s="117"/>
      <c r="AZ1511" s="117"/>
      <c r="BA1511" s="117"/>
      <c r="BB1511" s="117"/>
      <c r="BC1511" s="117"/>
      <c r="BD1511" s="117"/>
    </row>
    <row r="1512" spans="1:56" ht="15">
      <c r="A1512" s="114"/>
      <c r="B1512" s="362"/>
      <c r="C1512" s="362"/>
      <c r="D1512" s="362"/>
      <c r="E1512" s="401"/>
      <c r="F1512" s="196"/>
      <c r="G1512" s="362"/>
      <c r="H1512" s="362"/>
      <c r="I1512" s="362"/>
      <c r="J1512" s="362"/>
      <c r="AX1512" s="117"/>
      <c r="AY1512" s="117"/>
      <c r="AZ1512" s="117"/>
      <c r="BA1512" s="117"/>
      <c r="BB1512" s="117"/>
      <c r="BC1512" s="117"/>
      <c r="BD1512" s="117"/>
    </row>
    <row r="1513" spans="1:56" ht="15">
      <c r="A1513" s="114"/>
      <c r="B1513" s="303" t="s">
        <v>1151</v>
      </c>
      <c r="C1513" s="362"/>
      <c r="D1513" s="362"/>
      <c r="E1513" s="410"/>
      <c r="F1513" s="362"/>
      <c r="G1513" s="362"/>
      <c r="H1513" s="362"/>
      <c r="I1513" s="362"/>
      <c r="J1513" s="362"/>
      <c r="AX1513" s="117"/>
      <c r="AY1513" s="117"/>
      <c r="AZ1513" s="117"/>
      <c r="BA1513" s="117"/>
      <c r="BB1513" s="117"/>
      <c r="BC1513" s="117"/>
      <c r="BD1513" s="117"/>
    </row>
    <row r="1514" spans="1:56" ht="15">
      <c r="A1514" s="114"/>
      <c r="B1514" s="398" t="s">
        <v>1152</v>
      </c>
      <c r="C1514" s="398"/>
      <c r="D1514" s="366"/>
      <c r="E1514" s="411">
        <v>2</v>
      </c>
      <c r="F1514" s="390" t="s">
        <v>1153</v>
      </c>
      <c r="G1514" s="362"/>
      <c r="H1514" s="362"/>
      <c r="I1514" s="362"/>
      <c r="J1514" s="362"/>
      <c r="AX1514" s="117"/>
      <c r="AY1514" s="117"/>
      <c r="AZ1514" s="117"/>
      <c r="BA1514" s="117"/>
      <c r="BB1514" s="117"/>
      <c r="BC1514" s="117"/>
      <c r="BD1514" s="117"/>
    </row>
    <row r="1515" spans="1:56" ht="15">
      <c r="A1515" s="114"/>
      <c r="B1515" s="399" t="s">
        <v>1154</v>
      </c>
      <c r="C1515" s="31"/>
      <c r="D1515" s="32"/>
      <c r="E1515" s="412">
        <f>4*E1514</f>
        <v>8</v>
      </c>
      <c r="F1515" s="390" t="s">
        <v>1153</v>
      </c>
      <c r="G1515" s="362"/>
      <c r="H1515" s="362"/>
      <c r="I1515" s="362"/>
      <c r="J1515" s="362"/>
      <c r="AX1515" s="117"/>
      <c r="AY1515" s="117"/>
      <c r="AZ1515" s="117"/>
      <c r="BA1515" s="117"/>
      <c r="BB1515" s="117"/>
      <c r="BC1515" s="117"/>
      <c r="BD1515" s="117"/>
    </row>
    <row r="1516" spans="1:56" ht="15">
      <c r="A1516" s="114"/>
      <c r="B1516" s="398" t="s">
        <v>1155</v>
      </c>
      <c r="C1516" s="21"/>
      <c r="D1516" s="413"/>
      <c r="E1516" s="411">
        <v>350</v>
      </c>
      <c r="F1516" s="390" t="s">
        <v>1156</v>
      </c>
      <c r="G1516" s="362"/>
      <c r="H1516" s="414"/>
      <c r="I1516" s="362"/>
      <c r="J1516" s="415"/>
      <c r="AX1516" s="117"/>
      <c r="AY1516" s="117"/>
      <c r="AZ1516" s="117"/>
      <c r="BA1516" s="117"/>
      <c r="BB1516" s="117"/>
      <c r="BC1516" s="117"/>
      <c r="BD1516" s="117"/>
    </row>
    <row r="1517" spans="1:56" ht="15">
      <c r="A1517" s="114"/>
      <c r="B1517" s="398" t="s">
        <v>1157</v>
      </c>
      <c r="C1517" s="21"/>
      <c r="D1517" s="413"/>
      <c r="E1517" s="416">
        <v>13</v>
      </c>
      <c r="F1517" s="390" t="s">
        <v>10</v>
      </c>
      <c r="G1517" s="362"/>
      <c r="H1517" s="6"/>
      <c r="I1517" s="362"/>
      <c r="J1517" s="362"/>
      <c r="AX1517" s="117"/>
      <c r="AY1517" s="117"/>
      <c r="AZ1517" s="117"/>
      <c r="BA1517" s="117"/>
      <c r="BB1517" s="117"/>
      <c r="BC1517" s="117"/>
      <c r="BD1517" s="117"/>
    </row>
    <row r="1518" spans="1:56" ht="15">
      <c r="A1518" s="114"/>
      <c r="B1518" s="398" t="s">
        <v>1158</v>
      </c>
      <c r="C1518" s="21"/>
      <c r="D1518" s="413"/>
      <c r="E1518" s="412">
        <f>E1515*E1517</f>
        <v>104</v>
      </c>
      <c r="F1518" s="390" t="s">
        <v>10</v>
      </c>
      <c r="G1518" s="362"/>
      <c r="H1518" s="362"/>
      <c r="I1518" s="362"/>
      <c r="J1518" s="362"/>
      <c r="AX1518" s="117"/>
      <c r="AY1518" s="117"/>
      <c r="AZ1518" s="117"/>
      <c r="BA1518" s="117"/>
      <c r="BB1518" s="117"/>
      <c r="BC1518" s="117"/>
      <c r="BD1518" s="117"/>
    </row>
    <row r="1519" spans="1:56" ht="15">
      <c r="A1519" s="114"/>
      <c r="B1519" s="362"/>
      <c r="C1519" s="362"/>
      <c r="D1519" s="362"/>
      <c r="E1519" s="401"/>
      <c r="F1519" s="196"/>
      <c r="G1519" s="362"/>
      <c r="H1519" s="362"/>
      <c r="I1519" s="362"/>
      <c r="J1519" s="362"/>
      <c r="AX1519" s="117"/>
      <c r="AY1519" s="117"/>
      <c r="AZ1519" s="117"/>
      <c r="BA1519" s="117"/>
      <c r="BB1519" s="117"/>
      <c r="BC1519" s="117"/>
      <c r="BD1519" s="117"/>
    </row>
    <row r="1520" spans="1:56" ht="15">
      <c r="A1520" s="114"/>
      <c r="B1520" s="303" t="s">
        <v>1159</v>
      </c>
      <c r="C1520" s="362"/>
      <c r="D1520" s="362"/>
      <c r="E1520" s="410"/>
      <c r="F1520" s="362"/>
      <c r="G1520" s="362"/>
      <c r="H1520" s="362"/>
      <c r="I1520" s="362"/>
      <c r="J1520" s="362"/>
      <c r="AX1520" s="117"/>
      <c r="AY1520" s="117"/>
      <c r="AZ1520" s="117"/>
      <c r="BA1520" s="117"/>
      <c r="BB1520" s="117"/>
      <c r="BC1520" s="117"/>
      <c r="BD1520" s="117"/>
    </row>
    <row r="1521" spans="1:56" ht="15">
      <c r="A1521" s="114"/>
      <c r="B1521" s="398" t="s">
        <v>1152</v>
      </c>
      <c r="C1521" s="398"/>
      <c r="D1521" s="366"/>
      <c r="E1521" s="411">
        <v>2</v>
      </c>
      <c r="F1521" s="390" t="s">
        <v>1153</v>
      </c>
      <c r="G1521" s="362"/>
      <c r="H1521" s="362"/>
      <c r="I1521" s="362"/>
      <c r="J1521" s="362"/>
      <c r="AX1521" s="117"/>
      <c r="AY1521" s="117"/>
      <c r="AZ1521" s="117"/>
      <c r="BA1521" s="117"/>
      <c r="BB1521" s="117"/>
      <c r="BC1521" s="117"/>
      <c r="BD1521" s="117"/>
    </row>
    <row r="1522" spans="1:56" ht="15">
      <c r="A1522" s="114"/>
      <c r="B1522" s="399" t="s">
        <v>1154</v>
      </c>
      <c r="C1522" s="31"/>
      <c r="D1522" s="32"/>
      <c r="E1522" s="412">
        <f>2*E1521</f>
        <v>4</v>
      </c>
      <c r="F1522" s="390" t="s">
        <v>1153</v>
      </c>
      <c r="G1522" s="362"/>
      <c r="H1522" s="362"/>
      <c r="I1522" s="362"/>
      <c r="J1522" s="362"/>
      <c r="AX1522" s="117"/>
      <c r="AY1522" s="117"/>
      <c r="AZ1522" s="117"/>
      <c r="BA1522" s="117"/>
      <c r="BB1522" s="117"/>
      <c r="BC1522" s="117"/>
      <c r="BD1522" s="117"/>
    </row>
    <row r="1523" spans="1:56" ht="15">
      <c r="A1523" s="114"/>
      <c r="B1523" s="398" t="s">
        <v>1155</v>
      </c>
      <c r="C1523" s="21"/>
      <c r="D1523" s="413"/>
      <c r="E1523" s="411">
        <v>400</v>
      </c>
      <c r="F1523" s="390" t="s">
        <v>1156</v>
      </c>
      <c r="G1523" s="362"/>
      <c r="H1523" s="414"/>
      <c r="I1523" s="362"/>
      <c r="J1523" s="415"/>
      <c r="AX1523" s="117"/>
      <c r="AY1523" s="117"/>
      <c r="AZ1523" s="117"/>
      <c r="BA1523" s="117"/>
      <c r="BB1523" s="117"/>
      <c r="BC1523" s="117"/>
      <c r="BD1523" s="117"/>
    </row>
    <row r="1524" spans="1:56" ht="15">
      <c r="A1524" s="114"/>
      <c r="B1524" s="398" t="s">
        <v>1157</v>
      </c>
      <c r="C1524" s="21"/>
      <c r="D1524" s="413"/>
      <c r="E1524" s="416">
        <v>14</v>
      </c>
      <c r="F1524" s="390" t="s">
        <v>10</v>
      </c>
      <c r="G1524" s="362"/>
      <c r="H1524" s="6"/>
      <c r="I1524" s="362"/>
      <c r="J1524" s="362"/>
      <c r="AX1524" s="117"/>
      <c r="AY1524" s="117"/>
      <c r="AZ1524" s="117"/>
      <c r="BA1524" s="117"/>
      <c r="BB1524" s="117"/>
      <c r="BC1524" s="117"/>
      <c r="BD1524" s="117"/>
    </row>
    <row r="1525" spans="1:56" ht="15">
      <c r="A1525" s="114"/>
      <c r="B1525" s="398" t="s">
        <v>1158</v>
      </c>
      <c r="C1525" s="21"/>
      <c r="D1525" s="413"/>
      <c r="E1525" s="412">
        <f>E1522*E1524</f>
        <v>56</v>
      </c>
      <c r="F1525" s="390" t="s">
        <v>10</v>
      </c>
      <c r="G1525" s="362"/>
      <c r="H1525" s="362"/>
      <c r="I1525" s="362"/>
      <c r="J1525" s="362"/>
      <c r="AX1525" s="117"/>
      <c r="AY1525" s="117"/>
      <c r="AZ1525" s="117"/>
      <c r="BA1525" s="117"/>
      <c r="BB1525" s="117"/>
      <c r="BC1525" s="117"/>
      <c r="BD1525" s="117"/>
    </row>
    <row r="1526" spans="1:56" ht="15">
      <c r="A1526" s="114"/>
      <c r="B1526" s="362"/>
      <c r="C1526" s="362"/>
      <c r="D1526" s="362"/>
      <c r="E1526" s="410"/>
      <c r="F1526" s="362"/>
      <c r="G1526" s="362"/>
      <c r="H1526" s="362"/>
      <c r="I1526" s="362"/>
      <c r="J1526" s="362"/>
      <c r="AX1526" s="117"/>
      <c r="AY1526" s="117"/>
      <c r="AZ1526" s="117"/>
      <c r="BA1526" s="117"/>
      <c r="BB1526" s="117"/>
      <c r="BC1526" s="117"/>
      <c r="BD1526" s="117"/>
    </row>
    <row r="1527" spans="1:56" ht="15">
      <c r="A1527" s="114"/>
      <c r="B1527" s="303" t="s">
        <v>1160</v>
      </c>
      <c r="C1527" s="362"/>
      <c r="D1527" s="362"/>
      <c r="E1527" s="410"/>
      <c r="F1527" s="362"/>
      <c r="G1527" s="362"/>
      <c r="H1527" s="362"/>
      <c r="I1527" s="362"/>
      <c r="J1527" s="362"/>
      <c r="AX1527" s="117"/>
      <c r="AY1527" s="117"/>
      <c r="AZ1527" s="117"/>
      <c r="BA1527" s="117"/>
      <c r="BB1527" s="117"/>
      <c r="BC1527" s="117"/>
      <c r="BD1527" s="117"/>
    </row>
    <row r="1528" spans="1:56" ht="18">
      <c r="A1528" s="114"/>
      <c r="B1528" s="398" t="s">
        <v>1128</v>
      </c>
      <c r="C1528" s="172"/>
      <c r="D1528" s="173"/>
      <c r="E1528" s="402">
        <f>E1511*0.05</f>
        <v>0.75</v>
      </c>
      <c r="F1528" s="390" t="s">
        <v>1124</v>
      </c>
      <c r="G1528" s="362"/>
      <c r="H1528" s="362"/>
      <c r="I1528" s="362"/>
      <c r="J1528" s="362"/>
      <c r="AX1528" s="117"/>
      <c r="AY1528" s="117"/>
      <c r="AZ1528" s="117"/>
      <c r="BA1528" s="117"/>
      <c r="BB1528" s="117"/>
      <c r="BC1528" s="117"/>
      <c r="BD1528" s="117"/>
    </row>
    <row r="1529" spans="1:56" ht="15">
      <c r="A1529" s="114"/>
      <c r="B1529" s="398" t="s">
        <v>1129</v>
      </c>
      <c r="C1529" s="172"/>
      <c r="D1529" s="173"/>
      <c r="E1529" s="397">
        <f>(2*(C1497+C1498)*C1500)*C1501</f>
        <v>37.199999999999996</v>
      </c>
      <c r="F1529" s="390" t="s">
        <v>13</v>
      </c>
      <c r="G1529" s="362"/>
      <c r="H1529" s="362"/>
      <c r="I1529" s="362"/>
      <c r="J1529" s="362"/>
      <c r="AX1529" s="117"/>
      <c r="AY1529" s="117"/>
      <c r="AZ1529" s="117"/>
      <c r="BA1529" s="117"/>
      <c r="BB1529" s="117"/>
      <c r="BC1529" s="117"/>
      <c r="BD1529" s="117"/>
    </row>
    <row r="1530" spans="1:56" ht="18">
      <c r="A1530" s="114"/>
      <c r="B1530" s="398" t="s">
        <v>1130</v>
      </c>
      <c r="C1530" s="172"/>
      <c r="D1530" s="173"/>
      <c r="E1530" s="402">
        <f>(C1497*C1498*C1500)*C1501</f>
        <v>11.04</v>
      </c>
      <c r="F1530" s="390" t="s">
        <v>1124</v>
      </c>
      <c r="G1530" s="362"/>
      <c r="H1530" s="362"/>
      <c r="I1530" s="362"/>
      <c r="J1530" s="362"/>
      <c r="AX1530" s="117"/>
      <c r="AY1530" s="117"/>
      <c r="AZ1530" s="117"/>
      <c r="BA1530" s="117"/>
      <c r="BB1530" s="117"/>
      <c r="BC1530" s="117"/>
      <c r="BD1530" s="117"/>
    </row>
    <row r="1531" spans="1:56" ht="15">
      <c r="A1531" s="114"/>
      <c r="B1531" s="288"/>
      <c r="C1531" s="230"/>
      <c r="D1531" s="230"/>
      <c r="E1531" s="384"/>
      <c r="F1531" s="196"/>
      <c r="G1531" s="196"/>
      <c r="H1531" s="196"/>
      <c r="I1531" s="196"/>
      <c r="J1531" s="114"/>
      <c r="AW1531" s="117"/>
      <c r="AX1531" s="117"/>
      <c r="AY1531" s="117"/>
      <c r="AZ1531" s="117"/>
      <c r="BA1531" s="117"/>
      <c r="BB1531" s="117"/>
      <c r="BC1531" s="117"/>
      <c r="BD1531" s="117"/>
    </row>
    <row r="1532" spans="1:56" ht="15">
      <c r="A1532" s="114"/>
      <c r="B1532" s="288"/>
      <c r="C1532" s="230"/>
      <c r="D1532" s="230"/>
      <c r="E1532" s="384"/>
      <c r="F1532" s="196"/>
      <c r="G1532" s="196"/>
      <c r="H1532" s="196"/>
      <c r="I1532" s="196"/>
      <c r="J1532" s="114"/>
      <c r="AW1532" s="117"/>
      <c r="AX1532" s="117"/>
      <c r="AY1532" s="117"/>
      <c r="AZ1532" s="117"/>
      <c r="BA1532" s="117"/>
      <c r="BB1532" s="117"/>
      <c r="BC1532" s="117"/>
      <c r="BD1532" s="117"/>
    </row>
    <row r="1533" spans="1:56" customFormat="1" ht="12.75">
      <c r="B1533" s="362"/>
      <c r="C1533" s="362"/>
      <c r="D1533" s="362"/>
      <c r="E1533" s="362"/>
      <c r="F1533" s="362"/>
      <c r="G1533" s="362"/>
      <c r="H1533" s="362"/>
      <c r="I1533" s="362"/>
      <c r="J1533" s="362"/>
    </row>
    <row r="1534" spans="1:56">
      <c r="A1534" s="114"/>
      <c r="B1534" s="385" t="s">
        <v>1165</v>
      </c>
      <c r="C1534" s="196"/>
      <c r="D1534" s="196"/>
      <c r="E1534" s="196"/>
      <c r="F1534" s="196"/>
      <c r="G1534" s="196"/>
      <c r="H1534" s="196"/>
      <c r="I1534" s="196"/>
      <c r="J1534" s="196"/>
      <c r="AX1534" s="117"/>
      <c r="AY1534" s="117"/>
      <c r="AZ1534" s="117"/>
      <c r="BA1534" s="117"/>
      <c r="BB1534" s="117"/>
      <c r="BC1534" s="117"/>
      <c r="BD1534" s="117"/>
    </row>
    <row r="1535" spans="1:56" ht="15">
      <c r="A1535" s="114"/>
      <c r="B1535" s="362"/>
      <c r="C1535" s="362"/>
      <c r="D1535" s="362"/>
      <c r="E1535" s="362"/>
      <c r="F1535" s="404"/>
      <c r="G1535" s="404"/>
      <c r="H1535" s="404"/>
      <c r="I1535" s="404"/>
      <c r="J1535" s="404"/>
      <c r="AX1535" s="117"/>
      <c r="AY1535" s="117"/>
      <c r="AZ1535" s="117"/>
      <c r="BA1535" s="117"/>
      <c r="BB1535" s="117"/>
      <c r="BC1535" s="117"/>
      <c r="BD1535" s="117"/>
    </row>
    <row r="1536" spans="1:56" ht="18">
      <c r="A1536" s="114"/>
      <c r="B1536" s="388" t="s">
        <v>1141</v>
      </c>
      <c r="C1536" s="389">
        <v>0.4</v>
      </c>
      <c r="D1536" s="390" t="s">
        <v>10</v>
      </c>
      <c r="E1536" s="196"/>
      <c r="F1536" s="405"/>
      <c r="G1536" s="406" t="s">
        <v>1142</v>
      </c>
      <c r="H1536" s="407">
        <f>C1536*C1537</f>
        <v>0.12</v>
      </c>
      <c r="I1536" s="405" t="s">
        <v>1143</v>
      </c>
      <c r="J1536" s="405"/>
      <c r="AX1536" s="117"/>
      <c r="AY1536" s="117"/>
      <c r="AZ1536" s="117"/>
      <c r="BA1536" s="117"/>
      <c r="BB1536" s="117"/>
      <c r="BC1536" s="117"/>
      <c r="BD1536" s="117"/>
    </row>
    <row r="1537" spans="1:56" ht="15">
      <c r="A1537" s="114"/>
      <c r="B1537" s="388" t="s">
        <v>1144</v>
      </c>
      <c r="C1537" s="389">
        <v>0.3</v>
      </c>
      <c r="D1537" s="390" t="s">
        <v>10</v>
      </c>
      <c r="E1537" s="196"/>
      <c r="F1537" s="405"/>
      <c r="G1537" s="406" t="e">
        <f>TEXT(C1544,"tg 0°=")</f>
        <v>#VALUE!</v>
      </c>
      <c r="H1537" s="408">
        <f>TAN(3.14159265359*C1544/180)</f>
        <v>1.732050807569153</v>
      </c>
      <c r="I1537" s="405"/>
      <c r="J1537" s="405"/>
      <c r="AX1537" s="117"/>
      <c r="AY1537" s="117"/>
      <c r="AZ1537" s="117"/>
      <c r="BA1537" s="117"/>
      <c r="BB1537" s="117"/>
      <c r="BC1537" s="117"/>
      <c r="BD1537" s="117"/>
    </row>
    <row r="1538" spans="1:56" ht="15">
      <c r="A1538" s="114"/>
      <c r="B1538" s="388" t="s">
        <v>1145</v>
      </c>
      <c r="C1538" s="389">
        <v>2.2999999999999998</v>
      </c>
      <c r="D1538" s="390" t="s">
        <v>10</v>
      </c>
      <c r="E1538" s="196"/>
      <c r="F1538" s="405"/>
      <c r="G1538" s="406"/>
      <c r="H1538" s="407"/>
      <c r="I1538" s="405"/>
      <c r="J1538" s="405"/>
      <c r="AX1538" s="117"/>
      <c r="AY1538" s="117"/>
      <c r="AZ1538" s="117"/>
      <c r="BA1538" s="117"/>
      <c r="BB1538" s="117"/>
      <c r="BC1538" s="117"/>
      <c r="BD1538" s="117"/>
    </row>
    <row r="1539" spans="1:56" ht="18">
      <c r="A1539" s="114"/>
      <c r="B1539" s="388" t="s">
        <v>1146</v>
      </c>
      <c r="C1539" s="389">
        <v>0.8</v>
      </c>
      <c r="D1539" s="390" t="s">
        <v>10</v>
      </c>
      <c r="E1539" s="196"/>
      <c r="F1539" s="405"/>
      <c r="G1539" s="406" t="s">
        <v>1142</v>
      </c>
      <c r="H1539" s="409">
        <f>(C1538+2*C1546+((C1540+C1541+0.05)/H1537)*2)*(C1539+2*C1546+((C1540+C1541+0.05)/H1537)*2)</f>
        <v>34.23135429595618</v>
      </c>
      <c r="I1539" s="405" t="s">
        <v>1143</v>
      </c>
      <c r="J1539" s="405"/>
      <c r="AX1539" s="117"/>
      <c r="AY1539" s="117"/>
      <c r="AZ1539" s="117"/>
      <c r="BA1539" s="117"/>
      <c r="BB1539" s="117"/>
      <c r="BC1539" s="117"/>
      <c r="BD1539" s="117"/>
    </row>
    <row r="1540" spans="1:56" ht="18">
      <c r="A1540" s="114"/>
      <c r="B1540" s="388" t="s">
        <v>1112</v>
      </c>
      <c r="C1540" s="389">
        <v>1.85</v>
      </c>
      <c r="D1540" s="390" t="s">
        <v>10</v>
      </c>
      <c r="E1540" s="196"/>
      <c r="F1540" s="405"/>
      <c r="G1540" s="406" t="s">
        <v>1147</v>
      </c>
      <c r="H1540" s="409">
        <f>(C1538+2*C1546)*(C1539+2*C1546)</f>
        <v>5.9399999999999995</v>
      </c>
      <c r="I1540" s="405" t="s">
        <v>1143</v>
      </c>
      <c r="J1540" s="405"/>
      <c r="AX1540" s="117"/>
      <c r="AY1540" s="117"/>
      <c r="AZ1540" s="117"/>
      <c r="BA1540" s="117"/>
      <c r="BB1540" s="117"/>
      <c r="BC1540" s="117"/>
      <c r="BD1540" s="117"/>
    </row>
    <row r="1541" spans="1:56" ht="15">
      <c r="A1541" s="114"/>
      <c r="B1541" s="388" t="s">
        <v>1113</v>
      </c>
      <c r="C1541" s="389">
        <v>1</v>
      </c>
      <c r="D1541" s="390" t="s">
        <v>10</v>
      </c>
      <c r="E1541" s="196"/>
      <c r="F1541" s="405"/>
      <c r="G1541" s="406"/>
      <c r="H1541" s="407"/>
      <c r="I1541" s="405"/>
      <c r="J1541" s="405"/>
      <c r="AX1541" s="117"/>
      <c r="AY1541" s="117"/>
      <c r="AZ1541" s="117"/>
      <c r="BA1541" s="117"/>
      <c r="BB1541" s="117"/>
      <c r="BC1541" s="117"/>
      <c r="BD1541" s="117"/>
    </row>
    <row r="1542" spans="1:56" ht="15">
      <c r="A1542" s="114"/>
      <c r="B1542" s="388" t="s">
        <v>1117</v>
      </c>
      <c r="C1542" s="391">
        <v>4</v>
      </c>
      <c r="D1542" s="390" t="s">
        <v>1118</v>
      </c>
      <c r="E1542" s="196"/>
      <c r="F1542" s="405"/>
      <c r="G1542" s="406"/>
      <c r="H1542" s="407"/>
      <c r="I1542" s="405"/>
      <c r="J1542" s="405"/>
      <c r="AX1542" s="117"/>
      <c r="AY1542" s="117"/>
      <c r="AZ1542" s="117"/>
      <c r="BA1542" s="117"/>
      <c r="BB1542" s="117"/>
      <c r="BC1542" s="117"/>
      <c r="BD1542" s="117"/>
    </row>
    <row r="1543" spans="1:56" ht="15">
      <c r="A1543" s="114"/>
      <c r="B1543" s="196" t="s">
        <v>1148</v>
      </c>
      <c r="C1543" s="393"/>
      <c r="D1543" s="196"/>
      <c r="E1543" s="196"/>
      <c r="F1543" s="405"/>
      <c r="G1543" s="406"/>
      <c r="H1543" s="407"/>
      <c r="I1543" s="405"/>
      <c r="J1543" s="405"/>
      <c r="AX1543" s="117"/>
      <c r="AY1543" s="117"/>
      <c r="AZ1543" s="117"/>
      <c r="BA1543" s="117"/>
      <c r="BB1543" s="117"/>
      <c r="BC1543" s="117"/>
      <c r="BD1543" s="117"/>
    </row>
    <row r="1544" spans="1:56" ht="15">
      <c r="A1544" s="114"/>
      <c r="B1544" s="388" t="s">
        <v>1149</v>
      </c>
      <c r="C1544" s="389">
        <v>60</v>
      </c>
      <c r="D1544" s="390" t="s">
        <v>1150</v>
      </c>
      <c r="E1544" s="196"/>
      <c r="F1544" s="196"/>
      <c r="G1544" s="392"/>
      <c r="H1544" s="393"/>
      <c r="I1544" s="196"/>
      <c r="J1544" s="196"/>
      <c r="AX1544" s="117"/>
      <c r="AY1544" s="117"/>
      <c r="AZ1544" s="117"/>
      <c r="BA1544" s="117"/>
      <c r="BB1544" s="117"/>
      <c r="BC1544" s="117"/>
      <c r="BD1544" s="117"/>
    </row>
    <row r="1545" spans="1:56" ht="15">
      <c r="A1545" s="114"/>
      <c r="B1545" s="362"/>
      <c r="C1545" s="196"/>
      <c r="D1545" s="196"/>
      <c r="E1545" s="196"/>
      <c r="F1545" s="196"/>
      <c r="G1545" s="362"/>
      <c r="H1545" s="362"/>
      <c r="I1545" s="362"/>
      <c r="J1545" s="196"/>
      <c r="AX1545" s="117"/>
      <c r="AY1545" s="117"/>
      <c r="AZ1545" s="117"/>
      <c r="BA1545" s="117"/>
      <c r="BB1545" s="117"/>
      <c r="BC1545" s="117"/>
      <c r="BD1545" s="117"/>
    </row>
    <row r="1546" spans="1:56" ht="15">
      <c r="A1546" s="114"/>
      <c r="B1546" s="388" t="s">
        <v>1114</v>
      </c>
      <c r="C1546" s="389">
        <v>0.5</v>
      </c>
      <c r="D1546" s="390" t="s">
        <v>10</v>
      </c>
      <c r="E1546" s="288" t="s">
        <v>1120</v>
      </c>
      <c r="F1546" s="196"/>
      <c r="G1546" s="196" t="s">
        <v>1131</v>
      </c>
      <c r="H1546" s="114"/>
      <c r="I1546" s="114"/>
      <c r="J1546" s="196"/>
      <c r="AX1546" s="117"/>
      <c r="AY1546" s="117"/>
      <c r="AZ1546" s="117"/>
      <c r="BA1546" s="117"/>
      <c r="BB1546" s="117"/>
      <c r="BC1546" s="117"/>
      <c r="BD1546" s="117"/>
    </row>
    <row r="1547" spans="1:56" ht="15">
      <c r="A1547" s="114"/>
      <c r="B1547" s="388" t="s">
        <v>1114</v>
      </c>
      <c r="C1547" s="389">
        <v>0.1</v>
      </c>
      <c r="D1547" s="390" t="s">
        <v>10</v>
      </c>
      <c r="E1547" s="288" t="s">
        <v>1121</v>
      </c>
      <c r="F1547" s="196"/>
      <c r="G1547" s="196"/>
      <c r="H1547" s="196"/>
      <c r="I1547" s="196"/>
      <c r="J1547" s="196"/>
      <c r="AX1547" s="117"/>
      <c r="AY1547" s="117"/>
      <c r="AZ1547" s="117"/>
      <c r="BA1547" s="117"/>
      <c r="BB1547" s="117"/>
      <c r="BC1547" s="117"/>
      <c r="BD1547" s="117"/>
    </row>
    <row r="1548" spans="1:56" ht="15">
      <c r="A1548" s="114"/>
      <c r="B1548" s="362"/>
      <c r="C1548" s="362"/>
      <c r="D1548" s="362"/>
      <c r="E1548" s="362"/>
      <c r="F1548" s="362"/>
      <c r="G1548" s="114"/>
      <c r="H1548" s="362"/>
      <c r="I1548" s="196"/>
      <c r="J1548" s="196"/>
      <c r="AX1548" s="117"/>
      <c r="AY1548" s="117"/>
      <c r="AZ1548" s="117"/>
      <c r="BA1548" s="117"/>
      <c r="BB1548" s="117"/>
      <c r="BC1548" s="117"/>
      <c r="BD1548" s="117"/>
    </row>
    <row r="1549" spans="1:56" ht="15">
      <c r="A1549" s="114"/>
      <c r="B1549" s="303" t="s">
        <v>1122</v>
      </c>
      <c r="C1549" s="362"/>
      <c r="D1549" s="362"/>
      <c r="E1549" s="362"/>
      <c r="F1549" s="362"/>
      <c r="G1549" s="196"/>
      <c r="H1549" s="196"/>
      <c r="I1549" s="196"/>
      <c r="J1549" s="196"/>
      <c r="AX1549" s="117"/>
      <c r="AY1549" s="117"/>
      <c r="AZ1549" s="117"/>
      <c r="BA1549" s="117"/>
      <c r="BB1549" s="117"/>
      <c r="BC1549" s="117"/>
      <c r="BD1549" s="117"/>
    </row>
    <row r="1550" spans="1:56" ht="18">
      <c r="A1550" s="114"/>
      <c r="B1550" s="398" t="s">
        <v>1123</v>
      </c>
      <c r="C1550" s="417" t="s">
        <v>1105</v>
      </c>
      <c r="D1550" s="173"/>
      <c r="E1550" s="397">
        <f>C1542*((H1540+H1539)/2)*(C1540+C1541+0.05)</f>
        <v>232.99385491654581</v>
      </c>
      <c r="F1550" s="390" t="s">
        <v>1124</v>
      </c>
      <c r="G1550" s="196"/>
      <c r="H1550" s="362"/>
      <c r="I1550" s="362"/>
      <c r="J1550" s="362"/>
      <c r="AX1550" s="117"/>
      <c r="AY1550" s="117"/>
      <c r="AZ1550" s="117"/>
      <c r="BA1550" s="117"/>
      <c r="BB1550" s="117"/>
      <c r="BC1550" s="117"/>
      <c r="BD1550" s="117"/>
    </row>
    <row r="1551" spans="1:56" ht="18">
      <c r="A1551" s="114"/>
      <c r="B1551" s="398" t="s">
        <v>1125</v>
      </c>
      <c r="C1551" s="172"/>
      <c r="D1551" s="173"/>
      <c r="E1551" s="397">
        <f>E1550-(E1562+E1564)</f>
        <v>225.13385491654583</v>
      </c>
      <c r="F1551" s="390" t="s">
        <v>1124</v>
      </c>
      <c r="G1551" s="196"/>
      <c r="H1551" s="196"/>
      <c r="I1551" s="196"/>
      <c r="J1551" s="196"/>
      <c r="AX1551" s="117"/>
      <c r="AY1551" s="117"/>
      <c r="AZ1551" s="117"/>
      <c r="BA1551" s="117"/>
      <c r="BB1551" s="117"/>
      <c r="BC1551" s="117"/>
      <c r="BD1551" s="117"/>
    </row>
    <row r="1552" spans="1:56" ht="15">
      <c r="A1552" s="114"/>
      <c r="B1552" s="398" t="s">
        <v>1126</v>
      </c>
      <c r="C1552" s="172"/>
      <c r="D1552" s="173"/>
      <c r="E1552" s="400">
        <f>((C1538+2*C1547)*(C1539+2*C1547))*C1542</f>
        <v>10</v>
      </c>
      <c r="F1552" s="390" t="s">
        <v>13</v>
      </c>
      <c r="G1552" s="362"/>
      <c r="H1552" s="362"/>
      <c r="I1552" s="362"/>
      <c r="J1552" s="362"/>
      <c r="AX1552" s="117"/>
      <c r="AY1552" s="117"/>
      <c r="AZ1552" s="117"/>
      <c r="BA1552" s="117"/>
      <c r="BB1552" s="117"/>
      <c r="BC1552" s="117"/>
      <c r="BD1552" s="117"/>
    </row>
    <row r="1553" spans="1:56" ht="15">
      <c r="A1553" s="114"/>
      <c r="B1553" s="362"/>
      <c r="C1553" s="362"/>
      <c r="D1553" s="362"/>
      <c r="E1553" s="401"/>
      <c r="F1553" s="196"/>
      <c r="G1553" s="362"/>
      <c r="H1553" s="362"/>
      <c r="I1553" s="362"/>
      <c r="J1553" s="362"/>
      <c r="AX1553" s="117"/>
      <c r="AY1553" s="117"/>
      <c r="AZ1553" s="117"/>
      <c r="BA1553" s="117"/>
      <c r="BB1553" s="117"/>
      <c r="BC1553" s="117"/>
      <c r="BD1553" s="117"/>
    </row>
    <row r="1554" spans="1:56" ht="15">
      <c r="A1554" s="114"/>
      <c r="B1554" s="303" t="s">
        <v>1162</v>
      </c>
      <c r="C1554" s="362"/>
      <c r="D1554" s="362"/>
      <c r="E1554" s="410"/>
      <c r="F1554" s="362"/>
      <c r="G1554" s="362"/>
      <c r="H1554" s="362"/>
      <c r="I1554" s="362"/>
      <c r="J1554" s="362"/>
      <c r="AX1554" s="117"/>
      <c r="AY1554" s="117"/>
      <c r="AZ1554" s="117"/>
      <c r="BA1554" s="117"/>
      <c r="BB1554" s="117"/>
      <c r="BC1554" s="117"/>
      <c r="BD1554" s="117"/>
    </row>
    <row r="1555" spans="1:56" ht="15">
      <c r="A1555" s="114"/>
      <c r="B1555" s="398" t="s">
        <v>1152</v>
      </c>
      <c r="C1555" s="398"/>
      <c r="D1555" s="366"/>
      <c r="E1555" s="411">
        <v>2</v>
      </c>
      <c r="F1555" s="390" t="s">
        <v>1153</v>
      </c>
      <c r="G1555" s="362"/>
      <c r="H1555" s="362"/>
      <c r="I1555" s="362"/>
      <c r="J1555" s="362"/>
      <c r="AX1555" s="117"/>
      <c r="AY1555" s="117"/>
      <c r="AZ1555" s="117"/>
      <c r="BA1555" s="117"/>
      <c r="BB1555" s="117"/>
      <c r="BC1555" s="117"/>
      <c r="BD1555" s="117"/>
    </row>
    <row r="1556" spans="1:56" ht="15">
      <c r="A1556" s="114"/>
      <c r="B1556" s="399" t="s">
        <v>1154</v>
      </c>
      <c r="C1556" s="31"/>
      <c r="D1556" s="32"/>
      <c r="E1556" s="412">
        <f>C1542*E1555</f>
        <v>8</v>
      </c>
      <c r="F1556" s="390" t="s">
        <v>1153</v>
      </c>
      <c r="G1556" s="362"/>
      <c r="H1556" s="362"/>
      <c r="I1556" s="362"/>
      <c r="J1556" s="362"/>
      <c r="AX1556" s="117"/>
      <c r="AY1556" s="117"/>
      <c r="AZ1556" s="117"/>
      <c r="BA1556" s="117"/>
      <c r="BB1556" s="117"/>
      <c r="BC1556" s="117"/>
      <c r="BD1556" s="117"/>
    </row>
    <row r="1557" spans="1:56" ht="15">
      <c r="A1557" s="114"/>
      <c r="B1557" s="398" t="s">
        <v>1155</v>
      </c>
      <c r="C1557" s="21"/>
      <c r="D1557" s="413"/>
      <c r="E1557" s="411">
        <v>350</v>
      </c>
      <c r="F1557" s="390" t="s">
        <v>1156</v>
      </c>
      <c r="G1557" s="362"/>
      <c r="H1557" s="414"/>
      <c r="I1557" s="362"/>
      <c r="J1557" s="415"/>
      <c r="AX1557" s="117"/>
      <c r="AY1557" s="117"/>
      <c r="AZ1557" s="117"/>
      <c r="BA1557" s="117"/>
      <c r="BB1557" s="117"/>
      <c r="BC1557" s="117"/>
      <c r="BD1557" s="117"/>
    </row>
    <row r="1558" spans="1:56" ht="15">
      <c r="A1558" s="114"/>
      <c r="B1558" s="398" t="s">
        <v>1157</v>
      </c>
      <c r="C1558" s="21"/>
      <c r="D1558" s="413"/>
      <c r="E1558" s="416">
        <v>13</v>
      </c>
      <c r="F1558" s="390" t="s">
        <v>10</v>
      </c>
      <c r="G1558" s="362"/>
      <c r="H1558" s="6"/>
      <c r="I1558" s="362"/>
      <c r="J1558" s="362"/>
      <c r="AX1558" s="117"/>
      <c r="AY1558" s="117"/>
      <c r="AZ1558" s="117"/>
      <c r="BA1558" s="117"/>
      <c r="BB1558" s="117"/>
      <c r="BC1558" s="117"/>
      <c r="BD1558" s="117"/>
    </row>
    <row r="1559" spans="1:56" ht="15">
      <c r="A1559" s="114"/>
      <c r="B1559" s="398" t="s">
        <v>1158</v>
      </c>
      <c r="C1559" s="21"/>
      <c r="D1559" s="413"/>
      <c r="E1559" s="412">
        <f>E1556*E1558</f>
        <v>104</v>
      </c>
      <c r="F1559" s="390" t="s">
        <v>10</v>
      </c>
      <c r="G1559" s="362"/>
      <c r="H1559" s="362"/>
      <c r="I1559" s="362"/>
      <c r="J1559" s="362"/>
      <c r="AX1559" s="117"/>
      <c r="AY1559" s="117"/>
      <c r="AZ1559" s="117"/>
      <c r="BA1559" s="117"/>
      <c r="BB1559" s="117"/>
      <c r="BC1559" s="117"/>
      <c r="BD1559" s="117"/>
    </row>
    <row r="1560" spans="1:56" ht="15">
      <c r="A1560" s="114"/>
      <c r="B1560" s="362"/>
      <c r="C1560" s="362"/>
      <c r="D1560" s="362"/>
      <c r="E1560" s="410"/>
      <c r="F1560" s="362"/>
      <c r="G1560" s="362"/>
      <c r="H1560" s="362"/>
      <c r="I1560" s="362"/>
      <c r="J1560" s="362"/>
      <c r="AX1560" s="117"/>
      <c r="AY1560" s="117"/>
      <c r="AZ1560" s="117"/>
      <c r="BA1560" s="117"/>
      <c r="BB1560" s="117"/>
      <c r="BC1560" s="117"/>
      <c r="BD1560" s="117"/>
    </row>
    <row r="1561" spans="1:56" ht="15">
      <c r="A1561" s="114"/>
      <c r="B1561" s="303" t="s">
        <v>1160</v>
      </c>
      <c r="C1561" s="362"/>
      <c r="D1561" s="362"/>
      <c r="E1561" s="410"/>
      <c r="F1561" s="362"/>
      <c r="G1561" s="362"/>
      <c r="H1561" s="362"/>
      <c r="I1561" s="362"/>
      <c r="J1561" s="362"/>
      <c r="AX1561" s="117"/>
      <c r="AY1561" s="117"/>
      <c r="AZ1561" s="117"/>
      <c r="BA1561" s="117"/>
      <c r="BB1561" s="117"/>
      <c r="BC1561" s="117"/>
      <c r="BD1561" s="117"/>
    </row>
    <row r="1562" spans="1:56" ht="18">
      <c r="A1562" s="114"/>
      <c r="B1562" s="398" t="s">
        <v>1128</v>
      </c>
      <c r="C1562" s="172"/>
      <c r="D1562" s="173"/>
      <c r="E1562" s="402">
        <f>E1552*0.05</f>
        <v>0.5</v>
      </c>
      <c r="F1562" s="390" t="s">
        <v>1124</v>
      </c>
      <c r="G1562" s="362"/>
      <c r="H1562" s="362"/>
      <c r="I1562" s="362"/>
      <c r="J1562" s="362"/>
      <c r="AX1562" s="117"/>
      <c r="AY1562" s="117"/>
      <c r="AZ1562" s="117"/>
      <c r="BA1562" s="117"/>
      <c r="BB1562" s="117"/>
      <c r="BC1562" s="117"/>
      <c r="BD1562" s="117"/>
    </row>
    <row r="1563" spans="1:56" ht="15">
      <c r="A1563" s="114"/>
      <c r="B1563" s="398" t="s">
        <v>1129</v>
      </c>
      <c r="C1563" s="172"/>
      <c r="D1563" s="173"/>
      <c r="E1563" s="397">
        <f>(2*(C1538+C1539)*C1541)*C1542</f>
        <v>24.799999999999997</v>
      </c>
      <c r="F1563" s="390" t="s">
        <v>13</v>
      </c>
      <c r="G1563" s="362"/>
      <c r="H1563" s="362"/>
      <c r="I1563" s="362"/>
      <c r="J1563" s="362"/>
      <c r="AX1563" s="117"/>
      <c r="AY1563" s="117"/>
      <c r="AZ1563" s="117"/>
      <c r="BA1563" s="117"/>
      <c r="BB1563" s="117"/>
      <c r="BC1563" s="117"/>
      <c r="BD1563" s="117"/>
    </row>
    <row r="1564" spans="1:56" ht="18">
      <c r="A1564" s="114"/>
      <c r="B1564" s="398" t="s">
        <v>1130</v>
      </c>
      <c r="C1564" s="172"/>
      <c r="D1564" s="173"/>
      <c r="E1564" s="402">
        <f>(C1538*C1539*C1541)*C1542</f>
        <v>7.3599999999999994</v>
      </c>
      <c r="F1564" s="390" t="s">
        <v>1124</v>
      </c>
      <c r="G1564" s="362"/>
      <c r="H1564" s="362"/>
      <c r="I1564" s="362"/>
      <c r="J1564" s="362"/>
      <c r="AX1564" s="117"/>
      <c r="AY1564" s="117"/>
      <c r="AZ1564" s="117"/>
      <c r="BA1564" s="117"/>
      <c r="BB1564" s="117"/>
      <c r="BC1564" s="117"/>
      <c r="BD1564" s="117"/>
    </row>
    <row r="1565" spans="1:56" ht="15">
      <c r="A1565" s="114"/>
      <c r="B1565" s="288"/>
      <c r="C1565" s="230"/>
      <c r="D1565" s="230"/>
      <c r="E1565" s="384"/>
      <c r="F1565" s="196"/>
      <c r="G1565" s="196"/>
      <c r="H1565" s="196"/>
      <c r="I1565" s="196"/>
      <c r="J1565" s="114"/>
      <c r="AW1565" s="117"/>
      <c r="AX1565" s="117"/>
      <c r="AY1565" s="117"/>
      <c r="AZ1565" s="117"/>
      <c r="BA1565" s="117"/>
      <c r="BB1565" s="117"/>
      <c r="BC1565" s="117"/>
      <c r="BD1565" s="117"/>
    </row>
    <row r="1566" spans="1:56" ht="15">
      <c r="A1566" s="114"/>
      <c r="B1566" s="288"/>
      <c r="C1566" s="230"/>
      <c r="D1566" s="230"/>
      <c r="E1566" s="384"/>
      <c r="F1566" s="196"/>
      <c r="G1566" s="196"/>
      <c r="H1566" s="196"/>
      <c r="I1566" s="196"/>
      <c r="J1566" s="114"/>
      <c r="AW1566" s="117"/>
      <c r="AX1566" s="117"/>
      <c r="AY1566" s="117"/>
      <c r="AZ1566" s="117"/>
      <c r="BA1566" s="117"/>
      <c r="BB1566" s="117"/>
      <c r="BC1566" s="117"/>
      <c r="BD1566" s="117"/>
    </row>
    <row r="1567" spans="1:56" customFormat="1" ht="12.75">
      <c r="B1567" s="362"/>
      <c r="C1567" s="362"/>
      <c r="D1567" s="362"/>
      <c r="E1567" s="362"/>
      <c r="F1567" s="362"/>
      <c r="G1567" s="362"/>
      <c r="H1567" s="362"/>
      <c r="I1567" s="362"/>
      <c r="J1567" s="362"/>
    </row>
    <row r="1568" spans="1:56">
      <c r="A1568" s="114"/>
      <c r="B1568" s="385" t="s">
        <v>1166</v>
      </c>
      <c r="C1568" s="196"/>
      <c r="D1568" s="196"/>
      <c r="E1568" s="196"/>
      <c r="F1568" s="196"/>
      <c r="G1568" s="196"/>
      <c r="H1568" s="196"/>
      <c r="I1568" s="196"/>
      <c r="J1568" s="196"/>
      <c r="AX1568" s="117"/>
      <c r="AY1568" s="117"/>
      <c r="AZ1568" s="117"/>
      <c r="BA1568" s="117"/>
      <c r="BB1568" s="117"/>
      <c r="BC1568" s="117"/>
      <c r="BD1568" s="117"/>
    </row>
    <row r="1569" spans="1:56" ht="15">
      <c r="A1569" s="114"/>
      <c r="B1569" s="362"/>
      <c r="C1569" s="362"/>
      <c r="D1569" s="362"/>
      <c r="E1569" s="362"/>
      <c r="F1569" s="404"/>
      <c r="G1569" s="404"/>
      <c r="H1569" s="404"/>
      <c r="I1569" s="404"/>
      <c r="J1569" s="404"/>
      <c r="AX1569" s="117"/>
      <c r="AY1569" s="117"/>
      <c r="AZ1569" s="117"/>
      <c r="BA1569" s="117"/>
      <c r="BB1569" s="117"/>
      <c r="BC1569" s="117"/>
      <c r="BD1569" s="117"/>
    </row>
    <row r="1570" spans="1:56" ht="18">
      <c r="A1570" s="114"/>
      <c r="B1570" s="388" t="s">
        <v>1141</v>
      </c>
      <c r="C1570" s="389">
        <v>0.5</v>
      </c>
      <c r="D1570" s="390" t="s">
        <v>10</v>
      </c>
      <c r="E1570" s="196"/>
      <c r="F1570" s="405"/>
      <c r="G1570" s="406" t="s">
        <v>1142</v>
      </c>
      <c r="H1570" s="407">
        <f>C1570*C1571</f>
        <v>0.15</v>
      </c>
      <c r="I1570" s="405" t="s">
        <v>1143</v>
      </c>
      <c r="J1570" s="405"/>
      <c r="AX1570" s="117"/>
      <c r="AY1570" s="117"/>
      <c r="AZ1570" s="117"/>
      <c r="BA1570" s="117"/>
      <c r="BB1570" s="117"/>
      <c r="BC1570" s="117"/>
      <c r="BD1570" s="117"/>
    </row>
    <row r="1571" spans="1:56" ht="15">
      <c r="A1571" s="114"/>
      <c r="B1571" s="388" t="s">
        <v>1144</v>
      </c>
      <c r="C1571" s="389">
        <v>0.3</v>
      </c>
      <c r="D1571" s="390" t="s">
        <v>10</v>
      </c>
      <c r="E1571" s="196"/>
      <c r="F1571" s="405"/>
      <c r="G1571" s="406" t="e">
        <f>TEXT(C1578,"tg 0°=")</f>
        <v>#VALUE!</v>
      </c>
      <c r="H1571" s="408">
        <f>TAN(3.14159265359*C1578/180)</f>
        <v>1.732050807569153</v>
      </c>
      <c r="I1571" s="405"/>
      <c r="J1571" s="405"/>
      <c r="AX1571" s="117"/>
      <c r="AY1571" s="117"/>
      <c r="AZ1571" s="117"/>
      <c r="BA1571" s="117"/>
      <c r="BB1571" s="117"/>
      <c r="BC1571" s="117"/>
      <c r="BD1571" s="117"/>
    </row>
    <row r="1572" spans="1:56" ht="15">
      <c r="A1572" s="114"/>
      <c r="B1572" s="388" t="s">
        <v>1145</v>
      </c>
      <c r="C1572" s="389">
        <v>2.2999999999999998</v>
      </c>
      <c r="D1572" s="390" t="s">
        <v>10</v>
      </c>
      <c r="E1572" s="196"/>
      <c r="F1572" s="405"/>
      <c r="G1572" s="406"/>
      <c r="H1572" s="407"/>
      <c r="I1572" s="405"/>
      <c r="J1572" s="405"/>
      <c r="AX1572" s="117"/>
      <c r="AY1572" s="117"/>
      <c r="AZ1572" s="117"/>
      <c r="BA1572" s="117"/>
      <c r="BB1572" s="117"/>
      <c r="BC1572" s="117"/>
      <c r="BD1572" s="117"/>
    </row>
    <row r="1573" spans="1:56" ht="18">
      <c r="A1573" s="114"/>
      <c r="B1573" s="388" t="s">
        <v>1146</v>
      </c>
      <c r="C1573" s="389">
        <v>0.8</v>
      </c>
      <c r="D1573" s="390" t="s">
        <v>10</v>
      </c>
      <c r="E1573" s="196"/>
      <c r="F1573" s="405"/>
      <c r="G1573" s="406" t="s">
        <v>1142</v>
      </c>
      <c r="H1573" s="409">
        <f>(C1572+2*C1580+((C1574+C1575+0.05)/H1571)*2)*(C1573+2*C1580+((C1574+C1575+0.05)/H1571)*2)</f>
        <v>34.23135429595618</v>
      </c>
      <c r="I1573" s="405" t="s">
        <v>1143</v>
      </c>
      <c r="J1573" s="405"/>
      <c r="AX1573" s="117"/>
      <c r="AY1573" s="117"/>
      <c r="AZ1573" s="117"/>
      <c r="BA1573" s="117"/>
      <c r="BB1573" s="117"/>
      <c r="BC1573" s="117"/>
      <c r="BD1573" s="117"/>
    </row>
    <row r="1574" spans="1:56" ht="18">
      <c r="A1574" s="114"/>
      <c r="B1574" s="388" t="s">
        <v>1112</v>
      </c>
      <c r="C1574" s="389">
        <v>1.85</v>
      </c>
      <c r="D1574" s="390" t="s">
        <v>10</v>
      </c>
      <c r="E1574" s="196"/>
      <c r="F1574" s="405"/>
      <c r="G1574" s="406" t="s">
        <v>1147</v>
      </c>
      <c r="H1574" s="409">
        <f>(C1572+2*C1580)*(C1573+2*C1580)</f>
        <v>5.9399999999999995</v>
      </c>
      <c r="I1574" s="405" t="s">
        <v>1143</v>
      </c>
      <c r="J1574" s="405"/>
      <c r="AX1574" s="117"/>
      <c r="AY1574" s="117"/>
      <c r="AZ1574" s="117"/>
      <c r="BA1574" s="117"/>
      <c r="BB1574" s="117"/>
      <c r="BC1574" s="117"/>
      <c r="BD1574" s="117"/>
    </row>
    <row r="1575" spans="1:56" ht="15">
      <c r="A1575" s="114"/>
      <c r="B1575" s="388" t="s">
        <v>1113</v>
      </c>
      <c r="C1575" s="389">
        <v>1</v>
      </c>
      <c r="D1575" s="390" t="s">
        <v>10</v>
      </c>
      <c r="E1575" s="196"/>
      <c r="F1575" s="405"/>
      <c r="G1575" s="406"/>
      <c r="H1575" s="407"/>
      <c r="I1575" s="405"/>
      <c r="J1575" s="405"/>
      <c r="AX1575" s="117"/>
      <c r="AY1575" s="117"/>
      <c r="AZ1575" s="117"/>
      <c r="BA1575" s="117"/>
      <c r="BB1575" s="117"/>
      <c r="BC1575" s="117"/>
      <c r="BD1575" s="117"/>
    </row>
    <row r="1576" spans="1:56" ht="15">
      <c r="A1576" s="114"/>
      <c r="B1576" s="388" t="s">
        <v>1117</v>
      </c>
      <c r="C1576" s="391">
        <v>2</v>
      </c>
      <c r="D1576" s="390" t="s">
        <v>1118</v>
      </c>
      <c r="E1576" s="196"/>
      <c r="F1576" s="405"/>
      <c r="G1576" s="406"/>
      <c r="H1576" s="407"/>
      <c r="I1576" s="405"/>
      <c r="J1576" s="405"/>
      <c r="AX1576" s="117"/>
      <c r="AY1576" s="117"/>
      <c r="AZ1576" s="117"/>
      <c r="BA1576" s="117"/>
      <c r="BB1576" s="117"/>
      <c r="BC1576" s="117"/>
      <c r="BD1576" s="117"/>
    </row>
    <row r="1577" spans="1:56" ht="15">
      <c r="A1577" s="114"/>
      <c r="B1577" s="196" t="s">
        <v>1148</v>
      </c>
      <c r="C1577" s="393"/>
      <c r="D1577" s="196"/>
      <c r="E1577" s="196"/>
      <c r="F1577" s="405"/>
      <c r="G1577" s="406"/>
      <c r="H1577" s="407"/>
      <c r="I1577" s="405"/>
      <c r="J1577" s="405"/>
      <c r="AX1577" s="117"/>
      <c r="AY1577" s="117"/>
      <c r="AZ1577" s="117"/>
      <c r="BA1577" s="117"/>
      <c r="BB1577" s="117"/>
      <c r="BC1577" s="117"/>
      <c r="BD1577" s="117"/>
    </row>
    <row r="1578" spans="1:56" ht="15">
      <c r="A1578" s="114"/>
      <c r="B1578" s="388" t="s">
        <v>1149</v>
      </c>
      <c r="C1578" s="389">
        <v>60</v>
      </c>
      <c r="D1578" s="390" t="s">
        <v>1150</v>
      </c>
      <c r="E1578" s="196"/>
      <c r="F1578" s="196"/>
      <c r="G1578" s="392"/>
      <c r="H1578" s="393"/>
      <c r="I1578" s="196"/>
      <c r="J1578" s="196"/>
      <c r="AX1578" s="117"/>
      <c r="AY1578" s="117"/>
      <c r="AZ1578" s="117"/>
      <c r="BA1578" s="117"/>
      <c r="BB1578" s="117"/>
      <c r="BC1578" s="117"/>
      <c r="BD1578" s="117"/>
    </row>
    <row r="1579" spans="1:56" ht="15">
      <c r="A1579" s="114"/>
      <c r="B1579" s="362"/>
      <c r="C1579" s="196"/>
      <c r="D1579" s="196"/>
      <c r="E1579" s="196"/>
      <c r="F1579" s="196"/>
      <c r="G1579" s="362"/>
      <c r="H1579" s="362"/>
      <c r="I1579" s="362"/>
      <c r="J1579" s="196"/>
      <c r="AX1579" s="117"/>
      <c r="AY1579" s="117"/>
      <c r="AZ1579" s="117"/>
      <c r="BA1579" s="117"/>
      <c r="BB1579" s="117"/>
      <c r="BC1579" s="117"/>
      <c r="BD1579" s="117"/>
    </row>
    <row r="1580" spans="1:56" ht="15">
      <c r="A1580" s="114"/>
      <c r="B1580" s="388" t="s">
        <v>1114</v>
      </c>
      <c r="C1580" s="389">
        <v>0.5</v>
      </c>
      <c r="D1580" s="390" t="s">
        <v>10</v>
      </c>
      <c r="E1580" s="288" t="s">
        <v>1120</v>
      </c>
      <c r="F1580" s="196"/>
      <c r="G1580" s="196" t="s">
        <v>1131</v>
      </c>
      <c r="H1580" s="114"/>
      <c r="I1580" s="114"/>
      <c r="J1580" s="196"/>
      <c r="AX1580" s="117"/>
      <c r="AY1580" s="117"/>
      <c r="AZ1580" s="117"/>
      <c r="BA1580" s="117"/>
      <c r="BB1580" s="117"/>
      <c r="BC1580" s="117"/>
      <c r="BD1580" s="117"/>
    </row>
    <row r="1581" spans="1:56" ht="15">
      <c r="A1581" s="114"/>
      <c r="B1581" s="388" t="s">
        <v>1114</v>
      </c>
      <c r="C1581" s="389">
        <v>0.1</v>
      </c>
      <c r="D1581" s="390" t="s">
        <v>10</v>
      </c>
      <c r="E1581" s="288" t="s">
        <v>1121</v>
      </c>
      <c r="F1581" s="196"/>
      <c r="G1581" s="196"/>
      <c r="H1581" s="196"/>
      <c r="I1581" s="196"/>
      <c r="J1581" s="196"/>
      <c r="AX1581" s="117"/>
      <c r="AY1581" s="117"/>
      <c r="AZ1581" s="117"/>
      <c r="BA1581" s="117"/>
      <c r="BB1581" s="117"/>
      <c r="BC1581" s="117"/>
      <c r="BD1581" s="117"/>
    </row>
    <row r="1582" spans="1:56" ht="15">
      <c r="A1582" s="114"/>
      <c r="B1582" s="362"/>
      <c r="C1582" s="362"/>
      <c r="D1582" s="362"/>
      <c r="E1582" s="362"/>
      <c r="F1582" s="362"/>
      <c r="G1582" s="114"/>
      <c r="H1582" s="362"/>
      <c r="I1582" s="196"/>
      <c r="J1582" s="196"/>
      <c r="AX1582" s="117"/>
      <c r="AY1582" s="117"/>
      <c r="AZ1582" s="117"/>
      <c r="BA1582" s="117"/>
      <c r="BB1582" s="117"/>
      <c r="BC1582" s="117"/>
      <c r="BD1582" s="117"/>
    </row>
    <row r="1583" spans="1:56" ht="15">
      <c r="A1583" s="114"/>
      <c r="B1583" s="303" t="s">
        <v>1122</v>
      </c>
      <c r="C1583" s="362"/>
      <c r="D1583" s="362"/>
      <c r="E1583" s="362"/>
      <c r="F1583" s="362"/>
      <c r="G1583" s="196"/>
      <c r="H1583" s="196"/>
      <c r="I1583" s="196"/>
      <c r="J1583" s="196"/>
      <c r="AX1583" s="117"/>
      <c r="AY1583" s="117"/>
      <c r="AZ1583" s="117"/>
      <c r="BA1583" s="117"/>
      <c r="BB1583" s="117"/>
      <c r="BC1583" s="117"/>
      <c r="BD1583" s="117"/>
    </row>
    <row r="1584" spans="1:56" ht="18">
      <c r="A1584" s="114"/>
      <c r="B1584" s="398" t="s">
        <v>1123</v>
      </c>
      <c r="C1584" s="172"/>
      <c r="D1584" s="173"/>
      <c r="E1584" s="397">
        <f>C1576*((H1574+H1573)/2)*(C1574+C1575+0.05)</f>
        <v>116.49692745827291</v>
      </c>
      <c r="F1584" s="390" t="s">
        <v>1124</v>
      </c>
      <c r="G1584" s="196"/>
      <c r="H1584" s="362"/>
      <c r="I1584" s="362"/>
      <c r="J1584" s="362"/>
      <c r="AX1584" s="117"/>
      <c r="AY1584" s="117"/>
      <c r="AZ1584" s="117"/>
      <c r="BA1584" s="117"/>
      <c r="BB1584" s="117"/>
      <c r="BC1584" s="117"/>
      <c r="BD1584" s="117"/>
    </row>
    <row r="1585" spans="1:56" ht="18">
      <c r="A1585" s="114"/>
      <c r="B1585" s="398" t="s">
        <v>1125</v>
      </c>
      <c r="C1585" s="172"/>
      <c r="D1585" s="173"/>
      <c r="E1585" s="397">
        <f>E1584-(E1596+E1598)</f>
        <v>112.56692745827291</v>
      </c>
      <c r="F1585" s="390" t="s">
        <v>1124</v>
      </c>
      <c r="G1585" s="196"/>
      <c r="H1585" s="196"/>
      <c r="I1585" s="196"/>
      <c r="J1585" s="196"/>
      <c r="AX1585" s="117"/>
      <c r="AY1585" s="117"/>
      <c r="AZ1585" s="117"/>
      <c r="BA1585" s="117"/>
      <c r="BB1585" s="117"/>
      <c r="BC1585" s="117"/>
      <c r="BD1585" s="117"/>
    </row>
    <row r="1586" spans="1:56" ht="15">
      <c r="A1586" s="114"/>
      <c r="B1586" s="398" t="s">
        <v>1126</v>
      </c>
      <c r="C1586" s="172"/>
      <c r="D1586" s="173"/>
      <c r="E1586" s="400">
        <f>((C1572+2*C1581)*(C1573+2*C1581))*C1576</f>
        <v>5</v>
      </c>
      <c r="F1586" s="390" t="s">
        <v>13</v>
      </c>
      <c r="G1586" s="362"/>
      <c r="H1586" s="362"/>
      <c r="I1586" s="362"/>
      <c r="J1586" s="362"/>
      <c r="AX1586" s="117"/>
      <c r="AY1586" s="117"/>
      <c r="AZ1586" s="117"/>
      <c r="BA1586" s="117"/>
      <c r="BB1586" s="117"/>
      <c r="BC1586" s="117"/>
      <c r="BD1586" s="117"/>
    </row>
    <row r="1587" spans="1:56" ht="15">
      <c r="A1587" s="114"/>
      <c r="B1587" s="362"/>
      <c r="C1587" s="362"/>
      <c r="D1587" s="362"/>
      <c r="E1587" s="401"/>
      <c r="F1587" s="196"/>
      <c r="G1587" s="362"/>
      <c r="H1587" s="362"/>
      <c r="I1587" s="362"/>
      <c r="J1587" s="362"/>
      <c r="AX1587" s="117"/>
      <c r="AY1587" s="117"/>
      <c r="AZ1587" s="117"/>
      <c r="BA1587" s="117"/>
      <c r="BB1587" s="117"/>
      <c r="BC1587" s="117"/>
      <c r="BD1587" s="117"/>
    </row>
    <row r="1588" spans="1:56" ht="15">
      <c r="A1588" s="114"/>
      <c r="B1588" s="303" t="s">
        <v>1162</v>
      </c>
      <c r="C1588" s="362"/>
      <c r="D1588" s="362"/>
      <c r="E1588" s="410"/>
      <c r="F1588" s="362"/>
      <c r="G1588" s="362"/>
      <c r="H1588" s="362"/>
      <c r="I1588" s="362"/>
      <c r="J1588" s="362"/>
      <c r="AX1588" s="117"/>
      <c r="AY1588" s="117"/>
      <c r="AZ1588" s="117"/>
      <c r="BA1588" s="117"/>
      <c r="BB1588" s="117"/>
      <c r="BC1588" s="117"/>
      <c r="BD1588" s="117"/>
    </row>
    <row r="1589" spans="1:56" ht="15">
      <c r="A1589" s="114"/>
      <c r="B1589" s="398" t="s">
        <v>1152</v>
      </c>
      <c r="C1589" s="398"/>
      <c r="D1589" s="366"/>
      <c r="E1589" s="411">
        <v>2</v>
      </c>
      <c r="F1589" s="390" t="s">
        <v>1153</v>
      </c>
      <c r="G1589" s="362"/>
      <c r="H1589" s="362"/>
      <c r="I1589" s="362"/>
      <c r="J1589" s="362"/>
      <c r="AX1589" s="117"/>
      <c r="AY1589" s="117"/>
      <c r="AZ1589" s="117"/>
      <c r="BA1589" s="117"/>
      <c r="BB1589" s="117"/>
      <c r="BC1589" s="117"/>
      <c r="BD1589" s="117"/>
    </row>
    <row r="1590" spans="1:56" ht="15">
      <c r="A1590" s="114"/>
      <c r="B1590" s="399" t="s">
        <v>1154</v>
      </c>
      <c r="C1590" s="31"/>
      <c r="D1590" s="32"/>
      <c r="E1590" s="412">
        <f>C1576*E1589</f>
        <v>4</v>
      </c>
      <c r="F1590" s="390" t="s">
        <v>1153</v>
      </c>
      <c r="G1590" s="362"/>
      <c r="H1590" s="362"/>
      <c r="I1590" s="362"/>
      <c r="J1590" s="362"/>
      <c r="AX1590" s="117"/>
      <c r="AY1590" s="117"/>
      <c r="AZ1590" s="117"/>
      <c r="BA1590" s="117"/>
      <c r="BB1590" s="117"/>
      <c r="BC1590" s="117"/>
      <c r="BD1590" s="117"/>
    </row>
    <row r="1591" spans="1:56" ht="15">
      <c r="A1591" s="114"/>
      <c r="B1591" s="398" t="s">
        <v>1155</v>
      </c>
      <c r="C1591" s="21"/>
      <c r="D1591" s="413"/>
      <c r="E1591" s="411">
        <v>400</v>
      </c>
      <c r="F1591" s="390" t="s">
        <v>1156</v>
      </c>
      <c r="G1591" s="362"/>
      <c r="H1591" s="414"/>
      <c r="I1591" s="362"/>
      <c r="J1591" s="415"/>
      <c r="AX1591" s="117"/>
      <c r="AY1591" s="117"/>
      <c r="AZ1591" s="117"/>
      <c r="BA1591" s="117"/>
      <c r="BB1591" s="117"/>
      <c r="BC1591" s="117"/>
      <c r="BD1591" s="117"/>
    </row>
    <row r="1592" spans="1:56" ht="15">
      <c r="A1592" s="114"/>
      <c r="B1592" s="398" t="s">
        <v>1157</v>
      </c>
      <c r="C1592" s="21"/>
      <c r="D1592" s="413"/>
      <c r="E1592" s="416">
        <v>14</v>
      </c>
      <c r="F1592" s="390" t="s">
        <v>10</v>
      </c>
      <c r="G1592" s="362"/>
      <c r="H1592" s="6"/>
      <c r="I1592" s="362"/>
      <c r="J1592" s="362"/>
      <c r="AX1592" s="117"/>
      <c r="AY1592" s="117"/>
      <c r="AZ1592" s="117"/>
      <c r="BA1592" s="117"/>
      <c r="BB1592" s="117"/>
      <c r="BC1592" s="117"/>
      <c r="BD1592" s="117"/>
    </row>
    <row r="1593" spans="1:56" ht="15">
      <c r="A1593" s="114"/>
      <c r="B1593" s="398" t="s">
        <v>1158</v>
      </c>
      <c r="C1593" s="21"/>
      <c r="D1593" s="413"/>
      <c r="E1593" s="412">
        <f>E1590*E1592</f>
        <v>56</v>
      </c>
      <c r="F1593" s="390" t="s">
        <v>10</v>
      </c>
      <c r="G1593" s="362"/>
      <c r="H1593" s="362"/>
      <c r="I1593" s="362"/>
      <c r="J1593" s="362"/>
      <c r="AX1593" s="117"/>
      <c r="AY1593" s="117"/>
      <c r="AZ1593" s="117"/>
      <c r="BA1593" s="117"/>
      <c r="BB1593" s="117"/>
      <c r="BC1593" s="117"/>
      <c r="BD1593" s="117"/>
    </row>
    <row r="1594" spans="1:56" ht="15">
      <c r="A1594" s="114"/>
      <c r="B1594" s="362"/>
      <c r="C1594" s="362"/>
      <c r="D1594" s="362"/>
      <c r="E1594" s="410"/>
      <c r="F1594" s="362"/>
      <c r="G1594" s="362"/>
      <c r="H1594" s="362"/>
      <c r="I1594" s="362"/>
      <c r="J1594" s="362"/>
      <c r="AX1594" s="117"/>
      <c r="AY1594" s="117"/>
      <c r="AZ1594" s="117"/>
      <c r="BA1594" s="117"/>
      <c r="BB1594" s="117"/>
      <c r="BC1594" s="117"/>
      <c r="BD1594" s="117"/>
    </row>
    <row r="1595" spans="1:56" ht="15">
      <c r="A1595" s="114"/>
      <c r="B1595" s="303" t="s">
        <v>1160</v>
      </c>
      <c r="C1595" s="362"/>
      <c r="D1595" s="362"/>
      <c r="E1595" s="410"/>
      <c r="F1595" s="362"/>
      <c r="G1595" s="362"/>
      <c r="H1595" s="362"/>
      <c r="I1595" s="362"/>
      <c r="J1595" s="362"/>
      <c r="AX1595" s="117"/>
      <c r="AY1595" s="117"/>
      <c r="AZ1595" s="117"/>
      <c r="BA1595" s="117"/>
      <c r="BB1595" s="117"/>
      <c r="BC1595" s="117"/>
      <c r="BD1595" s="117"/>
    </row>
    <row r="1596" spans="1:56" ht="18">
      <c r="A1596" s="114"/>
      <c r="B1596" s="398" t="s">
        <v>1128</v>
      </c>
      <c r="C1596" s="172"/>
      <c r="D1596" s="173"/>
      <c r="E1596" s="402">
        <f>E1586*0.05</f>
        <v>0.25</v>
      </c>
      <c r="F1596" s="390" t="s">
        <v>1124</v>
      </c>
      <c r="G1596" s="362"/>
      <c r="H1596" s="362"/>
      <c r="I1596" s="362"/>
      <c r="J1596" s="362"/>
      <c r="AX1596" s="117"/>
      <c r="AY1596" s="117"/>
      <c r="AZ1596" s="117"/>
      <c r="BA1596" s="117"/>
      <c r="BB1596" s="117"/>
      <c r="BC1596" s="117"/>
      <c r="BD1596" s="117"/>
    </row>
    <row r="1597" spans="1:56" ht="15">
      <c r="A1597" s="114"/>
      <c r="B1597" s="398" t="s">
        <v>1129</v>
      </c>
      <c r="C1597" s="172"/>
      <c r="D1597" s="173"/>
      <c r="E1597" s="397">
        <f>(2*(C1572+C1573)*C1575)*C1576</f>
        <v>12.399999999999999</v>
      </c>
      <c r="F1597" s="390" t="s">
        <v>13</v>
      </c>
      <c r="G1597" s="362"/>
      <c r="H1597" s="362"/>
      <c r="I1597" s="362"/>
      <c r="J1597" s="362"/>
      <c r="AX1597" s="117"/>
      <c r="AY1597" s="117"/>
      <c r="AZ1597" s="117"/>
      <c r="BA1597" s="117"/>
      <c r="BB1597" s="117"/>
      <c r="BC1597" s="117"/>
      <c r="BD1597" s="117"/>
    </row>
    <row r="1598" spans="1:56" ht="18">
      <c r="A1598" s="114"/>
      <c r="B1598" s="398" t="s">
        <v>1130</v>
      </c>
      <c r="C1598" s="172"/>
      <c r="D1598" s="173"/>
      <c r="E1598" s="402">
        <f>(C1572*C1573*C1575)*C1576</f>
        <v>3.6799999999999997</v>
      </c>
      <c r="F1598" s="390" t="s">
        <v>1124</v>
      </c>
      <c r="G1598" s="362"/>
      <c r="H1598" s="362"/>
      <c r="I1598" s="362"/>
      <c r="J1598" s="362"/>
      <c r="AX1598" s="117"/>
      <c r="AY1598" s="117"/>
      <c r="AZ1598" s="117"/>
      <c r="BA1598" s="117"/>
      <c r="BB1598" s="117"/>
      <c r="BC1598" s="117"/>
      <c r="BD1598" s="117"/>
    </row>
    <row r="1599" spans="1:56" ht="15">
      <c r="A1599" s="114"/>
      <c r="B1599" s="288"/>
      <c r="C1599" s="230"/>
      <c r="D1599" s="230"/>
      <c r="E1599" s="384"/>
      <c r="F1599" s="196"/>
      <c r="G1599" s="196"/>
      <c r="H1599" s="196"/>
      <c r="I1599" s="196"/>
      <c r="J1599" s="114"/>
      <c r="AW1599" s="117"/>
      <c r="AX1599" s="117"/>
      <c r="AY1599" s="117"/>
      <c r="AZ1599" s="117"/>
      <c r="BA1599" s="117"/>
      <c r="BB1599" s="117"/>
      <c r="BC1599" s="117"/>
      <c r="BD1599" s="117"/>
    </row>
    <row r="1600" spans="1:56" ht="15">
      <c r="A1600" s="114"/>
      <c r="B1600" s="288"/>
      <c r="C1600" s="230"/>
      <c r="D1600" s="230"/>
      <c r="E1600" s="384"/>
      <c r="F1600" s="196"/>
      <c r="G1600" s="196"/>
      <c r="H1600" s="196"/>
      <c r="I1600" s="196"/>
      <c r="J1600" s="114"/>
      <c r="AW1600" s="117"/>
      <c r="AX1600" s="117"/>
      <c r="AY1600" s="117"/>
      <c r="AZ1600" s="117"/>
      <c r="BA1600" s="117"/>
      <c r="BB1600" s="117"/>
      <c r="BC1600" s="117"/>
      <c r="BD1600" s="117"/>
    </row>
    <row r="1601" spans="1:56" customFormat="1" ht="12.75">
      <c r="B1601" s="362"/>
      <c r="C1601" s="362"/>
      <c r="D1601" s="362"/>
      <c r="E1601" s="362"/>
      <c r="F1601" s="362"/>
      <c r="G1601" s="362"/>
      <c r="H1601" s="362"/>
      <c r="I1601" s="362"/>
      <c r="J1601" s="362"/>
    </row>
    <row r="1602" spans="1:56">
      <c r="A1602" s="114"/>
      <c r="B1602" s="385" t="s">
        <v>1167</v>
      </c>
      <c r="C1602" s="196"/>
      <c r="D1602" s="196"/>
      <c r="E1602" s="196"/>
      <c r="F1602" s="196"/>
      <c r="G1602" s="196"/>
      <c r="H1602" s="196"/>
      <c r="I1602" s="196"/>
      <c r="J1602" s="196"/>
      <c r="AX1602" s="117"/>
      <c r="AY1602" s="117"/>
      <c r="AZ1602" s="117"/>
      <c r="BA1602" s="117"/>
      <c r="BB1602" s="117"/>
      <c r="BC1602" s="117"/>
      <c r="BD1602" s="117"/>
    </row>
    <row r="1603" spans="1:56" ht="15">
      <c r="A1603" s="114"/>
      <c r="B1603" s="362"/>
      <c r="C1603" s="362"/>
      <c r="D1603" s="362"/>
      <c r="E1603" s="362"/>
      <c r="F1603" s="404"/>
      <c r="G1603" s="404"/>
      <c r="H1603" s="404"/>
      <c r="I1603" s="404"/>
      <c r="J1603" s="404"/>
      <c r="AX1603" s="117"/>
      <c r="AY1603" s="117"/>
      <c r="AZ1603" s="117"/>
      <c r="BA1603" s="117"/>
      <c r="BB1603" s="117"/>
      <c r="BC1603" s="117"/>
      <c r="BD1603" s="117"/>
    </row>
    <row r="1604" spans="1:56" ht="18">
      <c r="A1604" s="114"/>
      <c r="B1604" s="388" t="s">
        <v>1141</v>
      </c>
      <c r="C1604" s="389">
        <v>0.6</v>
      </c>
      <c r="D1604" s="390" t="s">
        <v>10</v>
      </c>
      <c r="E1604" s="196"/>
      <c r="F1604" s="405"/>
      <c r="G1604" s="406" t="s">
        <v>1142</v>
      </c>
      <c r="H1604" s="407">
        <f>C1604*C1605</f>
        <v>0.18</v>
      </c>
      <c r="I1604" s="405" t="s">
        <v>1143</v>
      </c>
      <c r="J1604" s="405"/>
      <c r="AX1604" s="117"/>
      <c r="AY1604" s="117"/>
      <c r="AZ1604" s="117"/>
      <c r="BA1604" s="117"/>
      <c r="BB1604" s="117"/>
      <c r="BC1604" s="117"/>
      <c r="BD1604" s="117"/>
    </row>
    <row r="1605" spans="1:56" ht="15">
      <c r="A1605" s="114"/>
      <c r="B1605" s="388" t="s">
        <v>1144</v>
      </c>
      <c r="C1605" s="389">
        <v>0.3</v>
      </c>
      <c r="D1605" s="390" t="s">
        <v>10</v>
      </c>
      <c r="E1605" s="196"/>
      <c r="F1605" s="405"/>
      <c r="G1605" s="406" t="e">
        <f>TEXT(C1612,"tg 0°=")</f>
        <v>#VALUE!</v>
      </c>
      <c r="H1605" s="408">
        <f>TAN(3.14159265359*C1612/180)</f>
        <v>1.732050807569153</v>
      </c>
      <c r="I1605" s="405"/>
      <c r="J1605" s="405"/>
      <c r="AX1605" s="117"/>
      <c r="AY1605" s="117"/>
      <c r="AZ1605" s="117"/>
      <c r="BA1605" s="117"/>
      <c r="BB1605" s="117"/>
      <c r="BC1605" s="117"/>
      <c r="BD1605" s="117"/>
    </row>
    <row r="1606" spans="1:56" ht="15">
      <c r="A1606" s="114"/>
      <c r="B1606" s="388" t="s">
        <v>1145</v>
      </c>
      <c r="C1606" s="389">
        <v>2.2999999999999998</v>
      </c>
      <c r="D1606" s="390" t="s">
        <v>10</v>
      </c>
      <c r="E1606" s="196"/>
      <c r="F1606" s="405"/>
      <c r="G1606" s="406"/>
      <c r="H1606" s="407"/>
      <c r="I1606" s="405"/>
      <c r="J1606" s="405"/>
      <c r="AX1606" s="117"/>
      <c r="AY1606" s="117"/>
      <c r="AZ1606" s="117"/>
      <c r="BA1606" s="117"/>
      <c r="BB1606" s="117"/>
      <c r="BC1606" s="117"/>
      <c r="BD1606" s="117"/>
    </row>
    <row r="1607" spans="1:56" ht="18">
      <c r="A1607" s="114"/>
      <c r="B1607" s="388" t="s">
        <v>1146</v>
      </c>
      <c r="C1607" s="389">
        <v>0.8</v>
      </c>
      <c r="D1607" s="390" t="s">
        <v>10</v>
      </c>
      <c r="E1607" s="196"/>
      <c r="F1607" s="405"/>
      <c r="G1607" s="406" t="s">
        <v>1142</v>
      </c>
      <c r="H1607" s="409">
        <f>(C1606+2*C1614+((C1608+C1609+0.05)/H1605)*2)*(C1607+2*C1614+((C1608+C1609+0.05)/H1605)*2)</f>
        <v>34.23135429595618</v>
      </c>
      <c r="I1607" s="405" t="s">
        <v>1143</v>
      </c>
      <c r="J1607" s="405"/>
      <c r="AX1607" s="117"/>
      <c r="AY1607" s="117"/>
      <c r="AZ1607" s="117"/>
      <c r="BA1607" s="117"/>
      <c r="BB1607" s="117"/>
      <c r="BC1607" s="117"/>
      <c r="BD1607" s="117"/>
    </row>
    <row r="1608" spans="1:56" ht="18">
      <c r="A1608" s="114"/>
      <c r="B1608" s="388" t="s">
        <v>1112</v>
      </c>
      <c r="C1608" s="389">
        <v>1.85</v>
      </c>
      <c r="D1608" s="390" t="s">
        <v>10</v>
      </c>
      <c r="E1608" s="196"/>
      <c r="F1608" s="405"/>
      <c r="G1608" s="406" t="s">
        <v>1147</v>
      </c>
      <c r="H1608" s="409">
        <f>(C1606+2*C1614)*(C1607+2*C1614)</f>
        <v>5.9399999999999995</v>
      </c>
      <c r="I1608" s="405" t="s">
        <v>1143</v>
      </c>
      <c r="J1608" s="405"/>
      <c r="AX1608" s="117"/>
      <c r="AY1608" s="117"/>
      <c r="AZ1608" s="117"/>
      <c r="BA1608" s="117"/>
      <c r="BB1608" s="117"/>
      <c r="BC1608" s="117"/>
      <c r="BD1608" s="117"/>
    </row>
    <row r="1609" spans="1:56" ht="15">
      <c r="A1609" s="114"/>
      <c r="B1609" s="388" t="s">
        <v>1113</v>
      </c>
      <c r="C1609" s="389">
        <v>1</v>
      </c>
      <c r="D1609" s="390" t="s">
        <v>10</v>
      </c>
      <c r="E1609" s="196"/>
      <c r="F1609" s="405"/>
      <c r="G1609" s="406"/>
      <c r="H1609" s="407"/>
      <c r="I1609" s="405"/>
      <c r="J1609" s="405"/>
      <c r="AX1609" s="117"/>
      <c r="AY1609" s="117"/>
      <c r="AZ1609" s="117"/>
      <c r="BA1609" s="117"/>
      <c r="BB1609" s="117"/>
      <c r="BC1609" s="117"/>
      <c r="BD1609" s="117"/>
    </row>
    <row r="1610" spans="1:56" ht="15">
      <c r="A1610" s="114"/>
      <c r="B1610" s="388" t="s">
        <v>1117</v>
      </c>
      <c r="C1610" s="391">
        <v>1</v>
      </c>
      <c r="D1610" s="390" t="s">
        <v>1118</v>
      </c>
      <c r="E1610" s="196"/>
      <c r="F1610" s="405"/>
      <c r="G1610" s="406"/>
      <c r="H1610" s="407"/>
      <c r="I1610" s="405"/>
      <c r="J1610" s="405"/>
      <c r="AX1610" s="117"/>
      <c r="AY1610" s="117"/>
      <c r="AZ1610" s="117"/>
      <c r="BA1610" s="117"/>
      <c r="BB1610" s="117"/>
      <c r="BC1610" s="117"/>
      <c r="BD1610" s="117"/>
    </row>
    <row r="1611" spans="1:56" ht="15">
      <c r="A1611" s="114"/>
      <c r="B1611" s="196" t="s">
        <v>1148</v>
      </c>
      <c r="C1611" s="393"/>
      <c r="D1611" s="196"/>
      <c r="E1611" s="196"/>
      <c r="F1611" s="405"/>
      <c r="G1611" s="406"/>
      <c r="H1611" s="407"/>
      <c r="I1611" s="405"/>
      <c r="J1611" s="405"/>
      <c r="AX1611" s="117"/>
      <c r="AY1611" s="117"/>
      <c r="AZ1611" s="117"/>
      <c r="BA1611" s="117"/>
      <c r="BB1611" s="117"/>
      <c r="BC1611" s="117"/>
      <c r="BD1611" s="117"/>
    </row>
    <row r="1612" spans="1:56" ht="15">
      <c r="A1612" s="114"/>
      <c r="B1612" s="388" t="s">
        <v>1149</v>
      </c>
      <c r="C1612" s="389">
        <v>60</v>
      </c>
      <c r="D1612" s="390" t="s">
        <v>1150</v>
      </c>
      <c r="E1612" s="196"/>
      <c r="F1612" s="196"/>
      <c r="G1612" s="392"/>
      <c r="H1612" s="393"/>
      <c r="I1612" s="196"/>
      <c r="J1612" s="196"/>
      <c r="AX1612" s="117"/>
      <c r="AY1612" s="117"/>
      <c r="AZ1612" s="117"/>
      <c r="BA1612" s="117"/>
      <c r="BB1612" s="117"/>
      <c r="BC1612" s="117"/>
      <c r="BD1612" s="117"/>
    </row>
    <row r="1613" spans="1:56" ht="15">
      <c r="A1613" s="114"/>
      <c r="B1613" s="362"/>
      <c r="C1613" s="196"/>
      <c r="D1613" s="196"/>
      <c r="E1613" s="196"/>
      <c r="F1613" s="196"/>
      <c r="G1613" s="362"/>
      <c r="H1613" s="362"/>
      <c r="I1613" s="362"/>
      <c r="J1613" s="196"/>
      <c r="AX1613" s="117"/>
      <c r="AY1613" s="117"/>
      <c r="AZ1613" s="117"/>
      <c r="BA1613" s="117"/>
      <c r="BB1613" s="117"/>
      <c r="BC1613" s="117"/>
      <c r="BD1613" s="117"/>
    </row>
    <row r="1614" spans="1:56" ht="15">
      <c r="A1614" s="114"/>
      <c r="B1614" s="388" t="s">
        <v>1114</v>
      </c>
      <c r="C1614" s="389">
        <v>0.5</v>
      </c>
      <c r="D1614" s="390" t="s">
        <v>10</v>
      </c>
      <c r="E1614" s="288" t="s">
        <v>1120</v>
      </c>
      <c r="F1614" s="196"/>
      <c r="G1614" s="196" t="s">
        <v>1131</v>
      </c>
      <c r="H1614" s="114"/>
      <c r="I1614" s="114"/>
      <c r="J1614" s="196"/>
      <c r="AX1614" s="117"/>
      <c r="AY1614" s="117"/>
      <c r="AZ1614" s="117"/>
      <c r="BA1614" s="117"/>
      <c r="BB1614" s="117"/>
      <c r="BC1614" s="117"/>
      <c r="BD1614" s="117"/>
    </row>
    <row r="1615" spans="1:56" ht="15">
      <c r="A1615" s="114"/>
      <c r="B1615" s="388" t="s">
        <v>1114</v>
      </c>
      <c r="C1615" s="389">
        <v>0.1</v>
      </c>
      <c r="D1615" s="390" t="s">
        <v>10</v>
      </c>
      <c r="E1615" s="288" t="s">
        <v>1121</v>
      </c>
      <c r="F1615" s="196"/>
      <c r="G1615" s="196"/>
      <c r="H1615" s="196"/>
      <c r="I1615" s="196"/>
      <c r="J1615" s="196"/>
      <c r="AX1615" s="117"/>
      <c r="AY1615" s="117"/>
      <c r="AZ1615" s="117"/>
      <c r="BA1615" s="117"/>
      <c r="BB1615" s="117"/>
      <c r="BC1615" s="117"/>
      <c r="BD1615" s="117"/>
    </row>
    <row r="1616" spans="1:56" ht="15">
      <c r="A1616" s="114"/>
      <c r="B1616" s="362"/>
      <c r="C1616" s="362"/>
      <c r="D1616" s="362"/>
      <c r="E1616" s="362"/>
      <c r="F1616" s="362"/>
      <c r="G1616" s="114"/>
      <c r="H1616" s="362"/>
      <c r="I1616" s="196"/>
      <c r="J1616" s="196"/>
      <c r="AX1616" s="117"/>
      <c r="AY1616" s="117"/>
      <c r="AZ1616" s="117"/>
      <c r="BA1616" s="117"/>
      <c r="BB1616" s="117"/>
      <c r="BC1616" s="117"/>
      <c r="BD1616" s="117"/>
    </row>
    <row r="1617" spans="1:56" ht="15">
      <c r="A1617" s="114"/>
      <c r="B1617" s="303" t="s">
        <v>1122</v>
      </c>
      <c r="C1617" s="362"/>
      <c r="D1617" s="362"/>
      <c r="E1617" s="362"/>
      <c r="F1617" s="362"/>
      <c r="G1617" s="196"/>
      <c r="H1617" s="196"/>
      <c r="I1617" s="196"/>
      <c r="J1617" s="196"/>
      <c r="AX1617" s="117"/>
      <c r="AY1617" s="117"/>
      <c r="AZ1617" s="117"/>
      <c r="BA1617" s="117"/>
      <c r="BB1617" s="117"/>
      <c r="BC1617" s="117"/>
      <c r="BD1617" s="117"/>
    </row>
    <row r="1618" spans="1:56" ht="18">
      <c r="A1618" s="114"/>
      <c r="B1618" s="398" t="s">
        <v>1123</v>
      </c>
      <c r="C1618" s="172"/>
      <c r="D1618" s="173"/>
      <c r="E1618" s="397">
        <f>C1610*((H1608+H1607)/2)*(C1608+C1609+0.05)</f>
        <v>58.248463729136454</v>
      </c>
      <c r="F1618" s="390" t="s">
        <v>1124</v>
      </c>
      <c r="G1618" s="196"/>
      <c r="H1618" s="362"/>
      <c r="I1618" s="362"/>
      <c r="J1618" s="362"/>
      <c r="AX1618" s="117"/>
      <c r="AY1618" s="117"/>
      <c r="AZ1618" s="117"/>
      <c r="BA1618" s="117"/>
      <c r="BB1618" s="117"/>
      <c r="BC1618" s="117"/>
      <c r="BD1618" s="117"/>
    </row>
    <row r="1619" spans="1:56" ht="18">
      <c r="A1619" s="114"/>
      <c r="B1619" s="398" t="s">
        <v>1125</v>
      </c>
      <c r="C1619" s="172"/>
      <c r="D1619" s="173"/>
      <c r="E1619" s="397">
        <f>E1618-(E1630+E1632)</f>
        <v>56.283463729136457</v>
      </c>
      <c r="F1619" s="390" t="s">
        <v>1124</v>
      </c>
      <c r="G1619" s="196"/>
      <c r="H1619" s="196"/>
      <c r="I1619" s="196"/>
      <c r="J1619" s="196"/>
      <c r="AX1619" s="117"/>
      <c r="AY1619" s="117"/>
      <c r="AZ1619" s="117"/>
      <c r="BA1619" s="117"/>
      <c r="BB1619" s="117"/>
      <c r="BC1619" s="117"/>
      <c r="BD1619" s="117"/>
    </row>
    <row r="1620" spans="1:56" ht="15">
      <c r="A1620" s="114"/>
      <c r="B1620" s="398" t="s">
        <v>1126</v>
      </c>
      <c r="C1620" s="172"/>
      <c r="D1620" s="173"/>
      <c r="E1620" s="400">
        <f>((C1606+2*C1615)*(C1607+2*C1615))*C1610</f>
        <v>2.5</v>
      </c>
      <c r="F1620" s="390" t="s">
        <v>13</v>
      </c>
      <c r="G1620" s="362"/>
      <c r="H1620" s="362"/>
      <c r="I1620" s="362"/>
      <c r="J1620" s="362"/>
      <c r="AX1620" s="117"/>
      <c r="AY1620" s="117"/>
      <c r="AZ1620" s="117"/>
      <c r="BA1620" s="117"/>
      <c r="BB1620" s="117"/>
      <c r="BC1620" s="117"/>
      <c r="BD1620" s="117"/>
    </row>
    <row r="1621" spans="1:56" ht="15">
      <c r="A1621" s="114"/>
      <c r="B1621" s="362"/>
      <c r="C1621" s="362"/>
      <c r="D1621" s="362"/>
      <c r="E1621" s="401"/>
      <c r="F1621" s="196"/>
      <c r="G1621" s="362"/>
      <c r="H1621" s="362"/>
      <c r="I1621" s="362"/>
      <c r="J1621" s="362"/>
      <c r="AX1621" s="117"/>
      <c r="AY1621" s="117"/>
      <c r="AZ1621" s="117"/>
      <c r="BA1621" s="117"/>
      <c r="BB1621" s="117"/>
      <c r="BC1621" s="117"/>
      <c r="BD1621" s="117"/>
    </row>
    <row r="1622" spans="1:56" ht="15">
      <c r="A1622" s="114"/>
      <c r="B1622" s="303" t="s">
        <v>1162</v>
      </c>
      <c r="C1622" s="362"/>
      <c r="D1622" s="362"/>
      <c r="E1622" s="410"/>
      <c r="F1622" s="362"/>
      <c r="G1622" s="362"/>
      <c r="H1622" s="362"/>
      <c r="I1622" s="362"/>
      <c r="J1622" s="362"/>
      <c r="AX1622" s="117"/>
      <c r="AY1622" s="117"/>
      <c r="AZ1622" s="117"/>
      <c r="BA1622" s="117"/>
      <c r="BB1622" s="117"/>
      <c r="BC1622" s="117"/>
      <c r="BD1622" s="117"/>
    </row>
    <row r="1623" spans="1:56" ht="15">
      <c r="A1623" s="114"/>
      <c r="B1623" s="398" t="s">
        <v>1152</v>
      </c>
      <c r="C1623" s="398"/>
      <c r="D1623" s="366"/>
      <c r="E1623" s="411">
        <v>2</v>
      </c>
      <c r="F1623" s="390" t="s">
        <v>1153</v>
      </c>
      <c r="G1623" s="362"/>
      <c r="H1623" s="362"/>
      <c r="I1623" s="362"/>
      <c r="J1623" s="362"/>
      <c r="AX1623" s="117"/>
      <c r="AY1623" s="117"/>
      <c r="AZ1623" s="117"/>
      <c r="BA1623" s="117"/>
      <c r="BB1623" s="117"/>
      <c r="BC1623" s="117"/>
      <c r="BD1623" s="117"/>
    </row>
    <row r="1624" spans="1:56" ht="15">
      <c r="A1624" s="114"/>
      <c r="B1624" s="399" t="s">
        <v>1154</v>
      </c>
      <c r="C1624" s="31"/>
      <c r="D1624" s="32"/>
      <c r="E1624" s="412">
        <f>C1610*E1623</f>
        <v>2</v>
      </c>
      <c r="F1624" s="390" t="s">
        <v>1153</v>
      </c>
      <c r="G1624" s="362"/>
      <c r="H1624" s="362"/>
      <c r="I1624" s="362"/>
      <c r="J1624" s="362"/>
      <c r="AX1624" s="117"/>
      <c r="AY1624" s="117"/>
      <c r="AZ1624" s="117"/>
      <c r="BA1624" s="117"/>
      <c r="BB1624" s="117"/>
      <c r="BC1624" s="117"/>
      <c r="BD1624" s="117"/>
    </row>
    <row r="1625" spans="1:56" ht="15">
      <c r="A1625" s="114"/>
      <c r="B1625" s="398" t="s">
        <v>1155</v>
      </c>
      <c r="C1625" s="21"/>
      <c r="D1625" s="413"/>
      <c r="E1625" s="411">
        <v>400</v>
      </c>
      <c r="F1625" s="390" t="s">
        <v>1156</v>
      </c>
      <c r="G1625" s="362"/>
      <c r="H1625" s="414"/>
      <c r="I1625" s="362"/>
      <c r="J1625" s="415"/>
      <c r="AX1625" s="117"/>
      <c r="AY1625" s="117"/>
      <c r="AZ1625" s="117"/>
      <c r="BA1625" s="117"/>
      <c r="BB1625" s="117"/>
      <c r="BC1625" s="117"/>
      <c r="BD1625" s="117"/>
    </row>
    <row r="1626" spans="1:56" ht="15">
      <c r="A1626" s="114"/>
      <c r="B1626" s="398" t="s">
        <v>1157</v>
      </c>
      <c r="C1626" s="21"/>
      <c r="D1626" s="413"/>
      <c r="E1626" s="416">
        <v>14</v>
      </c>
      <c r="F1626" s="390" t="s">
        <v>10</v>
      </c>
      <c r="G1626" s="362"/>
      <c r="H1626" s="6"/>
      <c r="I1626" s="362"/>
      <c r="J1626" s="362"/>
      <c r="AX1626" s="117"/>
      <c r="AY1626" s="117"/>
      <c r="AZ1626" s="117"/>
      <c r="BA1626" s="117"/>
      <c r="BB1626" s="117"/>
      <c r="BC1626" s="117"/>
      <c r="BD1626" s="117"/>
    </row>
    <row r="1627" spans="1:56" ht="15">
      <c r="A1627" s="114"/>
      <c r="B1627" s="398" t="s">
        <v>1158</v>
      </c>
      <c r="C1627" s="21"/>
      <c r="D1627" s="413"/>
      <c r="E1627" s="412">
        <f>E1624*E1626</f>
        <v>28</v>
      </c>
      <c r="F1627" s="390" t="s">
        <v>10</v>
      </c>
      <c r="G1627" s="362"/>
      <c r="H1627" s="362"/>
      <c r="I1627" s="362"/>
      <c r="J1627" s="362"/>
      <c r="AX1627" s="117"/>
      <c r="AY1627" s="117"/>
      <c r="AZ1627" s="117"/>
      <c r="BA1627" s="117"/>
      <c r="BB1627" s="117"/>
      <c r="BC1627" s="117"/>
      <c r="BD1627" s="117"/>
    </row>
    <row r="1628" spans="1:56" ht="15">
      <c r="A1628" s="114"/>
      <c r="B1628" s="362"/>
      <c r="C1628" s="362"/>
      <c r="D1628" s="362"/>
      <c r="E1628" s="410"/>
      <c r="F1628" s="362"/>
      <c r="G1628" s="362"/>
      <c r="H1628" s="362"/>
      <c r="I1628" s="362"/>
      <c r="J1628" s="362"/>
      <c r="AX1628" s="117"/>
      <c r="AY1628" s="117"/>
      <c r="AZ1628" s="117"/>
      <c r="BA1628" s="117"/>
      <c r="BB1628" s="117"/>
      <c r="BC1628" s="117"/>
      <c r="BD1628" s="117"/>
    </row>
    <row r="1629" spans="1:56" ht="15">
      <c r="A1629" s="114"/>
      <c r="B1629" s="303" t="s">
        <v>1160</v>
      </c>
      <c r="C1629" s="362"/>
      <c r="D1629" s="362"/>
      <c r="E1629" s="410"/>
      <c r="F1629" s="362"/>
      <c r="G1629" s="362"/>
      <c r="H1629" s="362"/>
      <c r="I1629" s="362"/>
      <c r="J1629" s="362"/>
      <c r="AX1629" s="117"/>
      <c r="AY1629" s="117"/>
      <c r="AZ1629" s="117"/>
      <c r="BA1629" s="117"/>
      <c r="BB1629" s="117"/>
      <c r="BC1629" s="117"/>
      <c r="BD1629" s="117"/>
    </row>
    <row r="1630" spans="1:56" ht="18">
      <c r="A1630" s="114"/>
      <c r="B1630" s="398" t="s">
        <v>1128</v>
      </c>
      <c r="C1630" s="172"/>
      <c r="D1630" s="173"/>
      <c r="E1630" s="402">
        <f>E1620*0.05</f>
        <v>0.125</v>
      </c>
      <c r="F1630" s="390" t="s">
        <v>1124</v>
      </c>
      <c r="G1630" s="362"/>
      <c r="H1630" s="362"/>
      <c r="I1630" s="362"/>
      <c r="J1630" s="362"/>
      <c r="AX1630" s="117"/>
      <c r="AY1630" s="117"/>
      <c r="AZ1630" s="117"/>
      <c r="BA1630" s="117"/>
      <c r="BB1630" s="117"/>
      <c r="BC1630" s="117"/>
      <c r="BD1630" s="117"/>
    </row>
    <row r="1631" spans="1:56" ht="15">
      <c r="A1631" s="114"/>
      <c r="B1631" s="398" t="s">
        <v>1129</v>
      </c>
      <c r="C1631" s="172"/>
      <c r="D1631" s="173"/>
      <c r="E1631" s="397">
        <f>(2*(C1606+C1607)*C1609)*C1610</f>
        <v>6.1999999999999993</v>
      </c>
      <c r="F1631" s="390" t="s">
        <v>13</v>
      </c>
      <c r="G1631" s="362"/>
      <c r="H1631" s="362"/>
      <c r="I1631" s="362"/>
      <c r="J1631" s="362"/>
      <c r="AX1631" s="117"/>
      <c r="AY1631" s="117"/>
      <c r="AZ1631" s="117"/>
      <c r="BA1631" s="117"/>
      <c r="BB1631" s="117"/>
      <c r="BC1631" s="117"/>
      <c r="BD1631" s="117"/>
    </row>
    <row r="1632" spans="1:56" ht="18">
      <c r="A1632" s="114"/>
      <c r="B1632" s="398" t="s">
        <v>1130</v>
      </c>
      <c r="C1632" s="172"/>
      <c r="D1632" s="173"/>
      <c r="E1632" s="402">
        <f>(C1606*C1607*C1609)*C1610</f>
        <v>1.8399999999999999</v>
      </c>
      <c r="F1632" s="390" t="s">
        <v>1124</v>
      </c>
      <c r="G1632" s="362"/>
      <c r="H1632" s="362"/>
      <c r="I1632" s="362"/>
      <c r="J1632" s="362"/>
      <c r="AX1632" s="117"/>
      <c r="AY1632" s="117"/>
      <c r="AZ1632" s="117"/>
      <c r="BA1632" s="117"/>
      <c r="BB1632" s="117"/>
      <c r="BC1632" s="117"/>
      <c r="BD1632" s="117"/>
    </row>
    <row r="1633" spans="1:56" ht="15">
      <c r="A1633" s="114"/>
      <c r="B1633" s="114"/>
      <c r="C1633" s="114"/>
      <c r="D1633" s="114"/>
      <c r="E1633" s="114"/>
      <c r="F1633" s="114"/>
      <c r="G1633" s="114"/>
      <c r="H1633" s="114"/>
      <c r="I1633" s="386"/>
      <c r="J1633" s="114"/>
      <c r="AW1633" s="117"/>
      <c r="AX1633" s="117"/>
      <c r="AY1633" s="117"/>
      <c r="AZ1633" s="117"/>
      <c r="BA1633" s="117"/>
      <c r="BB1633" s="117"/>
      <c r="BC1633" s="117"/>
      <c r="BD1633" s="117"/>
    </row>
    <row r="1634" spans="1:56" ht="15">
      <c r="A1634" s="114"/>
      <c r="B1634" s="114"/>
      <c r="C1634" s="114"/>
      <c r="D1634" s="114"/>
      <c r="E1634" s="114"/>
      <c r="F1634" s="114"/>
      <c r="G1634" s="196"/>
      <c r="H1634" s="196"/>
      <c r="I1634" s="196"/>
      <c r="J1634" s="114"/>
      <c r="AW1634" s="117"/>
      <c r="AX1634" s="117"/>
      <c r="AY1634" s="117"/>
      <c r="AZ1634" s="117"/>
      <c r="BA1634" s="117"/>
      <c r="BB1634" s="117"/>
      <c r="BC1634" s="117"/>
      <c r="BD1634" s="117"/>
    </row>
    <row r="1635" spans="1:56">
      <c r="A1635" s="114"/>
      <c r="B1635" s="385" t="s">
        <v>1168</v>
      </c>
      <c r="C1635" s="196"/>
      <c r="D1635" s="196"/>
      <c r="E1635" s="196"/>
      <c r="F1635" s="196"/>
      <c r="G1635" s="404"/>
      <c r="H1635" s="404"/>
      <c r="I1635" s="404"/>
      <c r="J1635" s="196"/>
      <c r="AX1635" s="117"/>
      <c r="AY1635" s="117"/>
      <c r="AZ1635" s="117"/>
      <c r="BA1635" s="117"/>
      <c r="BB1635" s="117"/>
      <c r="BC1635" s="117"/>
      <c r="BD1635" s="117"/>
    </row>
    <row r="1636" spans="1:56" ht="18">
      <c r="A1636" s="114"/>
      <c r="B1636" s="362"/>
      <c r="C1636" s="362"/>
      <c r="D1636" s="362"/>
      <c r="E1636" s="362"/>
      <c r="F1636" s="404"/>
      <c r="G1636" s="406" t="s">
        <v>1142</v>
      </c>
      <c r="H1636" s="407">
        <f>C1637</f>
        <v>0.22</v>
      </c>
      <c r="I1636" s="405" t="s">
        <v>1143</v>
      </c>
      <c r="J1636" s="404"/>
      <c r="AX1636" s="117"/>
      <c r="AY1636" s="117"/>
      <c r="AZ1636" s="117"/>
      <c r="BA1636" s="117"/>
      <c r="BB1636" s="117"/>
      <c r="BC1636" s="117"/>
      <c r="BD1636" s="117"/>
    </row>
    <row r="1637" spans="1:56" ht="15">
      <c r="A1637" s="114"/>
      <c r="B1637" s="388" t="s">
        <v>1169</v>
      </c>
      <c r="C1637" s="389">
        <v>0.22</v>
      </c>
      <c r="D1637" s="390" t="s">
        <v>13</v>
      </c>
      <c r="E1637" s="196"/>
      <c r="F1637" s="405"/>
      <c r="G1637" s="406" t="e">
        <f>TEXT(C1644,"tg 0°=")</f>
        <v>#VALUE!</v>
      </c>
      <c r="H1637" s="408">
        <f>TAN(3.14159265359*C1644/180)</f>
        <v>1.732050807569153</v>
      </c>
      <c r="I1637" s="405"/>
      <c r="J1637" s="405"/>
      <c r="AX1637" s="117"/>
      <c r="AY1637" s="117"/>
      <c r="AZ1637" s="117"/>
      <c r="BA1637" s="117"/>
      <c r="BB1637" s="117"/>
      <c r="BC1637" s="117"/>
      <c r="BD1637" s="117"/>
    </row>
    <row r="1638" spans="1:56" ht="15">
      <c r="A1638" s="114"/>
      <c r="B1638" s="388" t="s">
        <v>1110</v>
      </c>
      <c r="C1638" s="389">
        <v>2.2999999999999998</v>
      </c>
      <c r="D1638" s="390" t="s">
        <v>10</v>
      </c>
      <c r="E1638" s="196"/>
      <c r="F1638" s="405"/>
      <c r="G1638" s="406"/>
      <c r="H1638" s="407"/>
      <c r="I1638" s="405"/>
      <c r="J1638" s="405"/>
      <c r="AX1638" s="117"/>
      <c r="AY1638" s="117"/>
      <c r="AZ1638" s="117"/>
      <c r="BA1638" s="117"/>
      <c r="BB1638" s="117"/>
      <c r="BC1638" s="117"/>
      <c r="BD1638" s="117"/>
    </row>
    <row r="1639" spans="1:56" ht="18">
      <c r="A1639" s="114"/>
      <c r="B1639" s="388" t="s">
        <v>1111</v>
      </c>
      <c r="C1639" s="389">
        <v>0.8</v>
      </c>
      <c r="D1639" s="390" t="s">
        <v>10</v>
      </c>
      <c r="E1639" s="196"/>
      <c r="F1639" s="405"/>
      <c r="G1639" s="406" t="s">
        <v>1142</v>
      </c>
      <c r="H1639" s="409">
        <f>(C1638+2*C1646+((C1640+C1641+0.05)/H1637)*2)*(C1639+2*C1646+((C1640+C1641+0.05)/H1637)*2)</f>
        <v>34.23135429595618</v>
      </c>
      <c r="I1639" s="405" t="s">
        <v>1143</v>
      </c>
      <c r="J1639" s="405"/>
      <c r="AX1639" s="117"/>
      <c r="AY1639" s="117"/>
      <c r="AZ1639" s="117"/>
      <c r="BA1639" s="117"/>
      <c r="BB1639" s="117"/>
      <c r="BC1639" s="117"/>
      <c r="BD1639" s="117"/>
    </row>
    <row r="1640" spans="1:56" ht="18">
      <c r="A1640" s="114"/>
      <c r="B1640" s="388" t="s">
        <v>1112</v>
      </c>
      <c r="C1640" s="389">
        <v>1.85</v>
      </c>
      <c r="D1640" s="390" t="s">
        <v>10</v>
      </c>
      <c r="E1640" s="196"/>
      <c r="F1640" s="405"/>
      <c r="G1640" s="406" t="s">
        <v>1147</v>
      </c>
      <c r="H1640" s="409">
        <f>(C1638+2*C1646)*(C1639+2*C1646)</f>
        <v>5.9399999999999995</v>
      </c>
      <c r="I1640" s="405" t="s">
        <v>1143</v>
      </c>
      <c r="J1640" s="405"/>
      <c r="AX1640" s="117"/>
      <c r="AY1640" s="117"/>
      <c r="AZ1640" s="117"/>
      <c r="BA1640" s="117"/>
      <c r="BB1640" s="117"/>
      <c r="BC1640" s="117"/>
      <c r="BD1640" s="117"/>
    </row>
    <row r="1641" spans="1:56" ht="15">
      <c r="A1641" s="114"/>
      <c r="B1641" s="388" t="s">
        <v>1113</v>
      </c>
      <c r="C1641" s="389">
        <v>1</v>
      </c>
      <c r="D1641" s="390" t="s">
        <v>10</v>
      </c>
      <c r="E1641" s="196"/>
      <c r="F1641" s="405"/>
      <c r="G1641" s="406"/>
      <c r="H1641" s="407"/>
      <c r="I1641" s="405"/>
      <c r="J1641" s="405"/>
      <c r="AX1641" s="117"/>
      <c r="AY1641" s="117"/>
      <c r="AZ1641" s="117"/>
      <c r="BA1641" s="117"/>
      <c r="BB1641" s="117"/>
      <c r="BC1641" s="117"/>
      <c r="BD1641" s="117"/>
    </row>
    <row r="1642" spans="1:56" ht="15">
      <c r="A1642" s="114"/>
      <c r="B1642" s="388" t="s">
        <v>1117</v>
      </c>
      <c r="C1642" s="391">
        <v>2</v>
      </c>
      <c r="D1642" s="390" t="s">
        <v>1118</v>
      </c>
      <c r="E1642" s="196"/>
      <c r="F1642" s="405"/>
      <c r="G1642" s="406"/>
      <c r="H1642" s="407"/>
      <c r="I1642" s="405"/>
      <c r="J1642" s="405"/>
      <c r="AX1642" s="117"/>
      <c r="AY1642" s="117"/>
      <c r="AZ1642" s="117"/>
      <c r="BA1642" s="117"/>
      <c r="BB1642" s="117"/>
      <c r="BC1642" s="117"/>
      <c r="BD1642" s="117"/>
    </row>
    <row r="1643" spans="1:56" ht="15">
      <c r="A1643" s="114"/>
      <c r="B1643" s="196" t="s">
        <v>1148</v>
      </c>
      <c r="C1643" s="393"/>
      <c r="D1643" s="196"/>
      <c r="E1643" s="196"/>
      <c r="F1643" s="405"/>
      <c r="G1643" s="406"/>
      <c r="H1643" s="407"/>
      <c r="I1643" s="405"/>
      <c r="J1643" s="405"/>
      <c r="AX1643" s="117"/>
      <c r="AY1643" s="117"/>
      <c r="AZ1643" s="117"/>
      <c r="BA1643" s="117"/>
      <c r="BB1643" s="117"/>
      <c r="BC1643" s="117"/>
      <c r="BD1643" s="117"/>
    </row>
    <row r="1644" spans="1:56" ht="15">
      <c r="A1644" s="114"/>
      <c r="B1644" s="388" t="s">
        <v>1149</v>
      </c>
      <c r="C1644" s="389">
        <v>60</v>
      </c>
      <c r="D1644" s="390" t="s">
        <v>1150</v>
      </c>
      <c r="E1644" s="196"/>
      <c r="F1644" s="196"/>
      <c r="G1644" s="392"/>
      <c r="H1644" s="393"/>
      <c r="I1644" s="196"/>
      <c r="J1644" s="196"/>
      <c r="AX1644" s="117"/>
      <c r="AY1644" s="117"/>
      <c r="AZ1644" s="117"/>
      <c r="BA1644" s="117"/>
      <c r="BB1644" s="117"/>
      <c r="BC1644" s="117"/>
      <c r="BD1644" s="117"/>
    </row>
    <row r="1645" spans="1:56" ht="15">
      <c r="A1645" s="114"/>
      <c r="B1645" s="362"/>
      <c r="C1645" s="196"/>
      <c r="D1645" s="196"/>
      <c r="E1645" s="196"/>
      <c r="F1645" s="196"/>
      <c r="G1645" s="362"/>
      <c r="H1645" s="362"/>
      <c r="I1645" s="362"/>
      <c r="J1645" s="196"/>
      <c r="AX1645" s="117"/>
      <c r="AY1645" s="117"/>
      <c r="AZ1645" s="117"/>
      <c r="BA1645" s="117"/>
      <c r="BB1645" s="117"/>
      <c r="BC1645" s="117"/>
      <c r="BD1645" s="117"/>
    </row>
    <row r="1646" spans="1:56" ht="15">
      <c r="A1646" s="114"/>
      <c r="B1646" s="388" t="s">
        <v>1114</v>
      </c>
      <c r="C1646" s="389">
        <v>0.5</v>
      </c>
      <c r="D1646" s="390" t="s">
        <v>10</v>
      </c>
      <c r="E1646" s="288" t="s">
        <v>1120</v>
      </c>
      <c r="F1646" s="196"/>
      <c r="G1646" s="362"/>
      <c r="H1646" s="362"/>
      <c r="I1646" s="362"/>
      <c r="J1646" s="196"/>
      <c r="AX1646" s="117"/>
      <c r="AY1646" s="117"/>
      <c r="AZ1646" s="117"/>
      <c r="BA1646" s="117"/>
      <c r="BB1646" s="117"/>
      <c r="BC1646" s="117"/>
      <c r="BD1646" s="117"/>
    </row>
    <row r="1647" spans="1:56" ht="15">
      <c r="A1647" s="114"/>
      <c r="B1647" s="388" t="s">
        <v>1114</v>
      </c>
      <c r="C1647" s="389">
        <v>0.1</v>
      </c>
      <c r="D1647" s="390" t="s">
        <v>10</v>
      </c>
      <c r="E1647" s="288" t="s">
        <v>1121</v>
      </c>
      <c r="F1647" s="196"/>
      <c r="G1647" s="362"/>
      <c r="H1647" s="362"/>
      <c r="I1647" s="362"/>
      <c r="J1647" s="196"/>
      <c r="AX1647" s="117"/>
      <c r="AY1647" s="117"/>
      <c r="AZ1647" s="117"/>
      <c r="BA1647" s="117"/>
      <c r="BB1647" s="117"/>
      <c r="BC1647" s="117"/>
      <c r="BD1647" s="117"/>
    </row>
    <row r="1648" spans="1:56" ht="15">
      <c r="A1648" s="114"/>
      <c r="B1648" s="362"/>
      <c r="C1648" s="362"/>
      <c r="D1648" s="362"/>
      <c r="E1648" s="362"/>
      <c r="F1648" s="362"/>
      <c r="G1648" s="114"/>
      <c r="H1648" s="362"/>
      <c r="I1648" s="196"/>
      <c r="J1648" s="196"/>
      <c r="AX1648" s="117"/>
      <c r="AY1648" s="117"/>
      <c r="AZ1648" s="117"/>
      <c r="BA1648" s="117"/>
      <c r="BB1648" s="117"/>
      <c r="BC1648" s="117"/>
      <c r="BD1648" s="117"/>
    </row>
    <row r="1649" spans="1:56" ht="15">
      <c r="A1649" s="114"/>
      <c r="B1649" s="303" t="s">
        <v>1122</v>
      </c>
      <c r="C1649" s="362"/>
      <c r="D1649" s="362"/>
      <c r="E1649" s="362"/>
      <c r="F1649" s="362"/>
      <c r="G1649" s="196"/>
      <c r="H1649" s="196" t="s">
        <v>1131</v>
      </c>
      <c r="I1649" s="196"/>
      <c r="J1649" s="196"/>
      <c r="AX1649" s="117"/>
      <c r="AY1649" s="117"/>
      <c r="AZ1649" s="117"/>
      <c r="BA1649" s="117"/>
      <c r="BB1649" s="117"/>
      <c r="BC1649" s="117"/>
      <c r="BD1649" s="117"/>
    </row>
    <row r="1650" spans="1:56" ht="18">
      <c r="A1650" s="114"/>
      <c r="B1650" s="398" t="s">
        <v>1123</v>
      </c>
      <c r="C1650" s="172"/>
      <c r="D1650" s="173"/>
      <c r="E1650" s="397">
        <f>C1642*((H1640+H1639)/2)*(C1640+C1641+0.05)</f>
        <v>116.49692745827291</v>
      </c>
      <c r="F1650" s="390" t="s">
        <v>1124</v>
      </c>
      <c r="G1650" s="196"/>
      <c r="H1650" s="362"/>
      <c r="I1650" s="362"/>
      <c r="J1650" s="362"/>
      <c r="AX1650" s="117"/>
      <c r="AY1650" s="117"/>
      <c r="AZ1650" s="117"/>
      <c r="BA1650" s="117"/>
      <c r="BB1650" s="117"/>
      <c r="BC1650" s="117"/>
      <c r="BD1650" s="117"/>
    </row>
    <row r="1651" spans="1:56" ht="18">
      <c r="A1651" s="114"/>
      <c r="B1651" s="398" t="s">
        <v>1125</v>
      </c>
      <c r="C1651" s="172"/>
      <c r="D1651" s="173"/>
      <c r="E1651" s="400">
        <f>E1650-(E1669+E1671)</f>
        <v>112.56692745827291</v>
      </c>
      <c r="F1651" s="390" t="s">
        <v>1124</v>
      </c>
      <c r="G1651" s="114"/>
      <c r="H1651" s="114"/>
      <c r="I1651" s="114"/>
      <c r="J1651" s="196"/>
      <c r="AX1651" s="117"/>
      <c r="AY1651" s="117"/>
      <c r="AZ1651" s="117"/>
      <c r="BA1651" s="117"/>
      <c r="BB1651" s="117"/>
      <c r="BC1651" s="117"/>
      <c r="BD1651" s="117"/>
    </row>
    <row r="1652" spans="1:56" ht="15">
      <c r="A1652" s="114"/>
      <c r="B1652" s="398" t="s">
        <v>1126</v>
      </c>
      <c r="C1652" s="172"/>
      <c r="D1652" s="173"/>
      <c r="E1652" s="400">
        <f>((C1638+2*C1647)*(C1639+2*C1647))*C1642</f>
        <v>5</v>
      </c>
      <c r="F1652" s="390" t="s">
        <v>13</v>
      </c>
      <c r="G1652" s="114"/>
      <c r="H1652" s="114"/>
      <c r="I1652" s="114"/>
      <c r="J1652" s="362"/>
      <c r="AX1652" s="117"/>
      <c r="AY1652" s="117"/>
      <c r="AZ1652" s="117"/>
      <c r="BA1652" s="117"/>
      <c r="BB1652" s="117"/>
      <c r="BC1652" s="117"/>
      <c r="BD1652" s="117"/>
    </row>
    <row r="1653" spans="1:56" ht="15">
      <c r="A1653" s="114"/>
      <c r="B1653" s="362"/>
      <c r="C1653" s="362"/>
      <c r="D1653" s="362"/>
      <c r="E1653" s="401"/>
      <c r="F1653" s="196"/>
      <c r="G1653" s="114"/>
      <c r="H1653" s="114"/>
      <c r="I1653" s="114"/>
      <c r="J1653" s="362"/>
      <c r="AX1653" s="117"/>
      <c r="AY1653" s="117"/>
      <c r="AZ1653" s="117"/>
      <c r="BA1653" s="117"/>
      <c r="BB1653" s="117"/>
      <c r="BC1653" s="117"/>
      <c r="BD1653" s="117"/>
    </row>
    <row r="1654" spans="1:56" ht="15">
      <c r="A1654" s="114"/>
      <c r="B1654" s="303" t="s">
        <v>1151</v>
      </c>
      <c r="C1654" s="362"/>
      <c r="D1654" s="362"/>
      <c r="E1654" s="410"/>
      <c r="F1654" s="362"/>
      <c r="G1654" s="114"/>
      <c r="H1654" s="114"/>
      <c r="I1654" s="114"/>
      <c r="J1654" s="362"/>
      <c r="AX1654" s="117"/>
      <c r="AY1654" s="117"/>
      <c r="AZ1654" s="117"/>
      <c r="BA1654" s="117"/>
      <c r="BB1654" s="117"/>
      <c r="BC1654" s="117"/>
      <c r="BD1654" s="117"/>
    </row>
    <row r="1655" spans="1:56" ht="15">
      <c r="A1655" s="114"/>
      <c r="B1655" s="398" t="s">
        <v>1152</v>
      </c>
      <c r="C1655" s="398"/>
      <c r="D1655" s="366"/>
      <c r="E1655" s="411">
        <v>2</v>
      </c>
      <c r="F1655" s="390" t="s">
        <v>1153</v>
      </c>
      <c r="G1655" s="114"/>
      <c r="H1655" s="114"/>
      <c r="I1655" s="114"/>
      <c r="J1655" s="362"/>
      <c r="AX1655" s="117"/>
      <c r="AY1655" s="117"/>
      <c r="AZ1655" s="117"/>
      <c r="BA1655" s="117"/>
      <c r="BB1655" s="117"/>
      <c r="BC1655" s="117"/>
      <c r="BD1655" s="117"/>
    </row>
    <row r="1656" spans="1:56" ht="15">
      <c r="A1656" s="114"/>
      <c r="B1656" s="399" t="s">
        <v>1154</v>
      </c>
      <c r="C1656" s="31"/>
      <c r="D1656" s="32"/>
      <c r="E1656" s="412">
        <f>1*E1655</f>
        <v>2</v>
      </c>
      <c r="F1656" s="390" t="s">
        <v>1153</v>
      </c>
      <c r="G1656" s="114"/>
      <c r="H1656" s="114"/>
      <c r="I1656" s="114"/>
      <c r="J1656" s="362"/>
      <c r="AX1656" s="117"/>
      <c r="AY1656" s="117"/>
      <c r="AZ1656" s="117"/>
      <c r="BA1656" s="117"/>
      <c r="BB1656" s="117"/>
      <c r="BC1656" s="117"/>
      <c r="BD1656" s="117"/>
    </row>
    <row r="1657" spans="1:56" ht="15">
      <c r="A1657" s="114"/>
      <c r="B1657" s="398" t="s">
        <v>1155</v>
      </c>
      <c r="C1657" s="21"/>
      <c r="D1657" s="413"/>
      <c r="E1657" s="411">
        <v>350</v>
      </c>
      <c r="F1657" s="390" t="s">
        <v>1156</v>
      </c>
      <c r="G1657" s="114"/>
      <c r="H1657" s="114"/>
      <c r="I1657" s="114"/>
      <c r="J1657" s="415"/>
      <c r="AX1657" s="117"/>
      <c r="AY1657" s="117"/>
      <c r="AZ1657" s="117"/>
      <c r="BA1657" s="117"/>
      <c r="BB1657" s="117"/>
      <c r="BC1657" s="117"/>
      <c r="BD1657" s="117"/>
    </row>
    <row r="1658" spans="1:56" ht="15">
      <c r="A1658" s="114"/>
      <c r="B1658" s="398" t="s">
        <v>1157</v>
      </c>
      <c r="C1658" s="21"/>
      <c r="D1658" s="413"/>
      <c r="E1658" s="418">
        <v>13</v>
      </c>
      <c r="F1658" s="390" t="s">
        <v>10</v>
      </c>
      <c r="G1658" s="114"/>
      <c r="H1658" s="114"/>
      <c r="I1658" s="114"/>
      <c r="J1658" s="362"/>
      <c r="AX1658" s="117"/>
      <c r="AY1658" s="117"/>
      <c r="AZ1658" s="117"/>
      <c r="BA1658" s="117"/>
      <c r="BB1658" s="117"/>
      <c r="BC1658" s="117"/>
      <c r="BD1658" s="117"/>
    </row>
    <row r="1659" spans="1:56" ht="15">
      <c r="A1659" s="114"/>
      <c r="B1659" s="398" t="s">
        <v>1158</v>
      </c>
      <c r="C1659" s="21"/>
      <c r="D1659" s="413"/>
      <c r="E1659" s="412">
        <f>E1656*E1658</f>
        <v>26</v>
      </c>
      <c r="F1659" s="390" t="s">
        <v>10</v>
      </c>
      <c r="G1659" s="114"/>
      <c r="H1659" s="114"/>
      <c r="I1659" s="114"/>
      <c r="J1659" s="362"/>
      <c r="AX1659" s="117"/>
      <c r="AY1659" s="117"/>
      <c r="AZ1659" s="117"/>
      <c r="BA1659" s="117"/>
      <c r="BB1659" s="117"/>
      <c r="BC1659" s="117"/>
      <c r="BD1659" s="117"/>
    </row>
    <row r="1660" spans="1:56" ht="15">
      <c r="A1660" s="114"/>
      <c r="B1660" s="362"/>
      <c r="C1660" s="362"/>
      <c r="D1660" s="362"/>
      <c r="E1660" s="401"/>
      <c r="F1660" s="196"/>
      <c r="G1660" s="114"/>
      <c r="H1660" s="114"/>
      <c r="I1660" s="114"/>
      <c r="J1660" s="362"/>
      <c r="AX1660" s="117"/>
      <c r="AY1660" s="117"/>
      <c r="AZ1660" s="117"/>
      <c r="BA1660" s="117"/>
      <c r="BB1660" s="117"/>
      <c r="BC1660" s="117"/>
      <c r="BD1660" s="117"/>
    </row>
    <row r="1661" spans="1:56" ht="15">
      <c r="A1661" s="114"/>
      <c r="B1661" s="303" t="s">
        <v>1159</v>
      </c>
      <c r="C1661" s="362"/>
      <c r="D1661" s="362"/>
      <c r="E1661" s="410"/>
      <c r="F1661" s="362"/>
      <c r="G1661" s="114"/>
      <c r="H1661" s="114"/>
      <c r="I1661" s="114"/>
      <c r="J1661" s="362"/>
      <c r="AX1661" s="117"/>
      <c r="AY1661" s="117"/>
      <c r="AZ1661" s="117"/>
      <c r="BA1661" s="117"/>
      <c r="BB1661" s="117"/>
      <c r="BC1661" s="117"/>
      <c r="BD1661" s="117"/>
    </row>
    <row r="1662" spans="1:56" ht="15">
      <c r="A1662" s="114"/>
      <c r="B1662" s="398" t="s">
        <v>1152</v>
      </c>
      <c r="C1662" s="398"/>
      <c r="D1662" s="366"/>
      <c r="E1662" s="411">
        <v>2</v>
      </c>
      <c r="F1662" s="390" t="s">
        <v>1153</v>
      </c>
      <c r="G1662" s="114"/>
      <c r="H1662" s="114"/>
      <c r="I1662" s="114"/>
      <c r="J1662" s="362"/>
      <c r="AX1662" s="117"/>
      <c r="AY1662" s="117"/>
      <c r="AZ1662" s="117"/>
      <c r="BA1662" s="117"/>
      <c r="BB1662" s="117"/>
      <c r="BC1662" s="117"/>
      <c r="BD1662" s="117"/>
    </row>
    <row r="1663" spans="1:56" ht="15">
      <c r="A1663" s="114"/>
      <c r="B1663" s="399" t="s">
        <v>1154</v>
      </c>
      <c r="C1663" s="31"/>
      <c r="D1663" s="32"/>
      <c r="E1663" s="412">
        <f>1*E1662</f>
        <v>2</v>
      </c>
      <c r="F1663" s="390" t="s">
        <v>1153</v>
      </c>
      <c r="G1663" s="114"/>
      <c r="H1663" s="114"/>
      <c r="I1663" s="114"/>
      <c r="J1663" s="362"/>
      <c r="AX1663" s="117"/>
      <c r="AY1663" s="117"/>
      <c r="AZ1663" s="117"/>
      <c r="BA1663" s="117"/>
      <c r="BB1663" s="117"/>
      <c r="BC1663" s="117"/>
      <c r="BD1663" s="117"/>
    </row>
    <row r="1664" spans="1:56" ht="15">
      <c r="A1664" s="114"/>
      <c r="B1664" s="398" t="s">
        <v>1155</v>
      </c>
      <c r="C1664" s="21"/>
      <c r="D1664" s="413"/>
      <c r="E1664" s="411">
        <v>400</v>
      </c>
      <c r="F1664" s="390" t="s">
        <v>1156</v>
      </c>
      <c r="G1664" s="114"/>
      <c r="H1664" s="114"/>
      <c r="I1664" s="114"/>
      <c r="J1664" s="415"/>
      <c r="AX1664" s="117"/>
      <c r="AY1664" s="117"/>
      <c r="AZ1664" s="117"/>
      <c r="BA1664" s="117"/>
      <c r="BB1664" s="117"/>
      <c r="BC1664" s="117"/>
      <c r="BD1664" s="117"/>
    </row>
    <row r="1665" spans="1:56" ht="15">
      <c r="A1665" s="114"/>
      <c r="B1665" s="398" t="s">
        <v>1157</v>
      </c>
      <c r="C1665" s="21"/>
      <c r="D1665" s="413"/>
      <c r="E1665" s="418">
        <v>14</v>
      </c>
      <c r="F1665" s="390" t="s">
        <v>10</v>
      </c>
      <c r="G1665" s="114"/>
      <c r="H1665" s="114"/>
      <c r="I1665" s="114"/>
      <c r="J1665" s="362"/>
      <c r="AX1665" s="117"/>
      <c r="AY1665" s="117"/>
      <c r="AZ1665" s="117"/>
      <c r="BA1665" s="117"/>
      <c r="BB1665" s="117"/>
      <c r="BC1665" s="117"/>
      <c r="BD1665" s="117"/>
    </row>
    <row r="1666" spans="1:56" ht="15">
      <c r="A1666" s="114"/>
      <c r="B1666" s="398" t="s">
        <v>1158</v>
      </c>
      <c r="C1666" s="21"/>
      <c r="D1666" s="413"/>
      <c r="E1666" s="412">
        <f>E1663*E1665</f>
        <v>28</v>
      </c>
      <c r="F1666" s="390" t="s">
        <v>10</v>
      </c>
      <c r="G1666" s="114"/>
      <c r="H1666" s="114"/>
      <c r="I1666" s="114"/>
      <c r="J1666" s="362"/>
      <c r="AX1666" s="117"/>
      <c r="AY1666" s="117"/>
      <c r="AZ1666" s="117"/>
      <c r="BA1666" s="117"/>
      <c r="BB1666" s="117"/>
      <c r="BC1666" s="117"/>
      <c r="BD1666" s="117"/>
    </row>
    <row r="1667" spans="1:56" ht="15">
      <c r="A1667" s="114"/>
      <c r="B1667" s="362"/>
      <c r="C1667" s="362"/>
      <c r="D1667" s="362"/>
      <c r="E1667" s="410"/>
      <c r="F1667" s="362"/>
      <c r="G1667" s="114"/>
      <c r="H1667" s="114"/>
      <c r="I1667" s="114"/>
      <c r="J1667" s="362"/>
      <c r="AX1667" s="117"/>
      <c r="AY1667" s="117"/>
      <c r="AZ1667" s="117"/>
      <c r="BA1667" s="117"/>
      <c r="BB1667" s="117"/>
      <c r="BC1667" s="117"/>
      <c r="BD1667" s="117"/>
    </row>
    <row r="1668" spans="1:56" ht="15">
      <c r="A1668" s="114"/>
      <c r="B1668" s="303" t="s">
        <v>1160</v>
      </c>
      <c r="C1668" s="362"/>
      <c r="D1668" s="362"/>
      <c r="E1668" s="410"/>
      <c r="F1668" s="362"/>
      <c r="G1668" s="114"/>
      <c r="H1668" s="114"/>
      <c r="I1668" s="114"/>
      <c r="J1668" s="362"/>
      <c r="AX1668" s="117"/>
      <c r="AY1668" s="117"/>
      <c r="AZ1668" s="117"/>
      <c r="BA1668" s="117"/>
      <c r="BB1668" s="117"/>
      <c r="BC1668" s="117"/>
      <c r="BD1668" s="117"/>
    </row>
    <row r="1669" spans="1:56" ht="18">
      <c r="A1669" s="114"/>
      <c r="B1669" s="398" t="s">
        <v>1128</v>
      </c>
      <c r="C1669" s="172"/>
      <c r="D1669" s="173"/>
      <c r="E1669" s="402">
        <f>E1652*0.05</f>
        <v>0.25</v>
      </c>
      <c r="F1669" s="390" t="s">
        <v>1124</v>
      </c>
      <c r="G1669" s="114"/>
      <c r="H1669" s="114"/>
      <c r="I1669" s="114"/>
      <c r="J1669" s="362"/>
      <c r="AX1669" s="117"/>
      <c r="AY1669" s="117"/>
      <c r="AZ1669" s="117"/>
      <c r="BA1669" s="117"/>
      <c r="BB1669" s="117"/>
      <c r="BC1669" s="117"/>
      <c r="BD1669" s="117"/>
    </row>
    <row r="1670" spans="1:56" ht="15">
      <c r="A1670" s="114"/>
      <c r="B1670" s="398" t="s">
        <v>1129</v>
      </c>
      <c r="C1670" s="172"/>
      <c r="D1670" s="173"/>
      <c r="E1670" s="397">
        <f>(2*(C1638+C1639)*C1641)*C1642</f>
        <v>12.399999999999999</v>
      </c>
      <c r="F1670" s="390" t="s">
        <v>13</v>
      </c>
      <c r="G1670" s="114"/>
      <c r="H1670" s="114"/>
      <c r="I1670" s="114"/>
      <c r="J1670" s="362"/>
      <c r="AX1670" s="117"/>
      <c r="AY1670" s="117"/>
      <c r="AZ1670" s="117"/>
      <c r="BA1670" s="117"/>
      <c r="BB1670" s="117"/>
      <c r="BC1670" s="117"/>
      <c r="BD1670" s="117"/>
    </row>
    <row r="1671" spans="1:56" ht="18">
      <c r="A1671" s="114"/>
      <c r="B1671" s="398" t="s">
        <v>1130</v>
      </c>
      <c r="C1671" s="172"/>
      <c r="D1671" s="173"/>
      <c r="E1671" s="402">
        <f>(C1638*C1639*C1641)*C1642</f>
        <v>3.6799999999999997</v>
      </c>
      <c r="F1671" s="390" t="s">
        <v>1124</v>
      </c>
      <c r="G1671" s="114"/>
      <c r="H1671" s="114"/>
      <c r="I1671" s="114"/>
      <c r="J1671" s="362"/>
      <c r="AX1671" s="117"/>
      <c r="AY1671" s="117"/>
      <c r="AZ1671" s="117"/>
      <c r="BA1671" s="117"/>
      <c r="BB1671" s="117"/>
      <c r="BC1671" s="117"/>
      <c r="BD1671" s="117"/>
    </row>
    <row r="1672" spans="1:56" ht="15">
      <c r="A1672" s="114"/>
      <c r="B1672" s="114"/>
      <c r="C1672" s="114"/>
      <c r="D1672" s="114"/>
      <c r="E1672" s="114"/>
      <c r="F1672" s="114"/>
      <c r="G1672" s="114"/>
      <c r="H1672" s="114"/>
      <c r="I1672" s="386"/>
      <c r="J1672" s="114"/>
      <c r="AW1672" s="117"/>
      <c r="AX1672" s="117"/>
      <c r="AY1672" s="117"/>
      <c r="AZ1672" s="117"/>
      <c r="BA1672" s="117"/>
      <c r="BB1672" s="117"/>
      <c r="BC1672" s="117"/>
      <c r="BD1672" s="117"/>
    </row>
    <row r="1673" spans="1:56" ht="15">
      <c r="A1673" s="114"/>
      <c r="B1673" s="114"/>
      <c r="C1673" s="114"/>
      <c r="D1673" s="114"/>
      <c r="E1673" s="114"/>
      <c r="F1673" s="114"/>
      <c r="G1673" s="196"/>
      <c r="H1673" s="196"/>
      <c r="I1673" s="196"/>
      <c r="J1673" s="114"/>
      <c r="AW1673" s="117"/>
      <c r="AX1673" s="117"/>
      <c r="AY1673" s="117"/>
      <c r="AZ1673" s="117"/>
      <c r="BA1673" s="117"/>
      <c r="BB1673" s="117"/>
      <c r="BC1673" s="117"/>
      <c r="BD1673" s="117"/>
    </row>
    <row r="1674" spans="1:56">
      <c r="A1674" s="114"/>
      <c r="B1674" s="385" t="s">
        <v>1170</v>
      </c>
      <c r="C1674" s="196"/>
      <c r="D1674" s="196"/>
      <c r="E1674" s="196"/>
      <c r="F1674" s="196"/>
      <c r="G1674" s="404"/>
      <c r="H1674" s="404"/>
      <c r="I1674" s="404"/>
      <c r="J1674" s="196"/>
      <c r="AX1674" s="117"/>
      <c r="AY1674" s="117"/>
      <c r="AZ1674" s="117"/>
      <c r="BA1674" s="117"/>
      <c r="BB1674" s="117"/>
      <c r="BC1674" s="117"/>
      <c r="BD1674" s="117"/>
    </row>
    <row r="1675" spans="1:56" ht="18">
      <c r="A1675" s="114"/>
      <c r="B1675" s="362"/>
      <c r="C1675" s="362"/>
      <c r="D1675" s="362"/>
      <c r="E1675" s="362"/>
      <c r="F1675" s="404"/>
      <c r="G1675" s="406" t="s">
        <v>1142</v>
      </c>
      <c r="H1675" s="407">
        <f>C1676</f>
        <v>0.2</v>
      </c>
      <c r="I1675" s="405" t="s">
        <v>1143</v>
      </c>
      <c r="J1675" s="404"/>
      <c r="AX1675" s="117"/>
      <c r="AY1675" s="117"/>
      <c r="AZ1675" s="117"/>
      <c r="BA1675" s="117"/>
      <c r="BB1675" s="117"/>
      <c r="BC1675" s="117"/>
      <c r="BD1675" s="117"/>
    </row>
    <row r="1676" spans="1:56" ht="15">
      <c r="A1676" s="114"/>
      <c r="B1676" s="388" t="s">
        <v>1169</v>
      </c>
      <c r="C1676" s="389">
        <v>0.2</v>
      </c>
      <c r="D1676" s="390" t="s">
        <v>13</v>
      </c>
      <c r="E1676" s="196"/>
      <c r="F1676" s="405"/>
      <c r="G1676" s="406" t="e">
        <f>TEXT(C1683,"tg 0°=")</f>
        <v>#VALUE!</v>
      </c>
      <c r="H1676" s="408">
        <f>TAN(3.14159265359*C1683/180)</f>
        <v>1.732050807569153</v>
      </c>
      <c r="I1676" s="405"/>
      <c r="J1676" s="405"/>
      <c r="AX1676" s="117"/>
      <c r="AY1676" s="117"/>
      <c r="AZ1676" s="117"/>
      <c r="BA1676" s="117"/>
      <c r="BB1676" s="117"/>
      <c r="BC1676" s="117"/>
      <c r="BD1676" s="117"/>
    </row>
    <row r="1677" spans="1:56" ht="15">
      <c r="A1677" s="114"/>
      <c r="B1677" s="388" t="s">
        <v>1110</v>
      </c>
      <c r="C1677" s="389">
        <v>2.2999999999999998</v>
      </c>
      <c r="D1677" s="390" t="s">
        <v>10</v>
      </c>
      <c r="E1677" s="196"/>
      <c r="F1677" s="405"/>
      <c r="G1677" s="406"/>
      <c r="H1677" s="407"/>
      <c r="I1677" s="405"/>
      <c r="J1677" s="405"/>
      <c r="AX1677" s="117"/>
      <c r="AY1677" s="117"/>
      <c r="AZ1677" s="117"/>
      <c r="BA1677" s="117"/>
      <c r="BB1677" s="117"/>
      <c r="BC1677" s="117"/>
      <c r="BD1677" s="117"/>
    </row>
    <row r="1678" spans="1:56" ht="18">
      <c r="A1678" s="114"/>
      <c r="B1678" s="388" t="s">
        <v>1111</v>
      </c>
      <c r="C1678" s="389">
        <v>0.8</v>
      </c>
      <c r="D1678" s="390" t="s">
        <v>10</v>
      </c>
      <c r="E1678" s="196"/>
      <c r="F1678" s="405"/>
      <c r="G1678" s="406" t="s">
        <v>1142</v>
      </c>
      <c r="H1678" s="409">
        <f>(C1677+2*C1685+((C1679+C1680+0.05)/H1676)*2)*(C1678+2*C1685+((C1679+C1680+0.05)/H1676)*2)</f>
        <v>34.23135429595618</v>
      </c>
      <c r="I1678" s="405" t="s">
        <v>1143</v>
      </c>
      <c r="J1678" s="405"/>
      <c r="AX1678" s="117"/>
      <c r="AY1678" s="117"/>
      <c r="AZ1678" s="117"/>
      <c r="BA1678" s="117"/>
      <c r="BB1678" s="117"/>
      <c r="BC1678" s="117"/>
      <c r="BD1678" s="117"/>
    </row>
    <row r="1679" spans="1:56" ht="18">
      <c r="A1679" s="114"/>
      <c r="B1679" s="388" t="s">
        <v>1112</v>
      </c>
      <c r="C1679" s="389">
        <v>1.85</v>
      </c>
      <c r="D1679" s="390" t="s">
        <v>10</v>
      </c>
      <c r="E1679" s="196"/>
      <c r="F1679" s="405"/>
      <c r="G1679" s="406" t="s">
        <v>1147</v>
      </c>
      <c r="H1679" s="409">
        <f>(C1677+2*C1685)*(C1678+2*C1685)</f>
        <v>5.9399999999999995</v>
      </c>
      <c r="I1679" s="405" t="s">
        <v>1143</v>
      </c>
      <c r="J1679" s="405"/>
      <c r="AX1679" s="117"/>
      <c r="AY1679" s="117"/>
      <c r="AZ1679" s="117"/>
      <c r="BA1679" s="117"/>
      <c r="BB1679" s="117"/>
      <c r="BC1679" s="117"/>
      <c r="BD1679" s="117"/>
    </row>
    <row r="1680" spans="1:56" ht="15">
      <c r="A1680" s="114"/>
      <c r="B1680" s="388" t="s">
        <v>1113</v>
      </c>
      <c r="C1680" s="389">
        <v>1</v>
      </c>
      <c r="D1680" s="390" t="s">
        <v>10</v>
      </c>
      <c r="E1680" s="196"/>
      <c r="F1680" s="405"/>
      <c r="G1680" s="406"/>
      <c r="H1680" s="407"/>
      <c r="I1680" s="405"/>
      <c r="J1680" s="405"/>
      <c r="AX1680" s="117"/>
      <c r="AY1680" s="117"/>
      <c r="AZ1680" s="117"/>
      <c r="BA1680" s="117"/>
      <c r="BB1680" s="117"/>
      <c r="BC1680" s="117"/>
      <c r="BD1680" s="117"/>
    </row>
    <row r="1681" spans="1:56" ht="15">
      <c r="A1681" s="114"/>
      <c r="B1681" s="388" t="s">
        <v>1117</v>
      </c>
      <c r="C1681" s="391">
        <v>2</v>
      </c>
      <c r="D1681" s="390" t="s">
        <v>1118</v>
      </c>
      <c r="E1681" s="196"/>
      <c r="F1681" s="405"/>
      <c r="G1681" s="406"/>
      <c r="H1681" s="407"/>
      <c r="I1681" s="405"/>
      <c r="J1681" s="405"/>
      <c r="AX1681" s="117"/>
      <c r="AY1681" s="117"/>
      <c r="AZ1681" s="117"/>
      <c r="BA1681" s="117"/>
      <c r="BB1681" s="117"/>
      <c r="BC1681" s="117"/>
      <c r="BD1681" s="117"/>
    </row>
    <row r="1682" spans="1:56" ht="15">
      <c r="A1682" s="114"/>
      <c r="B1682" s="196" t="s">
        <v>1148</v>
      </c>
      <c r="C1682" s="393"/>
      <c r="D1682" s="196"/>
      <c r="E1682" s="196"/>
      <c r="F1682" s="405"/>
      <c r="G1682" s="406"/>
      <c r="H1682" s="407"/>
      <c r="I1682" s="405"/>
      <c r="J1682" s="405"/>
      <c r="AX1682" s="117"/>
      <c r="AY1682" s="117"/>
      <c r="AZ1682" s="117"/>
      <c r="BA1682" s="117"/>
      <c r="BB1682" s="117"/>
      <c r="BC1682" s="117"/>
      <c r="BD1682" s="117"/>
    </row>
    <row r="1683" spans="1:56" ht="15">
      <c r="A1683" s="114"/>
      <c r="B1683" s="388" t="s">
        <v>1149</v>
      </c>
      <c r="C1683" s="389">
        <v>60</v>
      </c>
      <c r="D1683" s="390" t="s">
        <v>1150</v>
      </c>
      <c r="E1683" s="196"/>
      <c r="F1683" s="196"/>
      <c r="G1683" s="392"/>
      <c r="H1683" s="393"/>
      <c r="I1683" s="196"/>
      <c r="J1683" s="196"/>
      <c r="AX1683" s="117"/>
      <c r="AY1683" s="117"/>
      <c r="AZ1683" s="117"/>
      <c r="BA1683" s="117"/>
      <c r="BB1683" s="117"/>
      <c r="BC1683" s="117"/>
      <c r="BD1683" s="117"/>
    </row>
    <row r="1684" spans="1:56" ht="15">
      <c r="A1684" s="114"/>
      <c r="B1684" s="362"/>
      <c r="C1684" s="196"/>
      <c r="D1684" s="196"/>
      <c r="E1684" s="196"/>
      <c r="F1684" s="196"/>
      <c r="G1684" s="362"/>
      <c r="H1684" s="362"/>
      <c r="I1684" s="362"/>
      <c r="J1684" s="196"/>
      <c r="AX1684" s="117"/>
      <c r="AY1684" s="117"/>
      <c r="AZ1684" s="117"/>
      <c r="BA1684" s="117"/>
      <c r="BB1684" s="117"/>
      <c r="BC1684" s="117"/>
      <c r="BD1684" s="117"/>
    </row>
    <row r="1685" spans="1:56" ht="15">
      <c r="A1685" s="114"/>
      <c r="B1685" s="388" t="s">
        <v>1114</v>
      </c>
      <c r="C1685" s="389">
        <v>0.5</v>
      </c>
      <c r="D1685" s="390" t="s">
        <v>10</v>
      </c>
      <c r="E1685" s="288" t="s">
        <v>1120</v>
      </c>
      <c r="F1685" s="196"/>
      <c r="G1685" s="362"/>
      <c r="H1685" s="362"/>
      <c r="I1685" s="362"/>
      <c r="J1685" s="196"/>
      <c r="AX1685" s="117"/>
      <c r="AY1685" s="117"/>
      <c r="AZ1685" s="117"/>
      <c r="BA1685" s="117"/>
      <c r="BB1685" s="117"/>
      <c r="BC1685" s="117"/>
      <c r="BD1685" s="117"/>
    </row>
    <row r="1686" spans="1:56" ht="15">
      <c r="A1686" s="114"/>
      <c r="B1686" s="388" t="s">
        <v>1114</v>
      </c>
      <c r="C1686" s="389">
        <v>0.1</v>
      </c>
      <c r="D1686" s="390" t="s">
        <v>10</v>
      </c>
      <c r="E1686" s="288" t="s">
        <v>1121</v>
      </c>
      <c r="F1686" s="196"/>
      <c r="G1686" s="362"/>
      <c r="H1686" s="362"/>
      <c r="I1686" s="362"/>
      <c r="J1686" s="196"/>
      <c r="AX1686" s="117"/>
      <c r="AY1686" s="117"/>
      <c r="AZ1686" s="117"/>
      <c r="BA1686" s="117"/>
      <c r="BB1686" s="117"/>
      <c r="BC1686" s="117"/>
      <c r="BD1686" s="117"/>
    </row>
    <row r="1687" spans="1:56" ht="15">
      <c r="A1687" s="114"/>
      <c r="B1687" s="362"/>
      <c r="C1687" s="362"/>
      <c r="D1687" s="362"/>
      <c r="E1687" s="362"/>
      <c r="F1687" s="362"/>
      <c r="G1687" s="114"/>
      <c r="H1687" s="362"/>
      <c r="I1687" s="196"/>
      <c r="J1687" s="196"/>
      <c r="AX1687" s="117"/>
      <c r="AY1687" s="117"/>
      <c r="AZ1687" s="117"/>
      <c r="BA1687" s="117"/>
      <c r="BB1687" s="117"/>
      <c r="BC1687" s="117"/>
      <c r="BD1687" s="117"/>
    </row>
    <row r="1688" spans="1:56" ht="15">
      <c r="A1688" s="114"/>
      <c r="B1688" s="303" t="s">
        <v>1122</v>
      </c>
      <c r="C1688" s="362"/>
      <c r="D1688" s="362"/>
      <c r="E1688" s="362"/>
      <c r="F1688" s="362"/>
      <c r="G1688" s="196"/>
      <c r="H1688" s="196" t="s">
        <v>1131</v>
      </c>
      <c r="I1688" s="196"/>
      <c r="J1688" s="196"/>
      <c r="AX1688" s="117"/>
      <c r="AY1688" s="117"/>
      <c r="AZ1688" s="117"/>
      <c r="BA1688" s="117"/>
      <c r="BB1688" s="117"/>
      <c r="BC1688" s="117"/>
      <c r="BD1688" s="117"/>
    </row>
    <row r="1689" spans="1:56" ht="18">
      <c r="A1689" s="114"/>
      <c r="B1689" s="398" t="s">
        <v>1123</v>
      </c>
      <c r="C1689" s="172"/>
      <c r="D1689" s="173"/>
      <c r="E1689" s="397">
        <f>C1681*((H1679+H1678)/2)*(C1679+C1680+0.05)</f>
        <v>116.49692745827291</v>
      </c>
      <c r="F1689" s="390" t="s">
        <v>1124</v>
      </c>
      <c r="G1689" s="196"/>
      <c r="H1689" s="362"/>
      <c r="I1689" s="362"/>
      <c r="J1689" s="362"/>
      <c r="AX1689" s="117"/>
      <c r="AY1689" s="117"/>
      <c r="AZ1689" s="117"/>
      <c r="BA1689" s="117"/>
      <c r="BB1689" s="117"/>
      <c r="BC1689" s="117"/>
      <c r="BD1689" s="117"/>
    </row>
    <row r="1690" spans="1:56" ht="18">
      <c r="A1690" s="114"/>
      <c r="B1690" s="398" t="s">
        <v>1125</v>
      </c>
      <c r="C1690" s="172"/>
      <c r="D1690" s="173"/>
      <c r="E1690" s="400">
        <f>E1689-C1681*(C1677*C1678*C1680+C1677*C1678*0.05+C1676*C1679)</f>
        <v>111.89292745827291</v>
      </c>
      <c r="F1690" s="390" t="s">
        <v>1124</v>
      </c>
      <c r="G1690" s="114"/>
      <c r="H1690" s="114"/>
      <c r="I1690" s="114"/>
      <c r="J1690" s="196"/>
      <c r="AX1690" s="117"/>
      <c r="AY1690" s="117"/>
      <c r="AZ1690" s="117"/>
      <c r="BA1690" s="117"/>
      <c r="BB1690" s="117"/>
      <c r="BC1690" s="117"/>
      <c r="BD1690" s="117"/>
    </row>
    <row r="1691" spans="1:56" ht="15">
      <c r="A1691" s="114"/>
      <c r="B1691" s="398" t="s">
        <v>1126</v>
      </c>
      <c r="C1691" s="172"/>
      <c r="D1691" s="173"/>
      <c r="E1691" s="400">
        <f>((C1677+2*C1686)*(C1678+2*C1686))*C1681</f>
        <v>5</v>
      </c>
      <c r="F1691" s="390" t="s">
        <v>13</v>
      </c>
      <c r="G1691" s="114"/>
      <c r="H1691" s="114"/>
      <c r="I1691" s="114"/>
      <c r="J1691" s="362"/>
      <c r="AX1691" s="117"/>
      <c r="AY1691" s="117"/>
      <c r="AZ1691" s="117"/>
      <c r="BA1691" s="117"/>
      <c r="BB1691" s="117"/>
      <c r="BC1691" s="117"/>
      <c r="BD1691" s="117"/>
    </row>
    <row r="1692" spans="1:56" ht="15">
      <c r="A1692" s="114"/>
      <c r="B1692" s="362"/>
      <c r="C1692" s="362"/>
      <c r="D1692" s="362"/>
      <c r="E1692" s="401"/>
      <c r="F1692" s="196"/>
      <c r="G1692" s="114"/>
      <c r="H1692" s="114"/>
      <c r="I1692" s="114"/>
      <c r="J1692" s="362"/>
      <c r="AX1692" s="117"/>
      <c r="AY1692" s="117"/>
      <c r="AZ1692" s="117"/>
      <c r="BA1692" s="117"/>
      <c r="BB1692" s="117"/>
      <c r="BC1692" s="117"/>
      <c r="BD1692" s="117"/>
    </row>
    <row r="1693" spans="1:56" ht="15">
      <c r="A1693" s="114"/>
      <c r="B1693" s="303" t="s">
        <v>1162</v>
      </c>
      <c r="C1693" s="362"/>
      <c r="D1693" s="362"/>
      <c r="E1693" s="410"/>
      <c r="F1693" s="362"/>
      <c r="G1693" s="114"/>
      <c r="H1693" s="114"/>
      <c r="I1693" s="114"/>
      <c r="J1693" s="362"/>
      <c r="AX1693" s="117"/>
      <c r="AY1693" s="117"/>
      <c r="AZ1693" s="117"/>
      <c r="BA1693" s="117"/>
      <c r="BB1693" s="117"/>
      <c r="BC1693" s="117"/>
      <c r="BD1693" s="117"/>
    </row>
    <row r="1694" spans="1:56" ht="15">
      <c r="A1694" s="114"/>
      <c r="B1694" s="398" t="s">
        <v>1152</v>
      </c>
      <c r="C1694" s="398"/>
      <c r="D1694" s="366"/>
      <c r="E1694" s="411">
        <v>2</v>
      </c>
      <c r="F1694" s="390" t="s">
        <v>1153</v>
      </c>
      <c r="G1694" s="114"/>
      <c r="H1694" s="114"/>
      <c r="I1694" s="114"/>
      <c r="J1694" s="362"/>
      <c r="AX1694" s="117"/>
      <c r="AY1694" s="117"/>
      <c r="AZ1694" s="117"/>
      <c r="BA1694" s="117"/>
      <c r="BB1694" s="117"/>
      <c r="BC1694" s="117"/>
      <c r="BD1694" s="117"/>
    </row>
    <row r="1695" spans="1:56" ht="15">
      <c r="A1695" s="114"/>
      <c r="B1695" s="399" t="s">
        <v>1154</v>
      </c>
      <c r="C1695" s="31"/>
      <c r="D1695" s="32"/>
      <c r="E1695" s="412">
        <f>C1681*E1694</f>
        <v>4</v>
      </c>
      <c r="F1695" s="390" t="s">
        <v>1153</v>
      </c>
      <c r="G1695" s="114"/>
      <c r="H1695" s="114"/>
      <c r="I1695" s="114"/>
      <c r="J1695" s="362"/>
      <c r="AX1695" s="117"/>
      <c r="AY1695" s="117"/>
      <c r="AZ1695" s="117"/>
      <c r="BA1695" s="117"/>
      <c r="BB1695" s="117"/>
      <c r="BC1695" s="117"/>
      <c r="BD1695" s="117"/>
    </row>
    <row r="1696" spans="1:56" ht="15">
      <c r="A1696" s="114"/>
      <c r="B1696" s="398" t="s">
        <v>1155</v>
      </c>
      <c r="C1696" s="21"/>
      <c r="D1696" s="413"/>
      <c r="E1696" s="411">
        <v>350</v>
      </c>
      <c r="F1696" s="390" t="s">
        <v>1156</v>
      </c>
      <c r="G1696" s="114"/>
      <c r="H1696" s="114"/>
      <c r="I1696" s="114"/>
      <c r="J1696" s="415"/>
      <c r="AX1696" s="117"/>
      <c r="AY1696" s="117"/>
      <c r="AZ1696" s="117"/>
      <c r="BA1696" s="117"/>
      <c r="BB1696" s="117"/>
      <c r="BC1696" s="117"/>
      <c r="BD1696" s="117"/>
    </row>
    <row r="1697" spans="1:56" ht="15">
      <c r="A1697" s="114"/>
      <c r="B1697" s="398" t="s">
        <v>1157</v>
      </c>
      <c r="C1697" s="21"/>
      <c r="D1697" s="413"/>
      <c r="E1697" s="418">
        <v>13</v>
      </c>
      <c r="F1697" s="390" t="s">
        <v>10</v>
      </c>
      <c r="G1697" s="114"/>
      <c r="H1697" s="114"/>
      <c r="I1697" s="114"/>
      <c r="J1697" s="362"/>
      <c r="AX1697" s="117"/>
      <c r="AY1697" s="117"/>
      <c r="AZ1697" s="117"/>
      <c r="BA1697" s="117"/>
      <c r="BB1697" s="117"/>
      <c r="BC1697" s="117"/>
      <c r="BD1697" s="117"/>
    </row>
    <row r="1698" spans="1:56" ht="15">
      <c r="A1698" s="114"/>
      <c r="B1698" s="398" t="s">
        <v>1158</v>
      </c>
      <c r="C1698" s="21"/>
      <c r="D1698" s="413"/>
      <c r="E1698" s="412">
        <f>E1695*E1697</f>
        <v>52</v>
      </c>
      <c r="F1698" s="390" t="s">
        <v>10</v>
      </c>
      <c r="G1698" s="114"/>
      <c r="H1698" s="114"/>
      <c r="I1698" s="114"/>
      <c r="J1698" s="362"/>
      <c r="AX1698" s="117"/>
      <c r="AY1698" s="117"/>
      <c r="AZ1698" s="117"/>
      <c r="BA1698" s="117"/>
      <c r="BB1698" s="117"/>
      <c r="BC1698" s="117"/>
      <c r="BD1698" s="117"/>
    </row>
    <row r="1699" spans="1:56" ht="15">
      <c r="A1699" s="114"/>
      <c r="B1699" s="362"/>
      <c r="C1699" s="362"/>
      <c r="D1699" s="362"/>
      <c r="E1699" s="410"/>
      <c r="F1699" s="362"/>
      <c r="G1699" s="114"/>
      <c r="H1699" s="114"/>
      <c r="I1699" s="114"/>
      <c r="J1699" s="362"/>
      <c r="AX1699" s="117"/>
      <c r="AY1699" s="117"/>
      <c r="AZ1699" s="117"/>
      <c r="BA1699" s="117"/>
      <c r="BB1699" s="117"/>
      <c r="BC1699" s="117"/>
      <c r="BD1699" s="117"/>
    </row>
    <row r="1700" spans="1:56" ht="15">
      <c r="A1700" s="114"/>
      <c r="B1700" s="303" t="s">
        <v>1160</v>
      </c>
      <c r="C1700" s="362"/>
      <c r="D1700" s="362"/>
      <c r="E1700" s="410"/>
      <c r="F1700" s="362"/>
      <c r="G1700" s="114"/>
      <c r="H1700" s="114"/>
      <c r="I1700" s="114"/>
      <c r="J1700" s="362"/>
      <c r="AX1700" s="117"/>
      <c r="AY1700" s="117"/>
      <c r="AZ1700" s="117"/>
      <c r="BA1700" s="117"/>
      <c r="BB1700" s="117"/>
      <c r="BC1700" s="117"/>
      <c r="BD1700" s="117"/>
    </row>
    <row r="1701" spans="1:56" ht="18">
      <c r="A1701" s="114"/>
      <c r="B1701" s="398" t="s">
        <v>1128</v>
      </c>
      <c r="C1701" s="172"/>
      <c r="D1701" s="173"/>
      <c r="E1701" s="402">
        <f>E1691*0.05</f>
        <v>0.25</v>
      </c>
      <c r="F1701" s="390" t="s">
        <v>1124</v>
      </c>
      <c r="G1701" s="114"/>
      <c r="H1701" s="114"/>
      <c r="I1701" s="114"/>
      <c r="J1701" s="362"/>
      <c r="AX1701" s="117"/>
      <c r="AY1701" s="117"/>
      <c r="AZ1701" s="117"/>
      <c r="BA1701" s="117"/>
      <c r="BB1701" s="117"/>
      <c r="BC1701" s="117"/>
      <c r="BD1701" s="117"/>
    </row>
    <row r="1702" spans="1:56">
      <c r="A1702" s="114"/>
      <c r="B1702" s="398" t="s">
        <v>1129</v>
      </c>
      <c r="C1702" s="172"/>
      <c r="D1702" s="173"/>
      <c r="E1702" s="397">
        <f>(2*(C1677+C1678)*C1680)*C1681</f>
        <v>12.399999999999999</v>
      </c>
      <c r="F1702" s="390" t="s">
        <v>13</v>
      </c>
      <c r="G1702" s="115"/>
      <c r="H1702" s="115"/>
      <c r="I1702" s="115"/>
      <c r="J1702" s="362"/>
      <c r="AX1702" s="117"/>
      <c r="AY1702" s="117"/>
      <c r="AZ1702" s="117"/>
      <c r="BA1702" s="117"/>
      <c r="BB1702" s="117"/>
      <c r="BC1702" s="117"/>
      <c r="BD1702" s="117"/>
    </row>
    <row r="1703" spans="1:56" ht="18">
      <c r="A1703" s="114"/>
      <c r="B1703" s="398" t="s">
        <v>1130</v>
      </c>
      <c r="C1703" s="172"/>
      <c r="D1703" s="173"/>
      <c r="E1703" s="402">
        <f>(C1677*C1678*C1680)*C1681</f>
        <v>3.6799999999999997</v>
      </c>
      <c r="F1703" s="390" t="s">
        <v>1124</v>
      </c>
      <c r="G1703" s="115"/>
      <c r="H1703" s="115"/>
      <c r="I1703" s="115"/>
      <c r="J1703" s="362"/>
      <c r="AX1703" s="117"/>
      <c r="AY1703" s="117"/>
      <c r="AZ1703" s="117"/>
      <c r="BA1703" s="117"/>
      <c r="BB1703" s="117"/>
      <c r="BC1703" s="117"/>
      <c r="BD1703" s="117"/>
    </row>
    <row r="1704" spans="1:56">
      <c r="A1704" s="114"/>
      <c r="B1704" s="114"/>
      <c r="C1704" s="114"/>
      <c r="D1704" s="114"/>
      <c r="E1704" s="114"/>
      <c r="F1704" s="114"/>
      <c r="G1704" s="115"/>
      <c r="H1704" s="115"/>
      <c r="I1704" s="115"/>
      <c r="J1704" s="114"/>
      <c r="AW1704" s="117"/>
      <c r="AX1704" s="117"/>
      <c r="AY1704" s="117"/>
      <c r="AZ1704" s="117"/>
      <c r="BA1704" s="117"/>
      <c r="BB1704" s="117"/>
      <c r="BC1704" s="117"/>
      <c r="BD1704" s="117"/>
    </row>
    <row r="1705" spans="1:56">
      <c r="A1705" s="114"/>
      <c r="B1705" s="114"/>
      <c r="C1705" s="114"/>
      <c r="D1705" s="114"/>
      <c r="E1705" s="114"/>
      <c r="F1705" s="114"/>
      <c r="G1705" s="115"/>
      <c r="H1705" s="115"/>
      <c r="I1705" s="115"/>
      <c r="J1705" s="114"/>
      <c r="AW1705" s="117"/>
      <c r="AX1705" s="117"/>
      <c r="AY1705" s="117"/>
      <c r="AZ1705" s="117"/>
      <c r="BA1705" s="117"/>
      <c r="BB1705" s="117"/>
      <c r="BC1705" s="117"/>
      <c r="BD1705" s="117"/>
    </row>
    <row r="1706" spans="1:56">
      <c r="A1706" s="114"/>
      <c r="B1706" s="385" t="s">
        <v>1171</v>
      </c>
      <c r="C1706" s="196"/>
      <c r="D1706" s="196"/>
      <c r="E1706" s="196"/>
      <c r="F1706" s="196"/>
      <c r="G1706" s="114"/>
      <c r="H1706" s="114"/>
      <c r="I1706" s="114"/>
      <c r="J1706" s="196"/>
      <c r="AX1706" s="117"/>
      <c r="AY1706" s="117"/>
      <c r="AZ1706" s="117"/>
      <c r="BA1706" s="117"/>
      <c r="BB1706" s="117"/>
      <c r="BC1706" s="117"/>
      <c r="BD1706" s="117"/>
    </row>
    <row r="1707" spans="1:56" ht="15">
      <c r="A1707" s="114"/>
      <c r="B1707" s="362"/>
      <c r="C1707" s="362"/>
      <c r="D1707" s="362"/>
      <c r="E1707" s="362"/>
      <c r="F1707" s="404"/>
      <c r="G1707" s="114"/>
      <c r="H1707" s="114"/>
      <c r="I1707" s="114"/>
      <c r="J1707" s="404"/>
      <c r="AX1707" s="117"/>
      <c r="AY1707" s="117"/>
      <c r="AZ1707" s="117"/>
      <c r="BA1707" s="117"/>
      <c r="BB1707" s="117"/>
      <c r="BC1707" s="117"/>
      <c r="BD1707" s="117"/>
    </row>
    <row r="1708" spans="1:56" ht="15">
      <c r="A1708" s="114"/>
      <c r="B1708" s="388" t="s">
        <v>1169</v>
      </c>
      <c r="C1708" s="389">
        <v>0.32</v>
      </c>
      <c r="D1708" s="390" t="s">
        <v>13</v>
      </c>
      <c r="E1708" s="196"/>
      <c r="F1708" s="405"/>
      <c r="G1708" s="114"/>
      <c r="H1708" s="114"/>
      <c r="I1708" s="114"/>
      <c r="J1708" s="405"/>
      <c r="AX1708" s="117"/>
      <c r="AY1708" s="117"/>
      <c r="AZ1708" s="117"/>
      <c r="BA1708" s="117"/>
      <c r="BB1708" s="117"/>
      <c r="BC1708" s="117"/>
      <c r="BD1708" s="117"/>
    </row>
    <row r="1709" spans="1:56" ht="15">
      <c r="A1709" s="114"/>
      <c r="B1709" s="388" t="s">
        <v>1110</v>
      </c>
      <c r="C1709" s="389">
        <v>2.2999999999999998</v>
      </c>
      <c r="D1709" s="390" t="s">
        <v>10</v>
      </c>
      <c r="E1709" s="196"/>
      <c r="F1709" s="405"/>
      <c r="G1709" s="114"/>
      <c r="H1709" s="114"/>
      <c r="I1709" s="114"/>
      <c r="J1709" s="405"/>
      <c r="AX1709" s="117"/>
      <c r="AY1709" s="117"/>
      <c r="AZ1709" s="117"/>
      <c r="BA1709" s="117"/>
      <c r="BB1709" s="117"/>
      <c r="BC1709" s="117"/>
      <c r="BD1709" s="117"/>
    </row>
    <row r="1710" spans="1:56" ht="15">
      <c r="A1710" s="114"/>
      <c r="B1710" s="388" t="s">
        <v>1111</v>
      </c>
      <c r="C1710" s="389">
        <v>0.8</v>
      </c>
      <c r="D1710" s="390" t="s">
        <v>10</v>
      </c>
      <c r="E1710" s="196"/>
      <c r="F1710" s="405"/>
      <c r="G1710" s="114"/>
      <c r="H1710" s="114"/>
      <c r="I1710" s="386"/>
      <c r="J1710" s="405"/>
      <c r="AX1710" s="117"/>
      <c r="AY1710" s="117"/>
      <c r="AZ1710" s="117"/>
      <c r="BA1710" s="117"/>
      <c r="BB1710" s="117"/>
      <c r="BC1710" s="117"/>
      <c r="BD1710" s="117"/>
    </row>
    <row r="1711" spans="1:56" ht="15">
      <c r="A1711" s="114"/>
      <c r="B1711" s="388" t="s">
        <v>1112</v>
      </c>
      <c r="C1711" s="389">
        <v>1.85</v>
      </c>
      <c r="D1711" s="390" t="s">
        <v>10</v>
      </c>
      <c r="E1711" s="196"/>
      <c r="F1711" s="405"/>
      <c r="G1711" s="196"/>
      <c r="H1711" s="196"/>
      <c r="I1711" s="196"/>
      <c r="J1711" s="405"/>
      <c r="AX1711" s="117"/>
      <c r="AY1711" s="117"/>
      <c r="AZ1711" s="117"/>
      <c r="BA1711" s="117"/>
      <c r="BB1711" s="117"/>
      <c r="BC1711" s="117"/>
      <c r="BD1711" s="117"/>
    </row>
    <row r="1712" spans="1:56" ht="15">
      <c r="A1712" s="114"/>
      <c r="B1712" s="388" t="s">
        <v>1113</v>
      </c>
      <c r="C1712" s="389">
        <v>1</v>
      </c>
      <c r="D1712" s="390" t="s">
        <v>10</v>
      </c>
      <c r="E1712" s="196"/>
      <c r="F1712" s="405"/>
      <c r="G1712" s="404"/>
      <c r="H1712" s="404"/>
      <c r="I1712" s="404"/>
      <c r="J1712" s="405"/>
      <c r="AX1712" s="117"/>
      <c r="AY1712" s="117"/>
      <c r="AZ1712" s="117"/>
      <c r="BA1712" s="117"/>
      <c r="BB1712" s="117"/>
      <c r="BC1712" s="117"/>
      <c r="BD1712" s="117"/>
    </row>
    <row r="1713" spans="1:56" ht="18">
      <c r="A1713" s="114"/>
      <c r="B1713" s="388" t="s">
        <v>1117</v>
      </c>
      <c r="C1713" s="391">
        <v>1</v>
      </c>
      <c r="D1713" s="390" t="s">
        <v>1118</v>
      </c>
      <c r="E1713" s="196"/>
      <c r="F1713" s="405"/>
      <c r="G1713" s="406" t="s">
        <v>1142</v>
      </c>
      <c r="H1713" s="407">
        <f>C1708</f>
        <v>0.32</v>
      </c>
      <c r="I1713" s="405" t="s">
        <v>1143</v>
      </c>
      <c r="J1713" s="405"/>
      <c r="AX1713" s="117"/>
      <c r="AY1713" s="117"/>
      <c r="AZ1713" s="117"/>
      <c r="BA1713" s="117"/>
      <c r="BB1713" s="117"/>
      <c r="BC1713" s="117"/>
      <c r="BD1713" s="117"/>
    </row>
    <row r="1714" spans="1:56" ht="15">
      <c r="A1714" s="114"/>
      <c r="B1714" s="196" t="s">
        <v>1148</v>
      </c>
      <c r="C1714" s="393"/>
      <c r="D1714" s="196"/>
      <c r="E1714" s="196"/>
      <c r="F1714" s="405"/>
      <c r="G1714" s="406" t="e">
        <f>TEXT(C1715,"tg 0°=")</f>
        <v>#VALUE!</v>
      </c>
      <c r="H1714" s="408">
        <f>TAN(3.14159265359*C1715/180)</f>
        <v>1.732050807569153</v>
      </c>
      <c r="I1714" s="405"/>
      <c r="J1714" s="405"/>
      <c r="AX1714" s="117"/>
      <c r="AY1714" s="117"/>
      <c r="AZ1714" s="117"/>
      <c r="BA1714" s="117"/>
      <c r="BB1714" s="117"/>
      <c r="BC1714" s="117"/>
      <c r="BD1714" s="117"/>
    </row>
    <row r="1715" spans="1:56" ht="15">
      <c r="A1715" s="114"/>
      <c r="B1715" s="388" t="s">
        <v>1149</v>
      </c>
      <c r="C1715" s="389">
        <v>60</v>
      </c>
      <c r="D1715" s="390" t="s">
        <v>1150</v>
      </c>
      <c r="E1715" s="196"/>
      <c r="F1715" s="196"/>
      <c r="G1715" s="406"/>
      <c r="H1715" s="407"/>
      <c r="I1715" s="405"/>
      <c r="J1715" s="196"/>
      <c r="AX1715" s="117"/>
      <c r="AY1715" s="117"/>
      <c r="AZ1715" s="117"/>
      <c r="BA1715" s="117"/>
      <c r="BB1715" s="117"/>
      <c r="BC1715" s="117"/>
      <c r="BD1715" s="117"/>
    </row>
    <row r="1716" spans="1:56" ht="18">
      <c r="A1716" s="114"/>
      <c r="B1716" s="362"/>
      <c r="C1716" s="196"/>
      <c r="D1716" s="196"/>
      <c r="E1716" s="196"/>
      <c r="F1716" s="196"/>
      <c r="G1716" s="406" t="s">
        <v>1142</v>
      </c>
      <c r="H1716" s="409">
        <f>(C1709+2*C1717+((C1711+C1712+0.05)/H1714)*2)*(C1710+2*C1717+((C1711+C1712+0.05)/H1714)*2)</f>
        <v>34.23135429595618</v>
      </c>
      <c r="I1716" s="405" t="s">
        <v>1143</v>
      </c>
      <c r="J1716" s="196"/>
      <c r="AX1716" s="117"/>
      <c r="AY1716" s="117"/>
      <c r="AZ1716" s="117"/>
      <c r="BA1716" s="117"/>
      <c r="BB1716" s="117"/>
      <c r="BC1716" s="117"/>
      <c r="BD1716" s="117"/>
    </row>
    <row r="1717" spans="1:56" ht="18">
      <c r="A1717" s="114"/>
      <c r="B1717" s="388" t="s">
        <v>1114</v>
      </c>
      <c r="C1717" s="389">
        <v>0.5</v>
      </c>
      <c r="D1717" s="390" t="s">
        <v>10</v>
      </c>
      <c r="E1717" s="288" t="s">
        <v>1120</v>
      </c>
      <c r="F1717" s="196"/>
      <c r="G1717" s="406" t="s">
        <v>1147</v>
      </c>
      <c r="H1717" s="409">
        <f>(C1709+2*C1717)*(C1710+2*C1717)</f>
        <v>5.9399999999999995</v>
      </c>
      <c r="I1717" s="405" t="s">
        <v>1143</v>
      </c>
      <c r="J1717" s="196"/>
      <c r="AX1717" s="117"/>
      <c r="AY1717" s="117"/>
      <c r="AZ1717" s="117"/>
      <c r="BA1717" s="117"/>
      <c r="BB1717" s="117"/>
      <c r="BC1717" s="117"/>
      <c r="BD1717" s="117"/>
    </row>
    <row r="1718" spans="1:56" ht="15">
      <c r="A1718" s="114"/>
      <c r="B1718" s="388" t="s">
        <v>1114</v>
      </c>
      <c r="C1718" s="389">
        <v>0.1</v>
      </c>
      <c r="D1718" s="390" t="s">
        <v>10</v>
      </c>
      <c r="E1718" s="288" t="s">
        <v>1121</v>
      </c>
      <c r="F1718" s="196"/>
      <c r="G1718" s="406"/>
      <c r="H1718" s="407"/>
      <c r="I1718" s="405"/>
      <c r="J1718" s="196"/>
      <c r="AX1718" s="117"/>
      <c r="AY1718" s="117"/>
      <c r="AZ1718" s="117"/>
      <c r="BA1718" s="117"/>
      <c r="BB1718" s="117"/>
      <c r="BC1718" s="117"/>
      <c r="BD1718" s="117"/>
    </row>
    <row r="1719" spans="1:56" ht="15">
      <c r="A1719" s="114"/>
      <c r="B1719" s="362"/>
      <c r="C1719" s="362"/>
      <c r="D1719" s="362"/>
      <c r="E1719" s="362"/>
      <c r="F1719" s="362"/>
      <c r="G1719" s="406"/>
      <c r="H1719" s="407"/>
      <c r="I1719" s="405"/>
      <c r="J1719" s="196"/>
      <c r="AX1719" s="117"/>
      <c r="AY1719" s="117"/>
      <c r="AZ1719" s="117"/>
      <c r="BA1719" s="117"/>
      <c r="BB1719" s="117"/>
      <c r="BC1719" s="117"/>
      <c r="BD1719" s="117"/>
    </row>
    <row r="1720" spans="1:56" ht="15">
      <c r="A1720" s="114"/>
      <c r="B1720" s="303" t="s">
        <v>1122</v>
      </c>
      <c r="C1720" s="362"/>
      <c r="D1720" s="362"/>
      <c r="E1720" s="362"/>
      <c r="F1720" s="362"/>
      <c r="G1720" s="406"/>
      <c r="H1720" s="407"/>
      <c r="I1720" s="405"/>
      <c r="J1720" s="196"/>
      <c r="AX1720" s="117"/>
      <c r="AY1720" s="117"/>
      <c r="AZ1720" s="117"/>
      <c r="BA1720" s="117"/>
      <c r="BB1720" s="117"/>
      <c r="BC1720" s="117"/>
      <c r="BD1720" s="117"/>
    </row>
    <row r="1721" spans="1:56" ht="18">
      <c r="A1721" s="114"/>
      <c r="B1721" s="398" t="s">
        <v>1123</v>
      </c>
      <c r="C1721" s="172"/>
      <c r="D1721" s="173"/>
      <c r="E1721" s="397">
        <f>C1713*((H1717+H1716)/2)*(C1711+C1712+0.05)</f>
        <v>58.248463729136454</v>
      </c>
      <c r="F1721" s="390" t="s">
        <v>1124</v>
      </c>
      <c r="G1721" s="392"/>
      <c r="H1721" s="393"/>
      <c r="I1721" s="196"/>
      <c r="J1721" s="362"/>
      <c r="AX1721" s="117"/>
      <c r="AY1721" s="117"/>
      <c r="AZ1721" s="117"/>
      <c r="BA1721" s="117"/>
      <c r="BB1721" s="117"/>
      <c r="BC1721" s="117"/>
      <c r="BD1721" s="117"/>
    </row>
    <row r="1722" spans="1:56" ht="18">
      <c r="A1722" s="114"/>
      <c r="B1722" s="398" t="s">
        <v>1125</v>
      </c>
      <c r="C1722" s="172"/>
      <c r="D1722" s="173"/>
      <c r="E1722" s="400">
        <f>E1721-C1713*(C1709*C1710*C1712+C1709*C1710*0.05+C1708*C1711)</f>
        <v>55.724463729136453</v>
      </c>
      <c r="F1722" s="390" t="s">
        <v>1124</v>
      </c>
      <c r="G1722" s="362"/>
      <c r="H1722" s="362"/>
      <c r="I1722" s="362"/>
      <c r="J1722" s="196"/>
      <c r="AX1722" s="117"/>
      <c r="AY1722" s="117"/>
      <c r="AZ1722" s="117"/>
      <c r="BA1722" s="117"/>
      <c r="BB1722" s="117"/>
      <c r="BC1722" s="117"/>
      <c r="BD1722" s="117"/>
    </row>
    <row r="1723" spans="1:56" ht="15">
      <c r="A1723" s="114"/>
      <c r="B1723" s="398" t="s">
        <v>1126</v>
      </c>
      <c r="C1723" s="172"/>
      <c r="D1723" s="173"/>
      <c r="E1723" s="400">
        <f>((C1709+2*C1718)*(C1710+2*C1718))*C1713</f>
        <v>2.5</v>
      </c>
      <c r="F1723" s="390" t="s">
        <v>13</v>
      </c>
      <c r="G1723" s="362"/>
      <c r="H1723" s="362"/>
      <c r="I1723" s="362"/>
      <c r="J1723" s="362"/>
      <c r="AX1723" s="117"/>
      <c r="AY1723" s="117"/>
      <c r="AZ1723" s="117"/>
      <c r="BA1723" s="117"/>
      <c r="BB1723" s="117"/>
      <c r="BC1723" s="117"/>
      <c r="BD1723" s="117"/>
    </row>
    <row r="1724" spans="1:56" ht="15">
      <c r="A1724" s="114"/>
      <c r="B1724" s="362"/>
      <c r="C1724" s="362"/>
      <c r="D1724" s="362"/>
      <c r="E1724" s="401"/>
      <c r="F1724" s="196"/>
      <c r="G1724" s="362"/>
      <c r="H1724" s="362"/>
      <c r="I1724" s="362"/>
      <c r="J1724" s="362"/>
      <c r="AX1724" s="117"/>
      <c r="AY1724" s="117"/>
      <c r="AZ1724" s="117"/>
      <c r="BA1724" s="117"/>
      <c r="BB1724" s="117"/>
      <c r="BC1724" s="117"/>
      <c r="BD1724" s="117"/>
    </row>
    <row r="1725" spans="1:56" ht="15">
      <c r="A1725" s="114"/>
      <c r="B1725" s="303" t="s">
        <v>1162</v>
      </c>
      <c r="C1725" s="362"/>
      <c r="D1725" s="362"/>
      <c r="E1725" s="410"/>
      <c r="F1725" s="362"/>
      <c r="G1725" s="114"/>
      <c r="H1725" s="362"/>
      <c r="I1725" s="196"/>
      <c r="J1725" s="362"/>
      <c r="AX1725" s="117"/>
      <c r="AY1725" s="117"/>
      <c r="AZ1725" s="117"/>
      <c r="BA1725" s="117"/>
      <c r="BB1725" s="117"/>
      <c r="BC1725" s="117"/>
      <c r="BD1725" s="117"/>
    </row>
    <row r="1726" spans="1:56" ht="15">
      <c r="A1726" s="114"/>
      <c r="B1726" s="398" t="s">
        <v>1152</v>
      </c>
      <c r="C1726" s="398"/>
      <c r="D1726" s="366"/>
      <c r="E1726" s="411">
        <v>2</v>
      </c>
      <c r="F1726" s="390" t="s">
        <v>1153</v>
      </c>
      <c r="G1726" s="196"/>
      <c r="H1726" s="196" t="s">
        <v>1131</v>
      </c>
      <c r="I1726" s="196"/>
      <c r="J1726" s="362"/>
      <c r="AX1726" s="117"/>
      <c r="AY1726" s="117"/>
      <c r="AZ1726" s="117"/>
      <c r="BA1726" s="117"/>
      <c r="BB1726" s="117"/>
      <c r="BC1726" s="117"/>
      <c r="BD1726" s="117"/>
    </row>
    <row r="1727" spans="1:56" ht="15">
      <c r="A1727" s="114"/>
      <c r="B1727" s="399" t="s">
        <v>1154</v>
      </c>
      <c r="C1727" s="31"/>
      <c r="D1727" s="32"/>
      <c r="E1727" s="412">
        <f>C1713*E1726</f>
        <v>2</v>
      </c>
      <c r="F1727" s="390" t="s">
        <v>1153</v>
      </c>
      <c r="G1727" s="114"/>
      <c r="H1727" s="114"/>
      <c r="I1727" s="114"/>
      <c r="J1727" s="362"/>
      <c r="AX1727" s="117"/>
      <c r="AY1727" s="117"/>
      <c r="AZ1727" s="117"/>
      <c r="BA1727" s="117"/>
      <c r="BB1727" s="117"/>
      <c r="BC1727" s="117"/>
      <c r="BD1727" s="117"/>
    </row>
    <row r="1728" spans="1:56" ht="15">
      <c r="A1728" s="114"/>
      <c r="B1728" s="398" t="s">
        <v>1155</v>
      </c>
      <c r="C1728" s="21"/>
      <c r="D1728" s="413"/>
      <c r="E1728" s="411">
        <v>350</v>
      </c>
      <c r="F1728" s="390" t="s">
        <v>1156</v>
      </c>
      <c r="G1728" s="114"/>
      <c r="H1728" s="114"/>
      <c r="I1728" s="114"/>
      <c r="J1728" s="415"/>
      <c r="AX1728" s="117"/>
      <c r="AY1728" s="117"/>
      <c r="AZ1728" s="117"/>
      <c r="BA1728" s="117"/>
      <c r="BB1728" s="117"/>
      <c r="BC1728" s="117"/>
      <c r="BD1728" s="117"/>
    </row>
    <row r="1729" spans="1:56" ht="15">
      <c r="A1729" s="114"/>
      <c r="B1729" s="398" t="s">
        <v>1157</v>
      </c>
      <c r="C1729" s="21"/>
      <c r="D1729" s="413"/>
      <c r="E1729" s="418">
        <v>13</v>
      </c>
      <c r="F1729" s="390" t="s">
        <v>10</v>
      </c>
      <c r="G1729" s="114"/>
      <c r="H1729" s="114"/>
      <c r="I1729" s="114"/>
      <c r="J1729" s="362"/>
      <c r="AX1729" s="117"/>
      <c r="AY1729" s="117"/>
      <c r="AZ1729" s="117"/>
      <c r="BA1729" s="117"/>
      <c r="BB1729" s="117"/>
      <c r="BC1729" s="117"/>
      <c r="BD1729" s="117"/>
    </row>
    <row r="1730" spans="1:56" ht="15">
      <c r="A1730" s="114"/>
      <c r="B1730" s="398" t="s">
        <v>1158</v>
      </c>
      <c r="C1730" s="21"/>
      <c r="D1730" s="413"/>
      <c r="E1730" s="412">
        <f>E1727*E1729</f>
        <v>26</v>
      </c>
      <c r="F1730" s="390" t="s">
        <v>10</v>
      </c>
      <c r="G1730" s="114"/>
      <c r="H1730" s="114"/>
      <c r="I1730" s="114"/>
      <c r="J1730" s="362"/>
      <c r="AX1730" s="117"/>
      <c r="AY1730" s="117"/>
      <c r="AZ1730" s="117"/>
      <c r="BA1730" s="117"/>
      <c r="BB1730" s="117"/>
      <c r="BC1730" s="117"/>
      <c r="BD1730" s="117"/>
    </row>
    <row r="1731" spans="1:56" ht="15">
      <c r="A1731" s="114"/>
      <c r="B1731" s="362"/>
      <c r="C1731" s="362"/>
      <c r="D1731" s="362"/>
      <c r="E1731" s="410"/>
      <c r="F1731" s="362"/>
      <c r="G1731" s="114"/>
      <c r="H1731" s="114"/>
      <c r="I1731" s="114"/>
      <c r="J1731" s="362"/>
      <c r="AX1731" s="117"/>
      <c r="AY1731" s="117"/>
      <c r="AZ1731" s="117"/>
      <c r="BA1731" s="117"/>
      <c r="BB1731" s="117"/>
      <c r="BC1731" s="117"/>
      <c r="BD1731" s="117"/>
    </row>
    <row r="1732" spans="1:56" ht="15">
      <c r="A1732" s="114"/>
      <c r="B1732" s="303" t="s">
        <v>1160</v>
      </c>
      <c r="C1732" s="362"/>
      <c r="D1732" s="362"/>
      <c r="E1732" s="410"/>
      <c r="F1732" s="362"/>
      <c r="G1732" s="114"/>
      <c r="H1732" s="114"/>
      <c r="I1732" s="114"/>
      <c r="J1732" s="362"/>
      <c r="AX1732" s="117"/>
      <c r="AY1732" s="117"/>
      <c r="AZ1732" s="117"/>
      <c r="BA1732" s="117"/>
      <c r="BB1732" s="117"/>
      <c r="BC1732" s="117"/>
      <c r="BD1732" s="117"/>
    </row>
    <row r="1733" spans="1:56" ht="18">
      <c r="A1733" s="114"/>
      <c r="B1733" s="398" t="s">
        <v>1128</v>
      </c>
      <c r="C1733" s="172"/>
      <c r="D1733" s="173"/>
      <c r="E1733" s="402">
        <f>E1723*0.05</f>
        <v>0.125</v>
      </c>
      <c r="F1733" s="390" t="s">
        <v>1124</v>
      </c>
      <c r="G1733" s="114"/>
      <c r="H1733" s="114"/>
      <c r="I1733" s="114"/>
      <c r="J1733" s="362"/>
      <c r="AX1733" s="117"/>
      <c r="AY1733" s="117"/>
      <c r="AZ1733" s="117"/>
      <c r="BA1733" s="117"/>
      <c r="BB1733" s="117"/>
      <c r="BC1733" s="117"/>
      <c r="BD1733" s="117"/>
    </row>
    <row r="1734" spans="1:56" ht="15">
      <c r="A1734" s="114"/>
      <c r="B1734" s="398" t="s">
        <v>1129</v>
      </c>
      <c r="C1734" s="172"/>
      <c r="D1734" s="173"/>
      <c r="E1734" s="397">
        <f>(2*(C1709+C1710)*C1712)*C1713</f>
        <v>6.1999999999999993</v>
      </c>
      <c r="F1734" s="390" t="s">
        <v>13</v>
      </c>
      <c r="G1734" s="114"/>
      <c r="H1734" s="114"/>
      <c r="I1734" s="114"/>
      <c r="J1734" s="362"/>
      <c r="AX1734" s="117"/>
      <c r="AY1734" s="117"/>
      <c r="AZ1734" s="117"/>
      <c r="BA1734" s="117"/>
      <c r="BB1734" s="117"/>
      <c r="BC1734" s="117"/>
      <c r="BD1734" s="117"/>
    </row>
    <row r="1735" spans="1:56" ht="18">
      <c r="A1735" s="114"/>
      <c r="B1735" s="398" t="s">
        <v>1130</v>
      </c>
      <c r="C1735" s="172"/>
      <c r="D1735" s="173"/>
      <c r="E1735" s="402">
        <f>(C1709*C1710*C1712)*C1713</f>
        <v>1.8399999999999999</v>
      </c>
      <c r="F1735" s="390" t="s">
        <v>1124</v>
      </c>
      <c r="G1735" s="114"/>
      <c r="H1735" s="114"/>
      <c r="I1735" s="114"/>
      <c r="J1735" s="362"/>
      <c r="AX1735" s="117"/>
      <c r="AY1735" s="117"/>
      <c r="AZ1735" s="117"/>
      <c r="BA1735" s="117"/>
      <c r="BB1735" s="117"/>
      <c r="BC1735" s="117"/>
      <c r="BD1735" s="117"/>
    </row>
    <row r="1736" spans="1:56" ht="15">
      <c r="A1736" s="114"/>
      <c r="B1736" s="114"/>
      <c r="C1736" s="114"/>
      <c r="D1736" s="114"/>
      <c r="E1736" s="114"/>
      <c r="F1736" s="114"/>
      <c r="G1736" s="114"/>
      <c r="H1736" s="114"/>
      <c r="I1736" s="114"/>
      <c r="J1736" s="114"/>
      <c r="AW1736" s="117"/>
      <c r="AX1736" s="117"/>
      <c r="AY1736" s="117"/>
      <c r="AZ1736" s="117"/>
      <c r="BA1736" s="117"/>
      <c r="BB1736" s="117"/>
      <c r="BC1736" s="117"/>
      <c r="BD1736" s="117"/>
    </row>
    <row r="1737" spans="1:56" ht="15">
      <c r="A1737" s="114"/>
      <c r="B1737" s="114"/>
      <c r="C1737" s="114"/>
      <c r="D1737" s="114"/>
      <c r="E1737" s="114"/>
      <c r="F1737" s="114"/>
      <c r="G1737" s="114"/>
      <c r="H1737" s="114"/>
      <c r="I1737" s="114"/>
      <c r="J1737" s="114"/>
      <c r="AW1737" s="117"/>
      <c r="AX1737" s="117"/>
      <c r="AY1737" s="117"/>
      <c r="AZ1737" s="117"/>
      <c r="BA1737" s="117"/>
      <c r="BB1737" s="117"/>
      <c r="BC1737" s="117"/>
      <c r="BD1737" s="117"/>
    </row>
    <row r="1738" spans="1:56">
      <c r="A1738" s="114"/>
      <c r="B1738" s="385" t="s">
        <v>1172</v>
      </c>
      <c r="C1738" s="196"/>
      <c r="D1738" s="196"/>
      <c r="E1738" s="196"/>
      <c r="F1738" s="196"/>
      <c r="G1738" s="114"/>
      <c r="H1738" s="114"/>
      <c r="I1738" s="386"/>
      <c r="J1738" s="196"/>
      <c r="AX1738" s="117"/>
      <c r="AY1738" s="117"/>
      <c r="AZ1738" s="117"/>
      <c r="BA1738" s="117"/>
      <c r="BB1738" s="117"/>
      <c r="BC1738" s="117"/>
      <c r="BD1738" s="117"/>
    </row>
    <row r="1739" spans="1:56" ht="15">
      <c r="A1739" s="114"/>
      <c r="B1739" s="362"/>
      <c r="C1739" s="362"/>
      <c r="D1739" s="362"/>
      <c r="E1739" s="362"/>
      <c r="F1739" s="404"/>
      <c r="G1739" s="196"/>
      <c r="H1739" s="196"/>
      <c r="I1739" s="196"/>
      <c r="J1739" s="404"/>
      <c r="AX1739" s="117"/>
      <c r="AY1739" s="117"/>
      <c r="AZ1739" s="117"/>
      <c r="BA1739" s="117"/>
      <c r="BB1739" s="117"/>
      <c r="BC1739" s="117"/>
      <c r="BD1739" s="117"/>
    </row>
    <row r="1740" spans="1:56" ht="15">
      <c r="A1740" s="114"/>
      <c r="B1740" s="388" t="s">
        <v>1169</v>
      </c>
      <c r="C1740" s="389">
        <v>0.28000000000000003</v>
      </c>
      <c r="D1740" s="390" t="s">
        <v>13</v>
      </c>
      <c r="E1740" s="196"/>
      <c r="F1740" s="405"/>
      <c r="G1740" s="404"/>
      <c r="H1740" s="404"/>
      <c r="I1740" s="404"/>
      <c r="J1740" s="405"/>
      <c r="AX1740" s="117"/>
      <c r="AY1740" s="117"/>
      <c r="AZ1740" s="117"/>
      <c r="BA1740" s="117"/>
      <c r="BB1740" s="117"/>
      <c r="BC1740" s="117"/>
      <c r="BD1740" s="117"/>
    </row>
    <row r="1741" spans="1:56" ht="18">
      <c r="A1741" s="114"/>
      <c r="B1741" s="388" t="s">
        <v>1110</v>
      </c>
      <c r="C1741" s="389">
        <v>2.2999999999999998</v>
      </c>
      <c r="D1741" s="390" t="s">
        <v>10</v>
      </c>
      <c r="E1741" s="196"/>
      <c r="F1741" s="405"/>
      <c r="G1741" s="406" t="s">
        <v>1142</v>
      </c>
      <c r="H1741" s="407">
        <f>C1740</f>
        <v>0.28000000000000003</v>
      </c>
      <c r="I1741" s="405" t="s">
        <v>1143</v>
      </c>
      <c r="J1741" s="405"/>
      <c r="AX1741" s="117"/>
      <c r="AY1741" s="117"/>
      <c r="AZ1741" s="117"/>
      <c r="BA1741" s="117"/>
      <c r="BB1741" s="117"/>
      <c r="BC1741" s="117"/>
      <c r="BD1741" s="117"/>
    </row>
    <row r="1742" spans="1:56" ht="15">
      <c r="A1742" s="114"/>
      <c r="B1742" s="388" t="s">
        <v>1111</v>
      </c>
      <c r="C1742" s="389">
        <v>0.8</v>
      </c>
      <c r="D1742" s="390" t="s">
        <v>10</v>
      </c>
      <c r="E1742" s="196"/>
      <c r="F1742" s="405"/>
      <c r="G1742" s="406" t="e">
        <f>TEXT(C1747,"tg 0°=")</f>
        <v>#VALUE!</v>
      </c>
      <c r="H1742" s="408">
        <f>TAN(3.14159265359*C1747/180)</f>
        <v>1.732050807569153</v>
      </c>
      <c r="I1742" s="405"/>
      <c r="J1742" s="405"/>
      <c r="AX1742" s="117"/>
      <c r="AY1742" s="117"/>
      <c r="AZ1742" s="117"/>
      <c r="BA1742" s="117"/>
      <c r="BB1742" s="117"/>
      <c r="BC1742" s="117"/>
      <c r="BD1742" s="117"/>
    </row>
    <row r="1743" spans="1:56" ht="15">
      <c r="A1743" s="114"/>
      <c r="B1743" s="388" t="s">
        <v>1112</v>
      </c>
      <c r="C1743" s="389">
        <v>1.85</v>
      </c>
      <c r="D1743" s="390" t="s">
        <v>10</v>
      </c>
      <c r="E1743" s="196"/>
      <c r="F1743" s="405"/>
      <c r="G1743" s="406"/>
      <c r="H1743" s="407"/>
      <c r="I1743" s="405"/>
      <c r="J1743" s="405"/>
      <c r="AX1743" s="117"/>
      <c r="AY1743" s="117"/>
      <c r="AZ1743" s="117"/>
      <c r="BA1743" s="117"/>
      <c r="BB1743" s="117"/>
      <c r="BC1743" s="117"/>
      <c r="BD1743" s="117"/>
    </row>
    <row r="1744" spans="1:56" ht="18">
      <c r="A1744" s="114"/>
      <c r="B1744" s="388" t="s">
        <v>1113</v>
      </c>
      <c r="C1744" s="389">
        <v>1</v>
      </c>
      <c r="D1744" s="390" t="s">
        <v>10</v>
      </c>
      <c r="E1744" s="196"/>
      <c r="F1744" s="405"/>
      <c r="G1744" s="406" t="s">
        <v>1142</v>
      </c>
      <c r="H1744" s="409">
        <f>(C1741+2*C1749+((C1743+C1744+0.05)/H1742)*2)*(C1742+2*C1749+((C1743+C1744+0.05)/H1742)*2)</f>
        <v>34.23135429595618</v>
      </c>
      <c r="I1744" s="405" t="s">
        <v>1143</v>
      </c>
      <c r="J1744" s="405"/>
      <c r="AX1744" s="117"/>
      <c r="AY1744" s="117"/>
      <c r="AZ1744" s="117"/>
      <c r="BA1744" s="117"/>
      <c r="BB1744" s="117"/>
      <c r="BC1744" s="117"/>
      <c r="BD1744" s="117"/>
    </row>
    <row r="1745" spans="1:56" ht="18">
      <c r="A1745" s="114"/>
      <c r="B1745" s="388" t="s">
        <v>1117</v>
      </c>
      <c r="C1745" s="391">
        <v>1</v>
      </c>
      <c r="D1745" s="390" t="s">
        <v>1118</v>
      </c>
      <c r="E1745" s="196"/>
      <c r="F1745" s="405"/>
      <c r="G1745" s="406" t="s">
        <v>1147</v>
      </c>
      <c r="H1745" s="409">
        <f>(C1741+2*C1749)*(C1742+2*C1749)</f>
        <v>5.9399999999999995</v>
      </c>
      <c r="I1745" s="405" t="s">
        <v>1143</v>
      </c>
      <c r="J1745" s="405"/>
      <c r="AX1745" s="117"/>
      <c r="AY1745" s="117"/>
      <c r="AZ1745" s="117"/>
      <c r="BA1745" s="117"/>
      <c r="BB1745" s="117"/>
      <c r="BC1745" s="117"/>
      <c r="BD1745" s="117"/>
    </row>
    <row r="1746" spans="1:56" ht="15">
      <c r="A1746" s="114"/>
      <c r="B1746" s="196" t="s">
        <v>1148</v>
      </c>
      <c r="C1746" s="393"/>
      <c r="D1746" s="196"/>
      <c r="E1746" s="196"/>
      <c r="F1746" s="405"/>
      <c r="G1746" s="406"/>
      <c r="H1746" s="407"/>
      <c r="I1746" s="405"/>
      <c r="J1746" s="405"/>
      <c r="AX1746" s="117"/>
      <c r="AY1746" s="117"/>
      <c r="AZ1746" s="117"/>
      <c r="BA1746" s="117"/>
      <c r="BB1746" s="117"/>
      <c r="BC1746" s="117"/>
      <c r="BD1746" s="117"/>
    </row>
    <row r="1747" spans="1:56" ht="15">
      <c r="A1747" s="114"/>
      <c r="B1747" s="388" t="s">
        <v>1149</v>
      </c>
      <c r="C1747" s="389">
        <v>60</v>
      </c>
      <c r="D1747" s="390" t="s">
        <v>1150</v>
      </c>
      <c r="E1747" s="196"/>
      <c r="F1747" s="196"/>
      <c r="G1747" s="406"/>
      <c r="H1747" s="407"/>
      <c r="I1747" s="405"/>
      <c r="J1747" s="196"/>
      <c r="AX1747" s="117"/>
      <c r="AY1747" s="117"/>
      <c r="AZ1747" s="117"/>
      <c r="BA1747" s="117"/>
      <c r="BB1747" s="117"/>
      <c r="BC1747" s="117"/>
      <c r="BD1747" s="117"/>
    </row>
    <row r="1748" spans="1:56" ht="15">
      <c r="A1748" s="114"/>
      <c r="B1748" s="362"/>
      <c r="C1748" s="196"/>
      <c r="D1748" s="196"/>
      <c r="E1748" s="196"/>
      <c r="F1748" s="196"/>
      <c r="G1748" s="406"/>
      <c r="H1748" s="407"/>
      <c r="I1748" s="405"/>
      <c r="J1748" s="196"/>
      <c r="AX1748" s="117"/>
      <c r="AY1748" s="117"/>
      <c r="AZ1748" s="117"/>
      <c r="BA1748" s="117"/>
      <c r="BB1748" s="117"/>
      <c r="BC1748" s="117"/>
      <c r="BD1748" s="117"/>
    </row>
    <row r="1749" spans="1:56" ht="15">
      <c r="A1749" s="114"/>
      <c r="B1749" s="388" t="s">
        <v>1114</v>
      </c>
      <c r="C1749" s="389">
        <v>0.5</v>
      </c>
      <c r="D1749" s="390" t="s">
        <v>10</v>
      </c>
      <c r="E1749" s="288" t="s">
        <v>1120</v>
      </c>
      <c r="F1749" s="196"/>
      <c r="G1749" s="392"/>
      <c r="H1749" s="393"/>
      <c r="I1749" s="196"/>
      <c r="J1749" s="196"/>
      <c r="AX1749" s="117"/>
      <c r="AY1749" s="117"/>
      <c r="AZ1749" s="117"/>
      <c r="BA1749" s="117"/>
      <c r="BB1749" s="117"/>
      <c r="BC1749" s="117"/>
      <c r="BD1749" s="117"/>
    </row>
    <row r="1750" spans="1:56" ht="15">
      <c r="A1750" s="114"/>
      <c r="B1750" s="388" t="s">
        <v>1114</v>
      </c>
      <c r="C1750" s="389">
        <v>0.1</v>
      </c>
      <c r="D1750" s="390" t="s">
        <v>10</v>
      </c>
      <c r="E1750" s="288" t="s">
        <v>1121</v>
      </c>
      <c r="F1750" s="196"/>
      <c r="G1750" s="362"/>
      <c r="H1750" s="362"/>
      <c r="I1750" s="362"/>
      <c r="J1750" s="196"/>
      <c r="AX1750" s="117"/>
      <c r="AY1750" s="117"/>
      <c r="AZ1750" s="117"/>
      <c r="BA1750" s="117"/>
      <c r="BB1750" s="117"/>
      <c r="BC1750" s="117"/>
      <c r="BD1750" s="117"/>
    </row>
    <row r="1751" spans="1:56" ht="15">
      <c r="A1751" s="114"/>
      <c r="B1751" s="362"/>
      <c r="C1751" s="362"/>
      <c r="D1751" s="362"/>
      <c r="E1751" s="362"/>
      <c r="F1751" s="362"/>
      <c r="G1751" s="362"/>
      <c r="H1751" s="362"/>
      <c r="I1751" s="362"/>
      <c r="J1751" s="196"/>
      <c r="AX1751" s="117"/>
      <c r="AY1751" s="117"/>
      <c r="AZ1751" s="117"/>
      <c r="BA1751" s="117"/>
      <c r="BB1751" s="117"/>
      <c r="BC1751" s="117"/>
      <c r="BD1751" s="117"/>
    </row>
    <row r="1752" spans="1:56" ht="15">
      <c r="A1752" s="114"/>
      <c r="B1752" s="303" t="s">
        <v>1122</v>
      </c>
      <c r="C1752" s="362"/>
      <c r="D1752" s="362"/>
      <c r="E1752" s="362"/>
      <c r="F1752" s="362"/>
      <c r="G1752" s="362"/>
      <c r="H1752" s="362"/>
      <c r="I1752" s="362"/>
      <c r="J1752" s="196"/>
      <c r="AX1752" s="117"/>
      <c r="AY1752" s="117"/>
      <c r="AZ1752" s="117"/>
      <c r="BA1752" s="117"/>
      <c r="BB1752" s="117"/>
      <c r="BC1752" s="117"/>
      <c r="BD1752" s="117"/>
    </row>
    <row r="1753" spans="1:56" ht="18">
      <c r="A1753" s="114"/>
      <c r="B1753" s="398" t="s">
        <v>1123</v>
      </c>
      <c r="C1753" s="172"/>
      <c r="D1753" s="173"/>
      <c r="E1753" s="397">
        <f>C1745*((H1745+H1744)/2)*(C1743+C1744+0.05)</f>
        <v>58.248463729136454</v>
      </c>
      <c r="F1753" s="390" t="s">
        <v>1124</v>
      </c>
      <c r="G1753" s="114"/>
      <c r="H1753" s="362"/>
      <c r="I1753" s="196"/>
      <c r="J1753" s="362"/>
      <c r="AX1753" s="117"/>
      <c r="AY1753" s="117"/>
      <c r="AZ1753" s="117"/>
      <c r="BA1753" s="117"/>
      <c r="BB1753" s="117"/>
      <c r="BC1753" s="117"/>
      <c r="BD1753" s="117"/>
    </row>
    <row r="1754" spans="1:56" ht="18">
      <c r="A1754" s="114"/>
      <c r="B1754" s="398" t="s">
        <v>1125</v>
      </c>
      <c r="C1754" s="172"/>
      <c r="D1754" s="173"/>
      <c r="E1754" s="400">
        <f>E1753-C1745*(C1741*C1742*C1744+C1741*C1742*0.05+C1740*C1743)</f>
        <v>55.798463729136451</v>
      </c>
      <c r="F1754" s="390" t="s">
        <v>1124</v>
      </c>
      <c r="G1754" s="196"/>
      <c r="H1754" s="115"/>
      <c r="I1754" s="196"/>
      <c r="J1754" s="196"/>
      <c r="AX1754" s="117"/>
      <c r="AY1754" s="117"/>
      <c r="AZ1754" s="117"/>
      <c r="BA1754" s="117"/>
      <c r="BB1754" s="117"/>
      <c r="BC1754" s="117"/>
      <c r="BD1754" s="117"/>
    </row>
    <row r="1755" spans="1:56" ht="15">
      <c r="A1755" s="114"/>
      <c r="B1755" s="398" t="s">
        <v>1126</v>
      </c>
      <c r="C1755" s="172"/>
      <c r="D1755" s="173"/>
      <c r="E1755" s="400">
        <f>((C1741+2*C1750)*(C1742+2*C1750))*C1745</f>
        <v>2.5</v>
      </c>
      <c r="F1755" s="390" t="s">
        <v>13</v>
      </c>
      <c r="G1755" s="196"/>
      <c r="H1755" s="362"/>
      <c r="I1755" s="362"/>
      <c r="J1755" s="362"/>
      <c r="AX1755" s="117"/>
      <c r="AY1755" s="117"/>
      <c r="AZ1755" s="117"/>
      <c r="BA1755" s="117"/>
      <c r="BB1755" s="117"/>
      <c r="BC1755" s="117"/>
      <c r="BD1755" s="117"/>
    </row>
    <row r="1756" spans="1:56" ht="15">
      <c r="A1756" s="114"/>
      <c r="B1756" s="362"/>
      <c r="C1756" s="362"/>
      <c r="D1756" s="362"/>
      <c r="E1756" s="401"/>
      <c r="F1756" s="196"/>
      <c r="G1756" s="114"/>
      <c r="H1756" s="114"/>
      <c r="I1756" s="114"/>
      <c r="J1756" s="362"/>
      <c r="AX1756" s="117"/>
      <c r="AY1756" s="117"/>
      <c r="AZ1756" s="117"/>
      <c r="BA1756" s="117"/>
      <c r="BB1756" s="117"/>
      <c r="BC1756" s="117"/>
      <c r="BD1756" s="117"/>
    </row>
    <row r="1757" spans="1:56" ht="15">
      <c r="A1757" s="114"/>
      <c r="B1757" s="303" t="s">
        <v>1162</v>
      </c>
      <c r="C1757" s="362"/>
      <c r="D1757" s="362"/>
      <c r="E1757" s="410"/>
      <c r="F1757" s="362"/>
      <c r="G1757" s="114"/>
      <c r="H1757" s="196" t="s">
        <v>1131</v>
      </c>
      <c r="I1757" s="114"/>
      <c r="J1757" s="362"/>
      <c r="AX1757" s="117"/>
      <c r="AY1757" s="117"/>
      <c r="AZ1757" s="117"/>
      <c r="BA1757" s="117"/>
      <c r="BB1757" s="117"/>
      <c r="BC1757" s="117"/>
      <c r="BD1757" s="117"/>
    </row>
    <row r="1758" spans="1:56" ht="15">
      <c r="A1758" s="114"/>
      <c r="B1758" s="398" t="s">
        <v>1152</v>
      </c>
      <c r="C1758" s="398"/>
      <c r="D1758" s="366"/>
      <c r="E1758" s="411">
        <v>2</v>
      </c>
      <c r="F1758" s="390" t="s">
        <v>1153</v>
      </c>
      <c r="G1758" s="114"/>
      <c r="H1758" s="114"/>
      <c r="I1758" s="114"/>
      <c r="J1758" s="362"/>
      <c r="AX1758" s="117"/>
      <c r="AY1758" s="117"/>
      <c r="AZ1758" s="117"/>
      <c r="BA1758" s="117"/>
      <c r="BB1758" s="117"/>
      <c r="BC1758" s="117"/>
      <c r="BD1758" s="117"/>
    </row>
    <row r="1759" spans="1:56" ht="15">
      <c r="A1759" s="114"/>
      <c r="B1759" s="399" t="s">
        <v>1154</v>
      </c>
      <c r="C1759" s="31"/>
      <c r="D1759" s="32"/>
      <c r="E1759" s="412">
        <f>C1745*E1758</f>
        <v>2</v>
      </c>
      <c r="F1759" s="390" t="s">
        <v>1153</v>
      </c>
      <c r="G1759" s="114"/>
      <c r="H1759" s="114"/>
      <c r="I1759" s="114"/>
      <c r="J1759" s="362"/>
      <c r="AX1759" s="117"/>
      <c r="AY1759" s="117"/>
      <c r="AZ1759" s="117"/>
      <c r="BA1759" s="117"/>
      <c r="BB1759" s="117"/>
      <c r="BC1759" s="117"/>
      <c r="BD1759" s="117"/>
    </row>
    <row r="1760" spans="1:56" ht="15">
      <c r="A1760" s="114"/>
      <c r="B1760" s="398" t="s">
        <v>1155</v>
      </c>
      <c r="C1760" s="21"/>
      <c r="D1760" s="413"/>
      <c r="E1760" s="411">
        <v>350</v>
      </c>
      <c r="F1760" s="390" t="s">
        <v>1156</v>
      </c>
      <c r="G1760" s="114"/>
      <c r="H1760" s="114"/>
      <c r="I1760" s="114"/>
      <c r="J1760" s="415"/>
      <c r="AX1760" s="117"/>
      <c r="AY1760" s="117"/>
      <c r="AZ1760" s="117"/>
      <c r="BA1760" s="117"/>
      <c r="BB1760" s="117"/>
      <c r="BC1760" s="117"/>
      <c r="BD1760" s="117"/>
    </row>
    <row r="1761" spans="1:56" ht="15">
      <c r="A1761" s="114"/>
      <c r="B1761" s="398" t="s">
        <v>1157</v>
      </c>
      <c r="C1761" s="21"/>
      <c r="D1761" s="413"/>
      <c r="E1761" s="418">
        <v>13</v>
      </c>
      <c r="F1761" s="390" t="s">
        <v>10</v>
      </c>
      <c r="G1761" s="114"/>
      <c r="H1761" s="114"/>
      <c r="I1761" s="114"/>
      <c r="J1761" s="362"/>
      <c r="AX1761" s="117"/>
      <c r="AY1761" s="117"/>
      <c r="AZ1761" s="117"/>
      <c r="BA1761" s="117"/>
      <c r="BB1761" s="117"/>
      <c r="BC1761" s="117"/>
      <c r="BD1761" s="117"/>
    </row>
    <row r="1762" spans="1:56" ht="15">
      <c r="A1762" s="114"/>
      <c r="B1762" s="398" t="s">
        <v>1158</v>
      </c>
      <c r="C1762" s="21"/>
      <c r="D1762" s="413"/>
      <c r="E1762" s="412">
        <f>E1759*E1761</f>
        <v>26</v>
      </c>
      <c r="F1762" s="390" t="s">
        <v>10</v>
      </c>
      <c r="G1762" s="114"/>
      <c r="H1762" s="114"/>
      <c r="I1762" s="114"/>
      <c r="J1762" s="362"/>
      <c r="AX1762" s="117"/>
      <c r="AY1762" s="117"/>
      <c r="AZ1762" s="117"/>
      <c r="BA1762" s="117"/>
      <c r="BB1762" s="117"/>
      <c r="BC1762" s="117"/>
      <c r="BD1762" s="117"/>
    </row>
    <row r="1763" spans="1:56" ht="15">
      <c r="A1763" s="114"/>
      <c r="B1763" s="362"/>
      <c r="C1763" s="362"/>
      <c r="D1763" s="362"/>
      <c r="E1763" s="410"/>
      <c r="F1763" s="362"/>
      <c r="G1763" s="114"/>
      <c r="H1763" s="114"/>
      <c r="I1763" s="114"/>
      <c r="J1763" s="362"/>
      <c r="AX1763" s="117"/>
      <c r="AY1763" s="117"/>
      <c r="AZ1763" s="117"/>
      <c r="BA1763" s="117"/>
      <c r="BB1763" s="117"/>
      <c r="BC1763" s="117"/>
      <c r="BD1763" s="117"/>
    </row>
    <row r="1764" spans="1:56" ht="15">
      <c r="A1764" s="114"/>
      <c r="B1764" s="303" t="s">
        <v>1160</v>
      </c>
      <c r="C1764" s="362"/>
      <c r="D1764" s="362"/>
      <c r="E1764" s="410"/>
      <c r="F1764" s="362"/>
      <c r="G1764" s="114"/>
      <c r="H1764" s="114"/>
      <c r="I1764" s="114"/>
      <c r="J1764" s="362"/>
      <c r="AX1764" s="117"/>
      <c r="AY1764" s="117"/>
      <c r="AZ1764" s="117"/>
      <c r="BA1764" s="117"/>
      <c r="BB1764" s="117"/>
      <c r="BC1764" s="117"/>
      <c r="BD1764" s="117"/>
    </row>
    <row r="1765" spans="1:56" ht="18">
      <c r="A1765" s="114"/>
      <c r="B1765" s="398" t="s">
        <v>1128</v>
      </c>
      <c r="C1765" s="172"/>
      <c r="D1765" s="173"/>
      <c r="E1765" s="402">
        <f>E1755*0.05</f>
        <v>0.125</v>
      </c>
      <c r="F1765" s="390" t="s">
        <v>1124</v>
      </c>
      <c r="G1765" s="114"/>
      <c r="H1765" s="114"/>
      <c r="I1765" s="114"/>
      <c r="J1765" s="362"/>
      <c r="AX1765" s="117"/>
      <c r="AY1765" s="117"/>
      <c r="AZ1765" s="117"/>
      <c r="BA1765" s="117"/>
      <c r="BB1765" s="117"/>
      <c r="BC1765" s="117"/>
      <c r="BD1765" s="117"/>
    </row>
    <row r="1766" spans="1:56" ht="15">
      <c r="A1766" s="114"/>
      <c r="B1766" s="398" t="s">
        <v>1129</v>
      </c>
      <c r="C1766" s="172"/>
      <c r="D1766" s="173"/>
      <c r="E1766" s="397">
        <f>(2*(C1741+C1742)*C1744)*C1745</f>
        <v>6.1999999999999993</v>
      </c>
      <c r="F1766" s="390" t="s">
        <v>13</v>
      </c>
      <c r="G1766" s="114"/>
      <c r="H1766" s="114"/>
      <c r="I1766" s="114"/>
      <c r="J1766" s="362"/>
      <c r="AX1766" s="117"/>
      <c r="AY1766" s="117"/>
      <c r="AZ1766" s="117"/>
      <c r="BA1766" s="117"/>
      <c r="BB1766" s="117"/>
      <c r="BC1766" s="117"/>
      <c r="BD1766" s="117"/>
    </row>
    <row r="1767" spans="1:56" ht="18">
      <c r="A1767" s="114"/>
      <c r="B1767" s="398" t="s">
        <v>1130</v>
      </c>
      <c r="C1767" s="172"/>
      <c r="D1767" s="173"/>
      <c r="E1767" s="402">
        <f>(C1741*C1742*C1744)*C1745</f>
        <v>1.8399999999999999</v>
      </c>
      <c r="F1767" s="390" t="s">
        <v>1124</v>
      </c>
      <c r="G1767" s="114"/>
      <c r="H1767" s="114"/>
      <c r="I1767" s="114"/>
      <c r="J1767" s="362"/>
      <c r="AX1767" s="117"/>
      <c r="AY1767" s="117"/>
      <c r="AZ1767" s="117"/>
      <c r="BA1767" s="117"/>
      <c r="BB1767" s="117"/>
      <c r="BC1767" s="117"/>
      <c r="BD1767" s="117"/>
    </row>
    <row r="1768" spans="1:56" ht="15">
      <c r="A1768" s="114"/>
      <c r="B1768" s="114"/>
      <c r="C1768" s="114"/>
      <c r="D1768" s="114"/>
      <c r="E1768" s="114"/>
      <c r="F1768" s="114"/>
      <c r="G1768" s="114"/>
      <c r="H1768" s="114"/>
      <c r="I1768" s="114"/>
      <c r="J1768" s="114"/>
      <c r="AW1768" s="117"/>
      <c r="AX1768" s="117"/>
      <c r="AY1768" s="117"/>
      <c r="AZ1768" s="117"/>
      <c r="BA1768" s="117"/>
      <c r="BB1768" s="117"/>
      <c r="BC1768" s="117"/>
      <c r="BD1768" s="117"/>
    </row>
    <row r="1769" spans="1:56" ht="15">
      <c r="A1769" s="114"/>
      <c r="B1769" s="114"/>
      <c r="C1769" s="114"/>
      <c r="D1769" s="114"/>
      <c r="E1769" s="114"/>
      <c r="F1769" s="114"/>
      <c r="G1769" s="114"/>
      <c r="H1769" s="114"/>
      <c r="I1769" s="114"/>
      <c r="J1769" s="114"/>
      <c r="AW1769" s="117"/>
      <c r="AX1769" s="117"/>
      <c r="AY1769" s="117"/>
      <c r="AZ1769" s="117"/>
      <c r="BA1769" s="117"/>
      <c r="BB1769" s="117"/>
      <c r="BC1769" s="117"/>
      <c r="BD1769" s="117"/>
    </row>
    <row r="1770" spans="1:56" ht="15">
      <c r="A1770" s="114"/>
      <c r="B1770" s="114"/>
      <c r="C1770" s="196"/>
      <c r="D1770" s="196"/>
      <c r="E1770" s="196"/>
      <c r="F1770" s="196"/>
      <c r="G1770" s="114"/>
      <c r="H1770" s="114"/>
      <c r="I1770" s="386"/>
      <c r="J1770" s="196"/>
      <c r="AX1770" s="117"/>
      <c r="AY1770" s="117"/>
      <c r="AZ1770" s="117"/>
      <c r="BA1770" s="117"/>
      <c r="BB1770" s="117"/>
      <c r="BC1770" s="117"/>
      <c r="BD1770" s="117"/>
    </row>
    <row r="1771" spans="1:56" ht="15">
      <c r="A1771" s="114"/>
      <c r="B1771" s="288"/>
      <c r="C1771" s="230"/>
      <c r="D1771" s="230"/>
      <c r="E1771" s="384"/>
      <c r="F1771" s="196"/>
      <c r="G1771" s="196"/>
      <c r="H1771" s="196"/>
      <c r="I1771" s="196"/>
      <c r="J1771" s="114"/>
      <c r="AW1771" s="117"/>
      <c r="AX1771" s="117"/>
      <c r="AY1771" s="117"/>
      <c r="AZ1771" s="117"/>
      <c r="BA1771" s="117"/>
      <c r="BB1771" s="117"/>
      <c r="BC1771" s="117"/>
      <c r="BD1771" s="117"/>
    </row>
    <row r="1772" spans="1:56" ht="15">
      <c r="A1772" s="114"/>
      <c r="B1772" s="114"/>
      <c r="C1772" s="230"/>
      <c r="D1772" s="230"/>
      <c r="E1772" s="384"/>
      <c r="F1772" s="196"/>
      <c r="G1772" s="196"/>
      <c r="H1772" s="196"/>
      <c r="I1772" s="196"/>
      <c r="J1772" s="114"/>
      <c r="AW1772" s="117"/>
      <c r="AX1772" s="117"/>
      <c r="AY1772" s="117"/>
      <c r="AZ1772" s="117"/>
      <c r="BA1772" s="117"/>
      <c r="BB1772" s="117"/>
      <c r="BC1772" s="117"/>
      <c r="BD1772" s="117"/>
    </row>
    <row r="1773" spans="1:56" customFormat="1">
      <c r="B1773" s="385" t="s">
        <v>1173</v>
      </c>
      <c r="C1773" s="362"/>
      <c r="D1773" s="362"/>
      <c r="E1773" s="362"/>
      <c r="F1773" s="362"/>
      <c r="G1773" s="362"/>
      <c r="H1773" s="362"/>
      <c r="I1773" s="362"/>
      <c r="J1773" s="362"/>
    </row>
    <row r="1774" spans="1:56" ht="15">
      <c r="A1774" s="114"/>
      <c r="B1774" s="362"/>
      <c r="C1774" s="362"/>
      <c r="D1774" s="362"/>
      <c r="E1774" s="362"/>
      <c r="F1774" s="404"/>
      <c r="G1774" s="404"/>
      <c r="H1774" s="404"/>
      <c r="I1774" s="404"/>
      <c r="J1774" s="404"/>
      <c r="AX1774" s="117"/>
      <c r="AY1774" s="117"/>
      <c r="AZ1774" s="117"/>
      <c r="BA1774" s="117"/>
      <c r="BB1774" s="117"/>
      <c r="BC1774" s="117"/>
      <c r="BD1774" s="117"/>
    </row>
    <row r="1775" spans="1:56" ht="18">
      <c r="A1775" s="114"/>
      <c r="B1775" s="388" t="s">
        <v>1141</v>
      </c>
      <c r="C1775" s="389">
        <v>0.5</v>
      </c>
      <c r="D1775" s="390" t="s">
        <v>10</v>
      </c>
      <c r="E1775" s="196"/>
      <c r="F1775" s="405"/>
      <c r="G1775" s="406" t="s">
        <v>1142</v>
      </c>
      <c r="H1775" s="407">
        <f>C1775*C1776</f>
        <v>0.15</v>
      </c>
      <c r="I1775" s="405" t="s">
        <v>1143</v>
      </c>
      <c r="J1775" s="405"/>
      <c r="AX1775" s="117"/>
      <c r="AY1775" s="117"/>
      <c r="AZ1775" s="117"/>
      <c r="BA1775" s="117"/>
      <c r="BB1775" s="117"/>
      <c r="BC1775" s="117"/>
      <c r="BD1775" s="117"/>
    </row>
    <row r="1776" spans="1:56" ht="15">
      <c r="A1776" s="114"/>
      <c r="B1776" s="388" t="s">
        <v>1144</v>
      </c>
      <c r="C1776" s="389">
        <v>0.3</v>
      </c>
      <c r="D1776" s="390" t="s">
        <v>10</v>
      </c>
      <c r="E1776" s="196"/>
      <c r="F1776" s="405"/>
      <c r="G1776" s="406" t="e">
        <f>TEXT(C1783,"tg 0°=")</f>
        <v>#VALUE!</v>
      </c>
      <c r="H1776" s="408">
        <f>TAN(3.14159265359*C1783/180)</f>
        <v>1.732050807569153</v>
      </c>
      <c r="I1776" s="405"/>
      <c r="J1776" s="405"/>
      <c r="AX1776" s="117"/>
      <c r="AY1776" s="117"/>
      <c r="AZ1776" s="117"/>
      <c r="BA1776" s="117"/>
      <c r="BB1776" s="117"/>
      <c r="BC1776" s="117"/>
      <c r="BD1776" s="117"/>
    </row>
    <row r="1777" spans="1:56" ht="15">
      <c r="A1777" s="114"/>
      <c r="B1777" s="388" t="s">
        <v>1145</v>
      </c>
      <c r="C1777" s="389">
        <v>0.8</v>
      </c>
      <c r="D1777" s="390" t="s">
        <v>10</v>
      </c>
      <c r="E1777" s="196"/>
      <c r="F1777" s="405"/>
      <c r="G1777" s="406"/>
      <c r="H1777" s="407"/>
      <c r="I1777" s="405"/>
      <c r="J1777" s="405"/>
      <c r="AX1777" s="117"/>
      <c r="AY1777" s="117"/>
      <c r="AZ1777" s="117"/>
      <c r="BA1777" s="117"/>
      <c r="BB1777" s="117"/>
      <c r="BC1777" s="117"/>
      <c r="BD1777" s="117"/>
    </row>
    <row r="1778" spans="1:56" ht="18">
      <c r="A1778" s="114"/>
      <c r="B1778" s="388" t="s">
        <v>1146</v>
      </c>
      <c r="C1778" s="389">
        <v>0.8</v>
      </c>
      <c r="D1778" s="390" t="s">
        <v>10</v>
      </c>
      <c r="E1778" s="196"/>
      <c r="F1778" s="405"/>
      <c r="G1778" s="406" t="s">
        <v>1142</v>
      </c>
      <c r="H1778" s="409">
        <f>(C1777+2*C1785+((C1779+C1780+0.05)/H1776)*2)*(C1778+2*C1785+((C1779+C1780+0.05)/H1776)*2)</f>
        <v>26.508406954007235</v>
      </c>
      <c r="I1778" s="405" t="s">
        <v>1143</v>
      </c>
      <c r="J1778" s="405"/>
      <c r="AX1778" s="117"/>
      <c r="AY1778" s="117"/>
      <c r="AZ1778" s="117"/>
      <c r="BA1778" s="117"/>
      <c r="BB1778" s="117"/>
      <c r="BC1778" s="117"/>
      <c r="BD1778" s="117"/>
    </row>
    <row r="1779" spans="1:56" ht="18">
      <c r="A1779" s="114"/>
      <c r="B1779" s="388" t="s">
        <v>1112</v>
      </c>
      <c r="C1779" s="389">
        <v>1.85</v>
      </c>
      <c r="D1779" s="390" t="s">
        <v>10</v>
      </c>
      <c r="E1779" s="196"/>
      <c r="F1779" s="405"/>
      <c r="G1779" s="406" t="s">
        <v>1147</v>
      </c>
      <c r="H1779" s="409">
        <f>(C1777+2*C1785)*(C1778+2*C1785)</f>
        <v>3.24</v>
      </c>
      <c r="I1779" s="405" t="s">
        <v>1143</v>
      </c>
      <c r="J1779" s="405"/>
      <c r="AX1779" s="117"/>
      <c r="AY1779" s="117"/>
      <c r="AZ1779" s="117"/>
      <c r="BA1779" s="117"/>
      <c r="BB1779" s="117"/>
      <c r="BC1779" s="117"/>
      <c r="BD1779" s="117"/>
    </row>
    <row r="1780" spans="1:56" ht="15">
      <c r="A1780" s="114"/>
      <c r="B1780" s="388" t="s">
        <v>1113</v>
      </c>
      <c r="C1780" s="389">
        <v>1</v>
      </c>
      <c r="D1780" s="390" t="s">
        <v>10</v>
      </c>
      <c r="E1780" s="196"/>
      <c r="F1780" s="405"/>
      <c r="G1780" s="406"/>
      <c r="H1780" s="407"/>
      <c r="I1780" s="405"/>
      <c r="J1780" s="405"/>
      <c r="AX1780" s="117"/>
      <c r="AY1780" s="117"/>
      <c r="AZ1780" s="117"/>
      <c r="BA1780" s="117"/>
      <c r="BB1780" s="117"/>
      <c r="BC1780" s="117"/>
      <c r="BD1780" s="117"/>
    </row>
    <row r="1781" spans="1:56" ht="15">
      <c r="A1781" s="114"/>
      <c r="B1781" s="388" t="s">
        <v>1117</v>
      </c>
      <c r="C1781" s="391">
        <v>3</v>
      </c>
      <c r="D1781" s="390" t="s">
        <v>1118</v>
      </c>
      <c r="E1781" s="196"/>
      <c r="F1781" s="405"/>
      <c r="G1781" s="406"/>
      <c r="H1781" s="407"/>
      <c r="I1781" s="405"/>
      <c r="J1781" s="405"/>
      <c r="AX1781" s="117"/>
      <c r="AY1781" s="117"/>
      <c r="AZ1781" s="117"/>
      <c r="BA1781" s="117"/>
      <c r="BB1781" s="117"/>
      <c r="BC1781" s="117"/>
      <c r="BD1781" s="117"/>
    </row>
    <row r="1782" spans="1:56" ht="15">
      <c r="A1782" s="114"/>
      <c r="B1782" s="196" t="s">
        <v>1148</v>
      </c>
      <c r="C1782" s="393"/>
      <c r="D1782" s="196"/>
      <c r="E1782" s="196"/>
      <c r="F1782" s="405"/>
      <c r="G1782" s="406"/>
      <c r="H1782" s="407"/>
      <c r="I1782" s="405"/>
      <c r="J1782" s="405"/>
      <c r="AX1782" s="117"/>
      <c r="AY1782" s="117"/>
      <c r="AZ1782" s="117"/>
      <c r="BA1782" s="117"/>
      <c r="BB1782" s="117"/>
      <c r="BC1782" s="117"/>
      <c r="BD1782" s="117"/>
    </row>
    <row r="1783" spans="1:56" ht="15">
      <c r="A1783" s="114"/>
      <c r="B1783" s="388" t="s">
        <v>1149</v>
      </c>
      <c r="C1783" s="389">
        <v>60</v>
      </c>
      <c r="D1783" s="390" t="s">
        <v>1150</v>
      </c>
      <c r="E1783" s="196"/>
      <c r="F1783" s="196"/>
      <c r="G1783" s="392"/>
      <c r="H1783" s="393"/>
      <c r="I1783" s="196"/>
      <c r="J1783" s="196"/>
      <c r="AX1783" s="117"/>
      <c r="AY1783" s="117"/>
      <c r="AZ1783" s="117"/>
      <c r="BA1783" s="117"/>
      <c r="BB1783" s="117"/>
      <c r="BC1783" s="117"/>
      <c r="BD1783" s="117"/>
    </row>
    <row r="1784" spans="1:56" ht="15">
      <c r="A1784" s="114"/>
      <c r="B1784" s="362"/>
      <c r="C1784" s="196"/>
      <c r="D1784" s="196"/>
      <c r="E1784" s="196"/>
      <c r="F1784" s="196"/>
      <c r="G1784" s="362"/>
      <c r="H1784" s="362"/>
      <c r="I1784" s="362"/>
      <c r="J1784" s="196"/>
      <c r="AX1784" s="117"/>
      <c r="AY1784" s="117"/>
      <c r="AZ1784" s="117"/>
      <c r="BA1784" s="117"/>
      <c r="BB1784" s="117"/>
      <c r="BC1784" s="117"/>
      <c r="BD1784" s="117"/>
    </row>
    <row r="1785" spans="1:56" ht="15">
      <c r="A1785" s="114"/>
      <c r="B1785" s="388" t="s">
        <v>1114</v>
      </c>
      <c r="C1785" s="389">
        <v>0.5</v>
      </c>
      <c r="D1785" s="390" t="s">
        <v>10</v>
      </c>
      <c r="E1785" s="288" t="s">
        <v>1120</v>
      </c>
      <c r="F1785" s="196"/>
      <c r="G1785" s="196" t="s">
        <v>1131</v>
      </c>
      <c r="H1785" s="114"/>
      <c r="I1785" s="114"/>
      <c r="J1785" s="196"/>
      <c r="AX1785" s="117"/>
      <c r="AY1785" s="117"/>
      <c r="AZ1785" s="117"/>
      <c r="BA1785" s="117"/>
      <c r="BB1785" s="117"/>
      <c r="BC1785" s="117"/>
      <c r="BD1785" s="117"/>
    </row>
    <row r="1786" spans="1:56" ht="15">
      <c r="A1786" s="114"/>
      <c r="B1786" s="388" t="s">
        <v>1114</v>
      </c>
      <c r="C1786" s="389">
        <v>0.1</v>
      </c>
      <c r="D1786" s="390" t="s">
        <v>10</v>
      </c>
      <c r="E1786" s="288" t="s">
        <v>1121</v>
      </c>
      <c r="F1786" s="196"/>
      <c r="G1786" s="196"/>
      <c r="H1786" s="196"/>
      <c r="I1786" s="196"/>
      <c r="J1786" s="196"/>
      <c r="AX1786" s="117"/>
      <c r="AY1786" s="117"/>
      <c r="AZ1786" s="117"/>
      <c r="BA1786" s="117"/>
      <c r="BB1786" s="117"/>
      <c r="BC1786" s="117"/>
      <c r="BD1786" s="117"/>
    </row>
    <row r="1787" spans="1:56" ht="15">
      <c r="A1787" s="114"/>
      <c r="B1787" s="362"/>
      <c r="C1787" s="362"/>
      <c r="D1787" s="362"/>
      <c r="E1787" s="362"/>
      <c r="F1787" s="362"/>
      <c r="G1787" s="114"/>
      <c r="H1787" s="362"/>
      <c r="I1787" s="196"/>
      <c r="J1787" s="196"/>
      <c r="AX1787" s="117"/>
      <c r="AY1787" s="117"/>
      <c r="AZ1787" s="117"/>
      <c r="BA1787" s="117"/>
      <c r="BB1787" s="117"/>
      <c r="BC1787" s="117"/>
      <c r="BD1787" s="117"/>
    </row>
    <row r="1788" spans="1:56" ht="15">
      <c r="A1788" s="114"/>
      <c r="B1788" s="303" t="s">
        <v>1122</v>
      </c>
      <c r="C1788" s="362"/>
      <c r="D1788" s="362"/>
      <c r="E1788" s="362"/>
      <c r="F1788" s="362"/>
      <c r="G1788" s="196"/>
      <c r="H1788" s="196"/>
      <c r="I1788" s="196"/>
      <c r="J1788" s="196"/>
      <c r="AX1788" s="117"/>
      <c r="AY1788" s="117"/>
      <c r="AZ1788" s="117"/>
      <c r="BA1788" s="117"/>
      <c r="BB1788" s="117"/>
      <c r="BC1788" s="117"/>
      <c r="BD1788" s="117"/>
    </row>
    <row r="1789" spans="1:56" ht="18">
      <c r="A1789" s="114"/>
      <c r="B1789" s="398" t="s">
        <v>1123</v>
      </c>
      <c r="C1789" s="172"/>
      <c r="D1789" s="173"/>
      <c r="E1789" s="397">
        <f>C1781*((H1779+H1778)/2)*(C1779+C1780+0.05)</f>
        <v>129.40557024993149</v>
      </c>
      <c r="F1789" s="390" t="s">
        <v>1124</v>
      </c>
      <c r="G1789" s="196"/>
      <c r="H1789" s="362"/>
      <c r="I1789" s="362"/>
      <c r="J1789" s="362"/>
      <c r="AX1789" s="117"/>
      <c r="AY1789" s="117"/>
      <c r="AZ1789" s="117"/>
      <c r="BA1789" s="117"/>
      <c r="BB1789" s="117"/>
      <c r="BC1789" s="117"/>
      <c r="BD1789" s="117"/>
    </row>
    <row r="1790" spans="1:56" ht="18">
      <c r="A1790" s="114"/>
      <c r="B1790" s="398" t="s">
        <v>1125</v>
      </c>
      <c r="C1790" s="172"/>
      <c r="D1790" s="173"/>
      <c r="E1790" s="400">
        <f>E1789-C1781*(C1777*C1778*C1780+C1777*C1778*0.05+C1775*C1776*C1779)</f>
        <v>126.55707024993148</v>
      </c>
      <c r="F1790" s="390" t="s">
        <v>1124</v>
      </c>
      <c r="G1790" s="196"/>
      <c r="H1790" s="196"/>
      <c r="I1790" s="196"/>
      <c r="J1790" s="196"/>
      <c r="AX1790" s="117"/>
      <c r="AY1790" s="117"/>
      <c r="AZ1790" s="117"/>
      <c r="BA1790" s="117"/>
      <c r="BB1790" s="117"/>
      <c r="BC1790" s="117"/>
      <c r="BD1790" s="117"/>
    </row>
    <row r="1791" spans="1:56" ht="15">
      <c r="A1791" s="114"/>
      <c r="B1791" s="398" t="s">
        <v>1126</v>
      </c>
      <c r="C1791" s="172"/>
      <c r="D1791" s="173"/>
      <c r="E1791" s="400">
        <f>((C1777+2*C1786)*(C1778+2*C1786))*C1781</f>
        <v>3</v>
      </c>
      <c r="F1791" s="390" t="s">
        <v>13</v>
      </c>
      <c r="G1791" s="362"/>
      <c r="H1791" s="362"/>
      <c r="I1791" s="362"/>
      <c r="J1791" s="362"/>
      <c r="AX1791" s="117"/>
      <c r="AY1791" s="117"/>
      <c r="AZ1791" s="117"/>
      <c r="BA1791" s="117"/>
      <c r="BB1791" s="117"/>
      <c r="BC1791" s="117"/>
      <c r="BD1791" s="117"/>
    </row>
    <row r="1792" spans="1:56" ht="15">
      <c r="A1792" s="114"/>
      <c r="B1792" s="362"/>
      <c r="C1792" s="362"/>
      <c r="D1792" s="362"/>
      <c r="E1792" s="401"/>
      <c r="F1792" s="196"/>
      <c r="G1792" s="362"/>
      <c r="H1792" s="362"/>
      <c r="I1792" s="362"/>
      <c r="J1792" s="362"/>
      <c r="AX1792" s="117"/>
      <c r="AY1792" s="117"/>
      <c r="AZ1792" s="117"/>
      <c r="BA1792" s="117"/>
      <c r="BB1792" s="117"/>
      <c r="BC1792" s="117"/>
      <c r="BD1792" s="117"/>
    </row>
    <row r="1793" spans="1:56" ht="15">
      <c r="A1793" s="114"/>
      <c r="B1793" s="362"/>
      <c r="C1793" s="362"/>
      <c r="D1793" s="362"/>
      <c r="E1793" s="401"/>
      <c r="F1793" s="196"/>
      <c r="G1793" s="362"/>
      <c r="H1793" s="362"/>
      <c r="I1793" s="362"/>
      <c r="J1793" s="362"/>
      <c r="AX1793" s="117"/>
      <c r="AY1793" s="117"/>
      <c r="AZ1793" s="117"/>
      <c r="BA1793" s="117"/>
      <c r="BB1793" s="117"/>
      <c r="BC1793" s="117"/>
      <c r="BD1793" s="117"/>
    </row>
    <row r="1794" spans="1:56" ht="15">
      <c r="A1794" s="114"/>
      <c r="B1794" s="303" t="s">
        <v>1159</v>
      </c>
      <c r="C1794" s="362"/>
      <c r="D1794" s="362"/>
      <c r="E1794" s="410"/>
      <c r="F1794" s="362"/>
      <c r="G1794" s="362"/>
      <c r="H1794" s="362"/>
      <c r="I1794" s="362"/>
      <c r="J1794" s="362"/>
      <c r="AX1794" s="117"/>
      <c r="AY1794" s="117"/>
      <c r="AZ1794" s="117"/>
      <c r="BA1794" s="117"/>
      <c r="BB1794" s="117"/>
      <c r="BC1794" s="117"/>
      <c r="BD1794" s="117"/>
    </row>
    <row r="1795" spans="1:56" ht="15">
      <c r="A1795" s="114"/>
      <c r="B1795" s="398" t="s">
        <v>1152</v>
      </c>
      <c r="C1795" s="398"/>
      <c r="D1795" s="366"/>
      <c r="E1795" s="411">
        <v>1</v>
      </c>
      <c r="F1795" s="390" t="s">
        <v>1153</v>
      </c>
      <c r="G1795" s="362"/>
      <c r="H1795" s="362"/>
      <c r="I1795" s="362"/>
      <c r="J1795" s="362"/>
      <c r="AX1795" s="117"/>
      <c r="AY1795" s="117"/>
      <c r="AZ1795" s="117"/>
      <c r="BA1795" s="117"/>
      <c r="BB1795" s="117"/>
      <c r="BC1795" s="117"/>
      <c r="BD1795" s="117"/>
    </row>
    <row r="1796" spans="1:56" ht="15">
      <c r="A1796" s="114"/>
      <c r="B1796" s="399" t="s">
        <v>1154</v>
      </c>
      <c r="C1796" s="31"/>
      <c r="D1796" s="32"/>
      <c r="E1796" s="412">
        <f>2*E1795</f>
        <v>2</v>
      </c>
      <c r="F1796" s="390" t="s">
        <v>1153</v>
      </c>
      <c r="G1796" s="362"/>
      <c r="H1796" s="362"/>
      <c r="I1796" s="362"/>
      <c r="J1796" s="362"/>
      <c r="AX1796" s="117"/>
      <c r="AY1796" s="117"/>
      <c r="AZ1796" s="117"/>
      <c r="BA1796" s="117"/>
      <c r="BB1796" s="117"/>
      <c r="BC1796" s="117"/>
      <c r="BD1796" s="117"/>
    </row>
    <row r="1797" spans="1:56" ht="15">
      <c r="A1797" s="114"/>
      <c r="B1797" s="398" t="s">
        <v>1155</v>
      </c>
      <c r="C1797" s="21"/>
      <c r="D1797" s="413"/>
      <c r="E1797" s="411">
        <v>400</v>
      </c>
      <c r="F1797" s="390" t="s">
        <v>1156</v>
      </c>
      <c r="G1797" s="362"/>
      <c r="H1797" s="414"/>
      <c r="I1797" s="362"/>
      <c r="J1797" s="415"/>
      <c r="AX1797" s="117"/>
      <c r="AY1797" s="117"/>
      <c r="AZ1797" s="117"/>
      <c r="BA1797" s="117"/>
      <c r="BB1797" s="117"/>
      <c r="BC1797" s="117"/>
      <c r="BD1797" s="117"/>
    </row>
    <row r="1798" spans="1:56" ht="15">
      <c r="A1798" s="114"/>
      <c r="B1798" s="398" t="s">
        <v>1157</v>
      </c>
      <c r="C1798" s="21"/>
      <c r="D1798" s="413"/>
      <c r="E1798" s="416">
        <v>14</v>
      </c>
      <c r="F1798" s="390" t="s">
        <v>10</v>
      </c>
      <c r="G1798" s="362"/>
      <c r="H1798" s="6"/>
      <c r="I1798" s="362"/>
      <c r="J1798" s="362"/>
      <c r="AX1798" s="117"/>
      <c r="AY1798" s="117"/>
      <c r="AZ1798" s="117"/>
      <c r="BA1798" s="117"/>
      <c r="BB1798" s="117"/>
      <c r="BC1798" s="117"/>
      <c r="BD1798" s="117"/>
    </row>
    <row r="1799" spans="1:56" ht="15">
      <c r="A1799" s="114"/>
      <c r="B1799" s="398" t="s">
        <v>1158</v>
      </c>
      <c r="C1799" s="21"/>
      <c r="D1799" s="413"/>
      <c r="E1799" s="412">
        <f>E1796*E1798</f>
        <v>28</v>
      </c>
      <c r="F1799" s="390" t="s">
        <v>10</v>
      </c>
      <c r="G1799" s="362"/>
      <c r="H1799" s="362"/>
      <c r="I1799" s="362"/>
      <c r="J1799" s="362"/>
      <c r="AX1799" s="117"/>
      <c r="AY1799" s="117"/>
      <c r="AZ1799" s="117"/>
      <c r="BA1799" s="117"/>
      <c r="BB1799" s="117"/>
      <c r="BC1799" s="117"/>
      <c r="BD1799" s="117"/>
    </row>
    <row r="1800" spans="1:56" ht="15">
      <c r="A1800" s="114"/>
      <c r="B1800" s="362"/>
      <c r="C1800" s="362"/>
      <c r="D1800" s="362"/>
      <c r="E1800" s="410"/>
      <c r="F1800" s="362"/>
      <c r="G1800" s="362"/>
      <c r="H1800" s="362"/>
      <c r="I1800" s="362"/>
      <c r="J1800" s="362"/>
      <c r="AX1800" s="117"/>
      <c r="AY1800" s="117"/>
      <c r="AZ1800" s="117"/>
      <c r="BA1800" s="117"/>
      <c r="BB1800" s="117"/>
      <c r="BC1800" s="117"/>
      <c r="BD1800" s="117"/>
    </row>
    <row r="1801" spans="1:56" ht="15">
      <c r="A1801" s="114"/>
      <c r="B1801" s="303" t="s">
        <v>1160</v>
      </c>
      <c r="C1801" s="362"/>
      <c r="D1801" s="362"/>
      <c r="E1801" s="410"/>
      <c r="F1801" s="362"/>
      <c r="G1801" s="362"/>
      <c r="H1801" s="362"/>
      <c r="I1801" s="362"/>
      <c r="J1801" s="362"/>
      <c r="AX1801" s="117"/>
      <c r="AY1801" s="117"/>
      <c r="AZ1801" s="117"/>
      <c r="BA1801" s="117"/>
      <c r="BB1801" s="117"/>
      <c r="BC1801" s="117"/>
      <c r="BD1801" s="117"/>
    </row>
    <row r="1802" spans="1:56" ht="18">
      <c r="A1802" s="114"/>
      <c r="B1802" s="398" t="s">
        <v>1128</v>
      </c>
      <c r="C1802" s="172"/>
      <c r="D1802" s="173"/>
      <c r="E1802" s="402">
        <f>E1791*0.05</f>
        <v>0.15000000000000002</v>
      </c>
      <c r="F1802" s="390" t="s">
        <v>1124</v>
      </c>
      <c r="G1802" s="362"/>
      <c r="H1802" s="362"/>
      <c r="I1802" s="362"/>
      <c r="J1802" s="362"/>
      <c r="AX1802" s="117"/>
      <c r="AY1802" s="117"/>
      <c r="AZ1802" s="117"/>
      <c r="BA1802" s="117"/>
      <c r="BB1802" s="117"/>
      <c r="BC1802" s="117"/>
      <c r="BD1802" s="117"/>
    </row>
    <row r="1803" spans="1:56" ht="15">
      <c r="A1803" s="114"/>
      <c r="B1803" s="398" t="s">
        <v>1129</v>
      </c>
      <c r="C1803" s="172"/>
      <c r="D1803" s="173"/>
      <c r="E1803" s="397">
        <f>(2*(C1777+C1778)*C1780)*C1781</f>
        <v>9.6000000000000014</v>
      </c>
      <c r="F1803" s="390" t="s">
        <v>13</v>
      </c>
      <c r="G1803" s="362"/>
      <c r="H1803" s="362"/>
      <c r="I1803" s="362"/>
      <c r="J1803" s="362"/>
      <c r="AX1803" s="117"/>
      <c r="AY1803" s="117"/>
      <c r="AZ1803" s="117"/>
      <c r="BA1803" s="117"/>
      <c r="BB1803" s="117"/>
      <c r="BC1803" s="117"/>
      <c r="BD1803" s="117"/>
    </row>
    <row r="1804" spans="1:56" ht="18">
      <c r="A1804" s="114"/>
      <c r="B1804" s="398" t="s">
        <v>1130</v>
      </c>
      <c r="C1804" s="172"/>
      <c r="D1804" s="173"/>
      <c r="E1804" s="402">
        <f>(C1777*C1778*C1780)*C1781</f>
        <v>1.9200000000000004</v>
      </c>
      <c r="F1804" s="390" t="s">
        <v>1124</v>
      </c>
      <c r="G1804" s="362"/>
      <c r="H1804" s="362"/>
      <c r="I1804" s="362"/>
      <c r="J1804" s="362"/>
      <c r="AX1804" s="117"/>
      <c r="AY1804" s="117"/>
      <c r="AZ1804" s="117"/>
      <c r="BA1804" s="117"/>
      <c r="BB1804" s="117"/>
      <c r="BC1804" s="117"/>
      <c r="BD1804" s="117"/>
    </row>
    <row r="1805" spans="1:56" ht="15">
      <c r="A1805" s="114"/>
      <c r="B1805" s="114"/>
      <c r="C1805" s="114"/>
      <c r="D1805" s="114"/>
      <c r="E1805" s="114"/>
      <c r="F1805" s="114"/>
      <c r="G1805" s="114"/>
      <c r="H1805" s="114"/>
      <c r="I1805" s="114"/>
      <c r="J1805" s="114"/>
      <c r="AW1805" s="117"/>
      <c r="AX1805" s="117"/>
      <c r="AY1805" s="117"/>
      <c r="AZ1805" s="117"/>
      <c r="BA1805" s="117"/>
      <c r="BB1805" s="117"/>
      <c r="BC1805" s="117"/>
      <c r="BD1805" s="117"/>
    </row>
    <row r="1806" spans="1:56" ht="15">
      <c r="A1806" s="114"/>
      <c r="B1806" s="114"/>
      <c r="C1806" s="196"/>
      <c r="D1806" s="196"/>
      <c r="E1806" s="196"/>
      <c r="F1806" s="196"/>
      <c r="G1806" s="114"/>
      <c r="H1806" s="114"/>
      <c r="I1806" s="386"/>
      <c r="J1806" s="196"/>
      <c r="AX1806" s="117"/>
      <c r="AY1806" s="117"/>
      <c r="AZ1806" s="117"/>
      <c r="BA1806" s="117"/>
      <c r="BB1806" s="117"/>
      <c r="BC1806" s="117"/>
      <c r="BD1806" s="117"/>
    </row>
    <row r="1807" spans="1:56" ht="15">
      <c r="A1807" s="114"/>
      <c r="B1807" s="288"/>
      <c r="C1807" s="230"/>
      <c r="D1807" s="230"/>
      <c r="E1807" s="384"/>
      <c r="F1807" s="196"/>
      <c r="G1807" s="114"/>
      <c r="H1807" s="114"/>
      <c r="I1807" s="196"/>
      <c r="J1807" s="114"/>
      <c r="AW1807" s="117"/>
      <c r="AX1807" s="117"/>
      <c r="AY1807" s="117"/>
      <c r="AZ1807" s="117"/>
      <c r="BA1807" s="117"/>
      <c r="BB1807" s="117"/>
      <c r="BC1807" s="117"/>
      <c r="BD1807" s="117"/>
    </row>
    <row r="1808" spans="1:56" ht="15">
      <c r="A1808" s="114"/>
      <c r="B1808" s="114"/>
      <c r="C1808" s="230"/>
      <c r="D1808" s="230"/>
      <c r="E1808" s="384"/>
      <c r="F1808" s="196"/>
      <c r="G1808" s="114"/>
      <c r="H1808" s="114"/>
      <c r="I1808" s="196"/>
      <c r="J1808" s="114"/>
      <c r="AW1808" s="117"/>
      <c r="AX1808" s="117"/>
      <c r="AY1808" s="117"/>
      <c r="AZ1808" s="117"/>
      <c r="BA1808" s="117"/>
      <c r="BB1808" s="117"/>
      <c r="BC1808" s="117"/>
      <c r="BD1808" s="117"/>
    </row>
    <row r="1809" spans="1:56" customFormat="1">
      <c r="B1809" s="385" t="s">
        <v>1174</v>
      </c>
      <c r="C1809" s="362"/>
      <c r="D1809" s="362"/>
      <c r="E1809" s="362"/>
      <c r="F1809" s="362"/>
      <c r="G1809" s="115"/>
      <c r="H1809" s="115"/>
      <c r="I1809" s="362"/>
      <c r="J1809" s="362"/>
    </row>
    <row r="1810" spans="1:56" ht="15">
      <c r="A1810" s="114"/>
      <c r="B1810" s="362"/>
      <c r="C1810" s="362"/>
      <c r="D1810" s="362"/>
      <c r="E1810" s="362"/>
      <c r="F1810" s="404"/>
      <c r="G1810" s="196"/>
      <c r="H1810" s="196"/>
      <c r="I1810" s="404"/>
      <c r="J1810" s="404"/>
      <c r="AX1810" s="117"/>
      <c r="AY1810" s="117"/>
      <c r="AZ1810" s="117"/>
      <c r="BA1810" s="117"/>
      <c r="BB1810" s="117"/>
      <c r="BC1810" s="117"/>
      <c r="BD1810" s="117"/>
    </row>
    <row r="1811" spans="1:56" ht="18">
      <c r="A1811" s="114"/>
      <c r="B1811" s="388" t="s">
        <v>1141</v>
      </c>
      <c r="C1811" s="389">
        <v>0.3</v>
      </c>
      <c r="D1811" s="390" t="s">
        <v>10</v>
      </c>
      <c r="E1811" s="196"/>
      <c r="F1811" s="405"/>
      <c r="G1811" s="196"/>
      <c r="H1811" s="196"/>
      <c r="I1811" s="405" t="s">
        <v>1143</v>
      </c>
      <c r="J1811" s="405"/>
      <c r="AX1811" s="117"/>
      <c r="AY1811" s="117"/>
      <c r="AZ1811" s="117"/>
      <c r="BA1811" s="117"/>
      <c r="BB1811" s="117"/>
      <c r="BC1811" s="117"/>
      <c r="BD1811" s="117"/>
    </row>
    <row r="1812" spans="1:56" ht="15">
      <c r="A1812" s="114"/>
      <c r="B1812" s="388" t="s">
        <v>1144</v>
      </c>
      <c r="C1812" s="389">
        <v>0.2</v>
      </c>
      <c r="D1812" s="390" t="s">
        <v>10</v>
      </c>
      <c r="E1812" s="196"/>
      <c r="F1812" s="405"/>
      <c r="G1812" s="362"/>
      <c r="H1812" s="362"/>
      <c r="I1812" s="405"/>
      <c r="J1812" s="405"/>
      <c r="AX1812" s="117"/>
      <c r="AY1812" s="117"/>
      <c r="AZ1812" s="117"/>
      <c r="BA1812" s="117"/>
      <c r="BB1812" s="117"/>
      <c r="BC1812" s="117"/>
      <c r="BD1812" s="117"/>
    </row>
    <row r="1813" spans="1:56" ht="15">
      <c r="A1813" s="114"/>
      <c r="B1813" s="388" t="s">
        <v>1145</v>
      </c>
      <c r="C1813" s="389">
        <v>0.8</v>
      </c>
      <c r="D1813" s="390" t="s">
        <v>10</v>
      </c>
      <c r="E1813" s="196"/>
      <c r="F1813" s="405"/>
      <c r="G1813" s="404"/>
      <c r="H1813" s="404"/>
      <c r="I1813" s="405"/>
      <c r="J1813" s="405"/>
      <c r="AX1813" s="117"/>
      <c r="AY1813" s="117"/>
      <c r="AZ1813" s="117"/>
      <c r="BA1813" s="117"/>
      <c r="BB1813" s="117"/>
      <c r="BC1813" s="117"/>
      <c r="BD1813" s="117"/>
    </row>
    <row r="1814" spans="1:56" ht="18">
      <c r="A1814" s="114"/>
      <c r="B1814" s="388" t="s">
        <v>1146</v>
      </c>
      <c r="C1814" s="389">
        <v>0.8</v>
      </c>
      <c r="D1814" s="390" t="s">
        <v>10</v>
      </c>
      <c r="E1814" s="196"/>
      <c r="F1814" s="405"/>
      <c r="G1814" s="406" t="s">
        <v>1142</v>
      </c>
      <c r="H1814" s="407">
        <f>C1811*C1812</f>
        <v>0.06</v>
      </c>
      <c r="I1814" s="405" t="s">
        <v>1143</v>
      </c>
      <c r="J1814" s="405"/>
      <c r="AX1814" s="117"/>
      <c r="AY1814" s="117"/>
      <c r="AZ1814" s="117"/>
      <c r="BA1814" s="117"/>
      <c r="BB1814" s="117"/>
      <c r="BC1814" s="117"/>
      <c r="BD1814" s="117"/>
    </row>
    <row r="1815" spans="1:56" ht="18">
      <c r="A1815" s="114"/>
      <c r="B1815" s="388" t="s">
        <v>1112</v>
      </c>
      <c r="C1815" s="389">
        <v>1.85</v>
      </c>
      <c r="D1815" s="390" t="s">
        <v>10</v>
      </c>
      <c r="E1815" s="196"/>
      <c r="F1815" s="405"/>
      <c r="G1815" s="406" t="e">
        <f>TEXT(C1819,"tg 0°=")</f>
        <v>#VALUE!</v>
      </c>
      <c r="H1815" s="408">
        <f>TAN(3.14159265359*C1819/180)</f>
        <v>1.732050807569153</v>
      </c>
      <c r="I1815" s="405" t="s">
        <v>1143</v>
      </c>
      <c r="J1815" s="405"/>
      <c r="AX1815" s="117"/>
      <c r="AY1815" s="117"/>
      <c r="AZ1815" s="117"/>
      <c r="BA1815" s="117"/>
      <c r="BB1815" s="117"/>
      <c r="BC1815" s="117"/>
      <c r="BD1815" s="117"/>
    </row>
    <row r="1816" spans="1:56" ht="15">
      <c r="A1816" s="114"/>
      <c r="B1816" s="388" t="s">
        <v>1113</v>
      </c>
      <c r="C1816" s="389">
        <v>1</v>
      </c>
      <c r="D1816" s="390" t="s">
        <v>10</v>
      </c>
      <c r="E1816" s="196"/>
      <c r="F1816" s="405"/>
      <c r="G1816" s="406"/>
      <c r="H1816" s="407"/>
      <c r="I1816" s="405"/>
      <c r="J1816" s="405"/>
      <c r="AX1816" s="117"/>
      <c r="AY1816" s="117"/>
      <c r="AZ1816" s="117"/>
      <c r="BA1816" s="117"/>
      <c r="BB1816" s="117"/>
      <c r="BC1816" s="117"/>
      <c r="BD1816" s="117"/>
    </row>
    <row r="1817" spans="1:56" ht="15">
      <c r="A1817" s="114"/>
      <c r="B1817" s="388" t="s">
        <v>1117</v>
      </c>
      <c r="C1817" s="391">
        <v>1</v>
      </c>
      <c r="D1817" s="390" t="s">
        <v>1118</v>
      </c>
      <c r="E1817" s="196"/>
      <c r="F1817" s="405"/>
      <c r="G1817" s="406" t="s">
        <v>1142</v>
      </c>
      <c r="H1817" s="409">
        <f>(C1813+2*C1821+((C1815+C1816+0.05)/H1815)*2)*(C1814+2*C1821+((C1815+C1816+0.05)/H1815)*2)</f>
        <v>26.508406954007235</v>
      </c>
      <c r="I1817" s="405"/>
      <c r="J1817" s="405"/>
      <c r="AX1817" s="117"/>
      <c r="AY1817" s="117"/>
      <c r="AZ1817" s="117"/>
      <c r="BA1817" s="117"/>
      <c r="BB1817" s="117"/>
      <c r="BC1817" s="117"/>
      <c r="BD1817" s="117"/>
    </row>
    <row r="1818" spans="1:56" ht="15">
      <c r="A1818" s="114"/>
      <c r="B1818" s="196" t="s">
        <v>1148</v>
      </c>
      <c r="C1818" s="393"/>
      <c r="D1818" s="196"/>
      <c r="E1818" s="196"/>
      <c r="F1818" s="405"/>
      <c r="G1818" s="406" t="s">
        <v>1147</v>
      </c>
      <c r="H1818" s="409">
        <f>(C1813+2*C1821)*(C1814+2*C1821)</f>
        <v>3.24</v>
      </c>
      <c r="I1818" s="405"/>
      <c r="J1818" s="405"/>
      <c r="AX1818" s="117"/>
      <c r="AY1818" s="117"/>
      <c r="AZ1818" s="117"/>
      <c r="BA1818" s="117"/>
      <c r="BB1818" s="117"/>
      <c r="BC1818" s="117"/>
      <c r="BD1818" s="117"/>
    </row>
    <row r="1819" spans="1:56" ht="15">
      <c r="A1819" s="114"/>
      <c r="B1819" s="388" t="s">
        <v>1149</v>
      </c>
      <c r="C1819" s="389">
        <v>60</v>
      </c>
      <c r="D1819" s="390" t="s">
        <v>1150</v>
      </c>
      <c r="E1819" s="196"/>
      <c r="F1819" s="196"/>
      <c r="G1819" s="406"/>
      <c r="H1819" s="407"/>
      <c r="I1819" s="196"/>
      <c r="J1819" s="196"/>
      <c r="AX1819" s="117"/>
      <c r="AY1819" s="117"/>
      <c r="AZ1819" s="117"/>
      <c r="BA1819" s="117"/>
      <c r="BB1819" s="117"/>
      <c r="BC1819" s="117"/>
      <c r="BD1819" s="117"/>
    </row>
    <row r="1820" spans="1:56" ht="15">
      <c r="A1820" s="114"/>
      <c r="B1820" s="362"/>
      <c r="C1820" s="196"/>
      <c r="D1820" s="196"/>
      <c r="E1820" s="196"/>
      <c r="F1820" s="196"/>
      <c r="G1820" s="406"/>
      <c r="H1820" s="407"/>
      <c r="I1820" s="362"/>
      <c r="J1820" s="196"/>
      <c r="AX1820" s="117"/>
      <c r="AY1820" s="117"/>
      <c r="AZ1820" s="117"/>
      <c r="BA1820" s="117"/>
      <c r="BB1820" s="117"/>
      <c r="BC1820" s="117"/>
      <c r="BD1820" s="117"/>
    </row>
    <row r="1821" spans="1:56" ht="15">
      <c r="A1821" s="114"/>
      <c r="B1821" s="388" t="s">
        <v>1114</v>
      </c>
      <c r="C1821" s="389">
        <v>0.5</v>
      </c>
      <c r="D1821" s="390" t="s">
        <v>10</v>
      </c>
      <c r="E1821" s="288" t="s">
        <v>1120</v>
      </c>
      <c r="F1821" s="196"/>
      <c r="G1821" s="406"/>
      <c r="H1821" s="407"/>
      <c r="I1821" s="114"/>
      <c r="J1821" s="196"/>
      <c r="AX1821" s="117"/>
      <c r="AY1821" s="117"/>
      <c r="AZ1821" s="117"/>
      <c r="BA1821" s="117"/>
      <c r="BB1821" s="117"/>
      <c r="BC1821" s="117"/>
      <c r="BD1821" s="117"/>
    </row>
    <row r="1822" spans="1:56" ht="15">
      <c r="A1822" s="114"/>
      <c r="B1822" s="388" t="s">
        <v>1114</v>
      </c>
      <c r="C1822" s="389">
        <v>0.1</v>
      </c>
      <c r="D1822" s="390" t="s">
        <v>10</v>
      </c>
      <c r="E1822" s="288" t="s">
        <v>1121</v>
      </c>
      <c r="F1822" s="196"/>
      <c r="G1822" s="392"/>
      <c r="H1822" s="393"/>
      <c r="I1822" s="196"/>
      <c r="J1822" s="196"/>
      <c r="AX1822" s="117"/>
      <c r="AY1822" s="117"/>
      <c r="AZ1822" s="117"/>
      <c r="BA1822" s="117"/>
      <c r="BB1822" s="117"/>
      <c r="BC1822" s="117"/>
      <c r="BD1822" s="117"/>
    </row>
    <row r="1823" spans="1:56" ht="15">
      <c r="A1823" s="114"/>
      <c r="B1823" s="362"/>
      <c r="C1823" s="362"/>
      <c r="D1823" s="362"/>
      <c r="E1823" s="362"/>
      <c r="F1823" s="362"/>
      <c r="G1823" s="362"/>
      <c r="H1823" s="362"/>
      <c r="I1823" s="196"/>
      <c r="J1823" s="196"/>
      <c r="AX1823" s="117"/>
      <c r="AY1823" s="117"/>
      <c r="AZ1823" s="117"/>
      <c r="BA1823" s="117"/>
      <c r="BB1823" s="117"/>
      <c r="BC1823" s="117"/>
      <c r="BD1823" s="117"/>
    </row>
    <row r="1824" spans="1:56" ht="15">
      <c r="A1824" s="114"/>
      <c r="B1824" s="303" t="s">
        <v>1122</v>
      </c>
      <c r="C1824" s="362"/>
      <c r="D1824" s="362"/>
      <c r="E1824" s="362"/>
      <c r="F1824" s="362"/>
      <c r="G1824" s="196" t="s">
        <v>1131</v>
      </c>
      <c r="H1824" s="114"/>
      <c r="I1824" s="196"/>
      <c r="J1824" s="196"/>
      <c r="AX1824" s="117"/>
      <c r="AY1824" s="117"/>
      <c r="AZ1824" s="117"/>
      <c r="BA1824" s="117"/>
      <c r="BB1824" s="117"/>
      <c r="BC1824" s="117"/>
      <c r="BD1824" s="117"/>
    </row>
    <row r="1825" spans="1:56" ht="18">
      <c r="A1825" s="114"/>
      <c r="B1825" s="398" t="s">
        <v>1123</v>
      </c>
      <c r="C1825" s="172"/>
      <c r="D1825" s="173"/>
      <c r="E1825" s="397">
        <f>C1817*((H1818+H1817)/2)*(C1815+C1816+0.05)</f>
        <v>43.135190083310491</v>
      </c>
      <c r="F1825" s="390" t="s">
        <v>1124</v>
      </c>
      <c r="G1825" s="196"/>
      <c r="H1825" s="196"/>
      <c r="I1825" s="362"/>
      <c r="J1825" s="362"/>
      <c r="AX1825" s="117"/>
      <c r="AY1825" s="117"/>
      <c r="AZ1825" s="117"/>
      <c r="BA1825" s="117"/>
      <c r="BB1825" s="117"/>
      <c r="BC1825" s="117"/>
      <c r="BD1825" s="117"/>
    </row>
    <row r="1826" spans="1:56" ht="18">
      <c r="A1826" s="114"/>
      <c r="B1826" s="398" t="s">
        <v>1125</v>
      </c>
      <c r="C1826" s="172"/>
      <c r="D1826" s="173"/>
      <c r="E1826" s="400">
        <f>E1825-C1817*(C1813*C1814*C1816+C1813*C1814*0.05+C1811*C1812*C1815)</f>
        <v>42.352190083310489</v>
      </c>
      <c r="F1826" s="390" t="s">
        <v>1124</v>
      </c>
      <c r="G1826" s="196"/>
      <c r="H1826" s="196"/>
      <c r="I1826" s="196"/>
      <c r="J1826" s="196"/>
      <c r="AX1826" s="117"/>
      <c r="AY1826" s="117"/>
      <c r="AZ1826" s="117"/>
      <c r="BA1826" s="117"/>
      <c r="BB1826" s="117"/>
      <c r="BC1826" s="117"/>
      <c r="BD1826" s="117"/>
    </row>
    <row r="1827" spans="1:56" ht="15">
      <c r="A1827" s="114"/>
      <c r="B1827" s="398" t="s">
        <v>1126</v>
      </c>
      <c r="C1827" s="172"/>
      <c r="D1827" s="173"/>
      <c r="E1827" s="400">
        <f>((C1813+2*C1822)*(C1814+2*C1822))*C1817</f>
        <v>1</v>
      </c>
      <c r="F1827" s="390" t="s">
        <v>13</v>
      </c>
      <c r="G1827" s="362"/>
      <c r="H1827" s="362"/>
      <c r="I1827" s="362"/>
      <c r="J1827" s="362"/>
      <c r="AX1827" s="117"/>
      <c r="AY1827" s="117"/>
      <c r="AZ1827" s="117"/>
      <c r="BA1827" s="117"/>
      <c r="BB1827" s="117"/>
      <c r="BC1827" s="117"/>
      <c r="BD1827" s="117"/>
    </row>
    <row r="1828" spans="1:56" ht="15">
      <c r="A1828" s="114"/>
      <c r="B1828" s="362"/>
      <c r="C1828" s="362"/>
      <c r="D1828" s="362"/>
      <c r="E1828" s="401"/>
      <c r="F1828" s="196"/>
      <c r="G1828" s="362"/>
      <c r="H1828" s="362"/>
      <c r="I1828" s="362"/>
      <c r="J1828" s="362"/>
      <c r="AX1828" s="117"/>
      <c r="AY1828" s="117"/>
      <c r="AZ1828" s="117"/>
      <c r="BA1828" s="117"/>
      <c r="BB1828" s="117"/>
      <c r="BC1828" s="117"/>
      <c r="BD1828" s="117"/>
    </row>
    <row r="1829" spans="1:56" ht="15">
      <c r="A1829" s="114"/>
      <c r="B1829" s="303" t="s">
        <v>1162</v>
      </c>
      <c r="C1829" s="362"/>
      <c r="D1829" s="362"/>
      <c r="E1829" s="410"/>
      <c r="F1829" s="362"/>
      <c r="G1829" s="362"/>
      <c r="H1829" s="362"/>
      <c r="I1829" s="362"/>
      <c r="J1829" s="362"/>
      <c r="AX1829" s="117"/>
      <c r="AY1829" s="117"/>
      <c r="AZ1829" s="117"/>
      <c r="BA1829" s="117"/>
      <c r="BB1829" s="117"/>
      <c r="BC1829" s="117"/>
      <c r="BD1829" s="117"/>
    </row>
    <row r="1830" spans="1:56" ht="15">
      <c r="A1830" s="114"/>
      <c r="B1830" s="398" t="s">
        <v>1152</v>
      </c>
      <c r="C1830" s="398"/>
      <c r="D1830" s="366"/>
      <c r="E1830" s="411">
        <v>2</v>
      </c>
      <c r="F1830" s="390" t="s">
        <v>1153</v>
      </c>
      <c r="G1830" s="362"/>
      <c r="H1830" s="362"/>
      <c r="I1830" s="362"/>
      <c r="J1830" s="362"/>
      <c r="AX1830" s="117"/>
      <c r="AY1830" s="117"/>
      <c r="AZ1830" s="117"/>
      <c r="BA1830" s="117"/>
      <c r="BB1830" s="117"/>
      <c r="BC1830" s="117"/>
      <c r="BD1830" s="117"/>
    </row>
    <row r="1831" spans="1:56" ht="15">
      <c r="A1831" s="114"/>
      <c r="B1831" s="399" t="s">
        <v>1154</v>
      </c>
      <c r="C1831" s="31"/>
      <c r="D1831" s="32"/>
      <c r="E1831" s="412">
        <f>C1817*E1830</f>
        <v>2</v>
      </c>
      <c r="F1831" s="390" t="s">
        <v>1153</v>
      </c>
      <c r="G1831" s="362"/>
      <c r="H1831" s="362"/>
      <c r="I1831" s="362"/>
      <c r="J1831" s="362"/>
      <c r="AX1831" s="117"/>
      <c r="AY1831" s="117"/>
      <c r="AZ1831" s="117"/>
      <c r="BA1831" s="117"/>
      <c r="BB1831" s="117"/>
      <c r="BC1831" s="117"/>
      <c r="BD1831" s="117"/>
    </row>
    <row r="1832" spans="1:56" ht="15">
      <c r="A1832" s="114"/>
      <c r="B1832" s="398" t="s">
        <v>1155</v>
      </c>
      <c r="C1832" s="21"/>
      <c r="D1832" s="413"/>
      <c r="E1832" s="411">
        <v>350</v>
      </c>
      <c r="F1832" s="390" t="s">
        <v>1156</v>
      </c>
      <c r="G1832" s="362"/>
      <c r="H1832" s="414"/>
      <c r="I1832" s="362"/>
      <c r="J1832" s="415"/>
      <c r="AX1832" s="117"/>
      <c r="AY1832" s="117"/>
      <c r="AZ1832" s="117"/>
      <c r="BA1832" s="117"/>
      <c r="BB1832" s="117"/>
      <c r="BC1832" s="117"/>
      <c r="BD1832" s="117"/>
    </row>
    <row r="1833" spans="1:56" ht="15">
      <c r="A1833" s="114"/>
      <c r="B1833" s="398" t="s">
        <v>1157</v>
      </c>
      <c r="C1833" s="21"/>
      <c r="D1833" s="413"/>
      <c r="E1833" s="416">
        <v>13</v>
      </c>
      <c r="F1833" s="390" t="s">
        <v>10</v>
      </c>
      <c r="G1833" s="362"/>
      <c r="H1833" s="6"/>
      <c r="I1833" s="362"/>
      <c r="J1833" s="362"/>
      <c r="AX1833" s="117"/>
      <c r="AY1833" s="117"/>
      <c r="AZ1833" s="117"/>
      <c r="BA1833" s="117"/>
      <c r="BB1833" s="117"/>
      <c r="BC1833" s="117"/>
      <c r="BD1833" s="117"/>
    </row>
    <row r="1834" spans="1:56" ht="15">
      <c r="A1834" s="114"/>
      <c r="B1834" s="398" t="s">
        <v>1158</v>
      </c>
      <c r="C1834" s="21"/>
      <c r="D1834" s="413"/>
      <c r="E1834" s="412">
        <f>E1831*E1833</f>
        <v>26</v>
      </c>
      <c r="F1834" s="390" t="s">
        <v>10</v>
      </c>
      <c r="G1834" s="362"/>
      <c r="H1834" s="362"/>
      <c r="I1834" s="362"/>
      <c r="J1834" s="362"/>
      <c r="AX1834" s="117"/>
      <c r="AY1834" s="117"/>
      <c r="AZ1834" s="117"/>
      <c r="BA1834" s="117"/>
      <c r="BB1834" s="117"/>
      <c r="BC1834" s="117"/>
      <c r="BD1834" s="117"/>
    </row>
    <row r="1835" spans="1:56" ht="15">
      <c r="A1835" s="114"/>
      <c r="B1835" s="362"/>
      <c r="C1835" s="362"/>
      <c r="D1835" s="362"/>
      <c r="E1835" s="410"/>
      <c r="F1835" s="362"/>
      <c r="G1835" s="362"/>
      <c r="H1835" s="362"/>
      <c r="I1835" s="362"/>
      <c r="J1835" s="362"/>
      <c r="AX1835" s="117"/>
      <c r="AY1835" s="117"/>
      <c r="AZ1835" s="117"/>
      <c r="BA1835" s="117"/>
      <c r="BB1835" s="117"/>
      <c r="BC1835" s="117"/>
      <c r="BD1835" s="117"/>
    </row>
    <row r="1836" spans="1:56" ht="15">
      <c r="A1836" s="114"/>
      <c r="B1836" s="303" t="s">
        <v>1160</v>
      </c>
      <c r="C1836" s="362"/>
      <c r="D1836" s="362"/>
      <c r="E1836" s="410"/>
      <c r="F1836" s="362"/>
      <c r="G1836" s="362"/>
      <c r="H1836" s="362"/>
      <c r="I1836" s="362"/>
      <c r="J1836" s="362"/>
      <c r="AX1836" s="117"/>
      <c r="AY1836" s="117"/>
      <c r="AZ1836" s="117"/>
      <c r="BA1836" s="117"/>
      <c r="BB1836" s="117"/>
      <c r="BC1836" s="117"/>
      <c r="BD1836" s="117"/>
    </row>
    <row r="1837" spans="1:56" ht="18">
      <c r="A1837" s="114"/>
      <c r="B1837" s="398" t="s">
        <v>1128</v>
      </c>
      <c r="C1837" s="172"/>
      <c r="D1837" s="173"/>
      <c r="E1837" s="402">
        <f>E1827*0.05</f>
        <v>0.05</v>
      </c>
      <c r="F1837" s="390" t="s">
        <v>1124</v>
      </c>
      <c r="G1837" s="362"/>
      <c r="H1837" s="362"/>
      <c r="I1837" s="362"/>
      <c r="J1837" s="362"/>
      <c r="AX1837" s="117"/>
      <c r="AY1837" s="117"/>
      <c r="AZ1837" s="117"/>
      <c r="BA1837" s="117"/>
      <c r="BB1837" s="117"/>
      <c r="BC1837" s="117"/>
      <c r="BD1837" s="117"/>
    </row>
    <row r="1838" spans="1:56" ht="15">
      <c r="A1838" s="114"/>
      <c r="B1838" s="398" t="s">
        <v>1129</v>
      </c>
      <c r="C1838" s="172"/>
      <c r="D1838" s="173"/>
      <c r="E1838" s="397">
        <f>(2*(C1813+C1814)*C1816)*C1817</f>
        <v>3.2</v>
      </c>
      <c r="F1838" s="390" t="s">
        <v>13</v>
      </c>
      <c r="G1838" s="362"/>
      <c r="H1838" s="362"/>
      <c r="I1838" s="362"/>
      <c r="J1838" s="362"/>
      <c r="AX1838" s="117"/>
      <c r="AY1838" s="117"/>
      <c r="AZ1838" s="117"/>
      <c r="BA1838" s="117"/>
      <c r="BB1838" s="117"/>
      <c r="BC1838" s="117"/>
      <c r="BD1838" s="117"/>
    </row>
    <row r="1839" spans="1:56" ht="18">
      <c r="A1839" s="114"/>
      <c r="B1839" s="398" t="s">
        <v>1130</v>
      </c>
      <c r="C1839" s="172"/>
      <c r="D1839" s="173"/>
      <c r="E1839" s="402">
        <f>(C1813*C1814*C1816)*C1817</f>
        <v>0.64000000000000012</v>
      </c>
      <c r="F1839" s="390" t="s">
        <v>1124</v>
      </c>
      <c r="G1839" s="362"/>
      <c r="H1839" s="362"/>
      <c r="I1839" s="362"/>
      <c r="J1839" s="362"/>
      <c r="AX1839" s="117"/>
      <c r="AY1839" s="117"/>
      <c r="AZ1839" s="117"/>
      <c r="BA1839" s="117"/>
      <c r="BB1839" s="117"/>
      <c r="BC1839" s="117"/>
      <c r="BD1839" s="117"/>
    </row>
    <row r="1840" spans="1:56" ht="15">
      <c r="A1840" s="114"/>
      <c r="B1840" s="114"/>
      <c r="C1840" s="196"/>
      <c r="D1840" s="196"/>
      <c r="E1840" s="196"/>
      <c r="F1840" s="196"/>
      <c r="G1840" s="114"/>
      <c r="H1840" s="114"/>
      <c r="I1840" s="386"/>
      <c r="J1840" s="196"/>
      <c r="AX1840" s="117"/>
      <c r="AY1840" s="117"/>
      <c r="AZ1840" s="117"/>
      <c r="BA1840" s="117"/>
      <c r="BB1840" s="117"/>
      <c r="BC1840" s="117"/>
      <c r="BD1840" s="117"/>
    </row>
    <row r="1841" spans="1:56" ht="15">
      <c r="A1841" s="114"/>
      <c r="B1841" s="288"/>
      <c r="C1841" s="230"/>
      <c r="D1841" s="230"/>
      <c r="E1841" s="384"/>
      <c r="F1841" s="196"/>
      <c r="G1841" s="114"/>
      <c r="H1841" s="114"/>
      <c r="I1841" s="196"/>
      <c r="J1841" s="114"/>
      <c r="AW1841" s="117"/>
      <c r="AX1841" s="117"/>
      <c r="AY1841" s="117"/>
      <c r="AZ1841" s="117"/>
      <c r="BA1841" s="117"/>
      <c r="BB1841" s="117"/>
      <c r="BC1841" s="117"/>
      <c r="BD1841" s="117"/>
    </row>
    <row r="1842" spans="1:56" ht="15">
      <c r="A1842" s="114"/>
      <c r="B1842" s="114"/>
      <c r="C1842" s="230"/>
      <c r="D1842" s="230"/>
      <c r="E1842" s="384"/>
      <c r="F1842" s="196"/>
      <c r="G1842" s="114"/>
      <c r="H1842" s="114"/>
      <c r="I1842" s="196"/>
      <c r="J1842" s="114"/>
      <c r="AW1842" s="117"/>
      <c r="AX1842" s="117"/>
      <c r="AY1842" s="117"/>
      <c r="AZ1842" s="117"/>
      <c r="BA1842" s="117"/>
      <c r="BB1842" s="117"/>
      <c r="BC1842" s="117"/>
      <c r="BD1842" s="117"/>
    </row>
    <row r="1843" spans="1:56" customFormat="1">
      <c r="B1843" s="385" t="s">
        <v>1175</v>
      </c>
      <c r="C1843" s="362"/>
      <c r="D1843" s="362"/>
      <c r="E1843" s="362"/>
      <c r="F1843" s="362"/>
      <c r="G1843" s="115"/>
      <c r="H1843" s="115"/>
      <c r="I1843" s="362"/>
      <c r="J1843" s="362"/>
    </row>
    <row r="1844" spans="1:56" ht="15">
      <c r="A1844" s="114"/>
      <c r="B1844" s="362"/>
      <c r="C1844" s="362"/>
      <c r="D1844" s="362"/>
      <c r="E1844" s="362"/>
      <c r="F1844" s="404"/>
      <c r="G1844" s="196"/>
      <c r="H1844" s="196"/>
      <c r="I1844" s="404"/>
      <c r="J1844" s="404"/>
      <c r="AX1844" s="117"/>
      <c r="AY1844" s="117"/>
      <c r="AZ1844" s="117"/>
      <c r="BA1844" s="117"/>
      <c r="BB1844" s="117"/>
      <c r="BC1844" s="117"/>
      <c r="BD1844" s="117"/>
    </row>
    <row r="1845" spans="1:56" ht="18">
      <c r="A1845" s="114"/>
      <c r="B1845" s="388" t="s">
        <v>1141</v>
      </c>
      <c r="C1845" s="389">
        <v>0.6</v>
      </c>
      <c r="D1845" s="390" t="s">
        <v>10</v>
      </c>
      <c r="E1845" s="196"/>
      <c r="F1845" s="405"/>
      <c r="G1845" s="196"/>
      <c r="H1845" s="196"/>
      <c r="I1845" s="405" t="s">
        <v>1143</v>
      </c>
      <c r="J1845" s="405"/>
      <c r="AX1845" s="117"/>
      <c r="AY1845" s="117"/>
      <c r="AZ1845" s="117"/>
      <c r="BA1845" s="117"/>
      <c r="BB1845" s="117"/>
      <c r="BC1845" s="117"/>
      <c r="BD1845" s="117"/>
    </row>
    <row r="1846" spans="1:56" ht="15">
      <c r="A1846" s="114"/>
      <c r="B1846" s="388" t="s">
        <v>1144</v>
      </c>
      <c r="C1846" s="389">
        <v>0.3</v>
      </c>
      <c r="D1846" s="390" t="s">
        <v>10</v>
      </c>
      <c r="E1846" s="196"/>
      <c r="F1846" s="405"/>
      <c r="G1846" s="362"/>
      <c r="H1846" s="362"/>
      <c r="I1846" s="405"/>
      <c r="J1846" s="405"/>
      <c r="AX1846" s="117"/>
      <c r="AY1846" s="117"/>
      <c r="AZ1846" s="117"/>
      <c r="BA1846" s="117"/>
      <c r="BB1846" s="117"/>
      <c r="BC1846" s="117"/>
      <c r="BD1846" s="117"/>
    </row>
    <row r="1847" spans="1:56" ht="15">
      <c r="A1847" s="114"/>
      <c r="B1847" s="388" t="s">
        <v>1145</v>
      </c>
      <c r="C1847" s="389">
        <v>2.5</v>
      </c>
      <c r="D1847" s="390" t="s">
        <v>10</v>
      </c>
      <c r="E1847" s="196"/>
      <c r="F1847" s="405"/>
      <c r="G1847" s="404"/>
      <c r="H1847" s="404"/>
      <c r="I1847" s="405"/>
      <c r="J1847" s="405"/>
      <c r="AX1847" s="117"/>
      <c r="AY1847" s="117"/>
      <c r="AZ1847" s="117"/>
      <c r="BA1847" s="117"/>
      <c r="BB1847" s="117"/>
      <c r="BC1847" s="117"/>
      <c r="BD1847" s="117"/>
    </row>
    <row r="1848" spans="1:56" ht="18">
      <c r="A1848" s="114"/>
      <c r="B1848" s="388" t="s">
        <v>1146</v>
      </c>
      <c r="C1848" s="389">
        <v>2.5</v>
      </c>
      <c r="D1848" s="390" t="s">
        <v>10</v>
      </c>
      <c r="E1848" s="196"/>
      <c r="F1848" s="405"/>
      <c r="G1848" s="406" t="s">
        <v>1142</v>
      </c>
      <c r="H1848" s="407">
        <f>C1845*C1846</f>
        <v>0.18</v>
      </c>
      <c r="I1848" s="405" t="s">
        <v>1143</v>
      </c>
      <c r="J1848" s="405"/>
      <c r="AX1848" s="117"/>
      <c r="AY1848" s="117"/>
      <c r="AZ1848" s="117"/>
      <c r="BA1848" s="117"/>
      <c r="BB1848" s="117"/>
      <c r="BC1848" s="117"/>
      <c r="BD1848" s="117"/>
    </row>
    <row r="1849" spans="1:56" ht="18">
      <c r="A1849" s="114"/>
      <c r="B1849" s="388" t="s">
        <v>1112</v>
      </c>
      <c r="C1849" s="389">
        <v>1.85</v>
      </c>
      <c r="D1849" s="390" t="s">
        <v>10</v>
      </c>
      <c r="E1849" s="196"/>
      <c r="F1849" s="405"/>
      <c r="G1849" s="406" t="e">
        <f>TEXT(C1853,"tg 0°=")</f>
        <v>#VALUE!</v>
      </c>
      <c r="H1849" s="408">
        <f>TAN(3.14159265359*C1853/180)</f>
        <v>1.732050807569153</v>
      </c>
      <c r="I1849" s="405" t="s">
        <v>1143</v>
      </c>
      <c r="J1849" s="405"/>
      <c r="AX1849" s="117"/>
      <c r="AY1849" s="117"/>
      <c r="AZ1849" s="117"/>
      <c r="BA1849" s="117"/>
      <c r="BB1849" s="117"/>
      <c r="BC1849" s="117"/>
      <c r="BD1849" s="117"/>
    </row>
    <row r="1850" spans="1:56" ht="15">
      <c r="A1850" s="114"/>
      <c r="B1850" s="388" t="s">
        <v>1113</v>
      </c>
      <c r="C1850" s="389">
        <v>1</v>
      </c>
      <c r="D1850" s="390" t="s">
        <v>10</v>
      </c>
      <c r="E1850" s="196"/>
      <c r="F1850" s="405"/>
      <c r="G1850" s="406"/>
      <c r="H1850" s="407"/>
      <c r="I1850" s="405"/>
      <c r="J1850" s="405"/>
      <c r="AX1850" s="117"/>
      <c r="AY1850" s="117"/>
      <c r="AZ1850" s="117"/>
      <c r="BA1850" s="117"/>
      <c r="BB1850" s="117"/>
      <c r="BC1850" s="117"/>
      <c r="BD1850" s="117"/>
    </row>
    <row r="1851" spans="1:56" ht="15">
      <c r="A1851" s="114"/>
      <c r="B1851" s="388" t="s">
        <v>1117</v>
      </c>
      <c r="C1851" s="391">
        <v>1</v>
      </c>
      <c r="D1851" s="390" t="s">
        <v>1118</v>
      </c>
      <c r="E1851" s="196"/>
      <c r="F1851" s="405"/>
      <c r="G1851" s="406" t="s">
        <v>1142</v>
      </c>
      <c r="H1851" s="409">
        <f>(C1847+2*C1855+((C1849+C1850+0.05)/H1849)*2)*(C1848+2*C1855+((C1849+C1850+0.05)/H1849)*2)</f>
        <v>46.903754262424833</v>
      </c>
      <c r="I1851" s="405"/>
      <c r="J1851" s="405"/>
      <c r="AX1851" s="117"/>
      <c r="AY1851" s="117"/>
      <c r="AZ1851" s="117"/>
      <c r="BA1851" s="117"/>
      <c r="BB1851" s="117"/>
      <c r="BC1851" s="117"/>
      <c r="BD1851" s="117"/>
    </row>
    <row r="1852" spans="1:56" ht="15">
      <c r="A1852" s="114"/>
      <c r="B1852" s="196" t="s">
        <v>1148</v>
      </c>
      <c r="C1852" s="393"/>
      <c r="D1852" s="196"/>
      <c r="E1852" s="196"/>
      <c r="F1852" s="405"/>
      <c r="G1852" s="406" t="s">
        <v>1147</v>
      </c>
      <c r="H1852" s="409">
        <f>(C1847+2*C1855)*(C1848+2*C1855)</f>
        <v>12.25</v>
      </c>
      <c r="I1852" s="405"/>
      <c r="J1852" s="405"/>
      <c r="AX1852" s="117"/>
      <c r="AY1852" s="117"/>
      <c r="AZ1852" s="117"/>
      <c r="BA1852" s="117"/>
      <c r="BB1852" s="117"/>
      <c r="BC1852" s="117"/>
      <c r="BD1852" s="117"/>
    </row>
    <row r="1853" spans="1:56" ht="15">
      <c r="A1853" s="114"/>
      <c r="B1853" s="388" t="s">
        <v>1149</v>
      </c>
      <c r="C1853" s="389">
        <v>60</v>
      </c>
      <c r="D1853" s="390" t="s">
        <v>1150</v>
      </c>
      <c r="E1853" s="196"/>
      <c r="F1853" s="196"/>
      <c r="G1853" s="406"/>
      <c r="H1853" s="407"/>
      <c r="I1853" s="196"/>
      <c r="J1853" s="196"/>
      <c r="AX1853" s="117"/>
      <c r="AY1853" s="117"/>
      <c r="AZ1853" s="117"/>
      <c r="BA1853" s="117"/>
      <c r="BB1853" s="117"/>
      <c r="BC1853" s="117"/>
      <c r="BD1853" s="117"/>
    </row>
    <row r="1854" spans="1:56" ht="15">
      <c r="A1854" s="114"/>
      <c r="B1854" s="362"/>
      <c r="C1854" s="196"/>
      <c r="D1854" s="196"/>
      <c r="E1854" s="196"/>
      <c r="F1854" s="196"/>
      <c r="G1854" s="406"/>
      <c r="H1854" s="407"/>
      <c r="I1854" s="362"/>
      <c r="J1854" s="196"/>
      <c r="AX1854" s="117"/>
      <c r="AY1854" s="117"/>
      <c r="AZ1854" s="117"/>
      <c r="BA1854" s="117"/>
      <c r="BB1854" s="117"/>
      <c r="BC1854" s="117"/>
      <c r="BD1854" s="117"/>
    </row>
    <row r="1855" spans="1:56" ht="15">
      <c r="A1855" s="114"/>
      <c r="B1855" s="388" t="s">
        <v>1114</v>
      </c>
      <c r="C1855" s="389">
        <v>0.5</v>
      </c>
      <c r="D1855" s="390" t="s">
        <v>10</v>
      </c>
      <c r="E1855" s="288" t="s">
        <v>1120</v>
      </c>
      <c r="F1855" s="196"/>
      <c r="G1855" s="406"/>
      <c r="H1855" s="407"/>
      <c r="I1855" s="114"/>
      <c r="J1855" s="196"/>
      <c r="AX1855" s="117"/>
      <c r="AY1855" s="117"/>
      <c r="AZ1855" s="117"/>
      <c r="BA1855" s="117"/>
      <c r="BB1855" s="117"/>
      <c r="BC1855" s="117"/>
      <c r="BD1855" s="117"/>
    </row>
    <row r="1856" spans="1:56" ht="15">
      <c r="A1856" s="114"/>
      <c r="B1856" s="388" t="s">
        <v>1114</v>
      </c>
      <c r="C1856" s="389">
        <v>0.1</v>
      </c>
      <c r="D1856" s="390" t="s">
        <v>10</v>
      </c>
      <c r="E1856" s="288" t="s">
        <v>1121</v>
      </c>
      <c r="F1856" s="196"/>
      <c r="G1856" s="392"/>
      <c r="H1856" s="393"/>
      <c r="I1856" s="196"/>
      <c r="J1856" s="196"/>
      <c r="AX1856" s="117"/>
      <c r="AY1856" s="117"/>
      <c r="AZ1856" s="117"/>
      <c r="BA1856" s="117"/>
      <c r="BB1856" s="117"/>
      <c r="BC1856" s="117"/>
      <c r="BD1856" s="117"/>
    </row>
    <row r="1857" spans="1:56" ht="15">
      <c r="A1857" s="114"/>
      <c r="B1857" s="362"/>
      <c r="C1857" s="362"/>
      <c r="D1857" s="362"/>
      <c r="E1857" s="362"/>
      <c r="F1857" s="362"/>
      <c r="G1857" s="362"/>
      <c r="H1857" s="362"/>
      <c r="I1857" s="196"/>
      <c r="J1857" s="196"/>
      <c r="AX1857" s="117"/>
      <c r="AY1857" s="117"/>
      <c r="AZ1857" s="117"/>
      <c r="BA1857" s="117"/>
      <c r="BB1857" s="117"/>
      <c r="BC1857" s="117"/>
      <c r="BD1857" s="117"/>
    </row>
    <row r="1858" spans="1:56" ht="15">
      <c r="A1858" s="114"/>
      <c r="B1858" s="303" t="s">
        <v>1122</v>
      </c>
      <c r="C1858" s="362"/>
      <c r="D1858" s="362"/>
      <c r="E1858" s="362"/>
      <c r="F1858" s="362"/>
      <c r="G1858" s="196" t="s">
        <v>1131</v>
      </c>
      <c r="H1858" s="114"/>
      <c r="I1858" s="196"/>
      <c r="J1858" s="196"/>
      <c r="AX1858" s="117"/>
      <c r="AY1858" s="117"/>
      <c r="AZ1858" s="117"/>
      <c r="BA1858" s="117"/>
      <c r="BB1858" s="117"/>
      <c r="BC1858" s="117"/>
      <c r="BD1858" s="117"/>
    </row>
    <row r="1859" spans="1:56" ht="18">
      <c r="A1859" s="114"/>
      <c r="B1859" s="398" t="s">
        <v>1123</v>
      </c>
      <c r="C1859" s="172"/>
      <c r="D1859" s="173"/>
      <c r="E1859" s="397">
        <f>C1851*((H1852+H1851)/2)*(C1849+C1850+0.05)</f>
        <v>85.772943680516008</v>
      </c>
      <c r="F1859" s="390" t="s">
        <v>1124</v>
      </c>
      <c r="G1859" s="196"/>
      <c r="H1859" s="196"/>
      <c r="I1859" s="362"/>
      <c r="J1859" s="362"/>
      <c r="AX1859" s="117"/>
      <c r="AY1859" s="117"/>
      <c r="AZ1859" s="117"/>
      <c r="BA1859" s="117"/>
      <c r="BB1859" s="117"/>
      <c r="BC1859" s="117"/>
      <c r="BD1859" s="117"/>
    </row>
    <row r="1860" spans="1:56" ht="18">
      <c r="A1860" s="114"/>
      <c r="B1860" s="398" t="s">
        <v>1125</v>
      </c>
      <c r="C1860" s="172"/>
      <c r="D1860" s="173"/>
      <c r="E1860" s="400">
        <f>E1859-C1851*(C1847*C1848*C1850+C1847*C1848*0.05+C1845*C1846*C1849)</f>
        <v>78.877443680516009</v>
      </c>
      <c r="F1860" s="390" t="s">
        <v>1124</v>
      </c>
      <c r="G1860" s="196"/>
      <c r="H1860" s="196"/>
      <c r="I1860" s="196"/>
      <c r="J1860" s="196"/>
      <c r="AX1860" s="117"/>
      <c r="AY1860" s="117"/>
      <c r="AZ1860" s="117"/>
      <c r="BA1860" s="117"/>
      <c r="BB1860" s="117"/>
      <c r="BC1860" s="117"/>
      <c r="BD1860" s="117"/>
    </row>
    <row r="1861" spans="1:56" ht="15">
      <c r="A1861" s="114"/>
      <c r="B1861" s="398" t="s">
        <v>1126</v>
      </c>
      <c r="C1861" s="172"/>
      <c r="D1861" s="173"/>
      <c r="E1861" s="400">
        <f>((C1847+2*C1856)*(C1848+2*C1856))*C1851</f>
        <v>7.2900000000000009</v>
      </c>
      <c r="F1861" s="390" t="s">
        <v>13</v>
      </c>
      <c r="G1861" s="362"/>
      <c r="H1861" s="362"/>
      <c r="I1861" s="362"/>
      <c r="J1861" s="362"/>
      <c r="AX1861" s="117"/>
      <c r="AY1861" s="117"/>
      <c r="AZ1861" s="117"/>
      <c r="BA1861" s="117"/>
      <c r="BB1861" s="117"/>
      <c r="BC1861" s="117"/>
      <c r="BD1861" s="117"/>
    </row>
    <row r="1862" spans="1:56" ht="15">
      <c r="A1862" s="114"/>
      <c r="B1862" s="362"/>
      <c r="C1862" s="362"/>
      <c r="D1862" s="362"/>
      <c r="E1862" s="401"/>
      <c r="F1862" s="196"/>
      <c r="G1862" s="362"/>
      <c r="H1862" s="362"/>
      <c r="I1862" s="362"/>
      <c r="J1862" s="362"/>
      <c r="AX1862" s="117"/>
      <c r="AY1862" s="117"/>
      <c r="AZ1862" s="117"/>
      <c r="BA1862" s="117"/>
      <c r="BB1862" s="117"/>
      <c r="BC1862" s="117"/>
      <c r="BD1862" s="117"/>
    </row>
    <row r="1863" spans="1:56" ht="15">
      <c r="A1863" s="114"/>
      <c r="B1863" s="303" t="s">
        <v>1162</v>
      </c>
      <c r="C1863" s="362"/>
      <c r="D1863" s="362"/>
      <c r="E1863" s="410"/>
      <c r="F1863" s="362"/>
      <c r="G1863" s="362"/>
      <c r="H1863" s="362"/>
      <c r="I1863" s="362"/>
      <c r="J1863" s="362"/>
      <c r="AX1863" s="117"/>
      <c r="AY1863" s="117"/>
      <c r="AZ1863" s="117"/>
      <c r="BA1863" s="117"/>
      <c r="BB1863" s="117"/>
      <c r="BC1863" s="117"/>
      <c r="BD1863" s="117"/>
    </row>
    <row r="1864" spans="1:56" ht="15">
      <c r="A1864" s="114"/>
      <c r="B1864" s="398" t="s">
        <v>1152</v>
      </c>
      <c r="C1864" s="398"/>
      <c r="D1864" s="366"/>
      <c r="E1864" s="411">
        <v>5</v>
      </c>
      <c r="F1864" s="390" t="s">
        <v>1153</v>
      </c>
      <c r="G1864" s="362"/>
      <c r="H1864" s="362"/>
      <c r="I1864" s="362"/>
      <c r="J1864" s="362"/>
      <c r="AX1864" s="117"/>
      <c r="AY1864" s="117"/>
      <c r="AZ1864" s="117"/>
      <c r="BA1864" s="117"/>
      <c r="BB1864" s="117"/>
      <c r="BC1864" s="117"/>
      <c r="BD1864" s="117"/>
    </row>
    <row r="1865" spans="1:56" ht="15">
      <c r="A1865" s="114"/>
      <c r="B1865" s="399" t="s">
        <v>1154</v>
      </c>
      <c r="C1865" s="31"/>
      <c r="D1865" s="32"/>
      <c r="E1865" s="412">
        <f>C1851*E1864</f>
        <v>5</v>
      </c>
      <c r="F1865" s="390" t="s">
        <v>1153</v>
      </c>
      <c r="G1865" s="362"/>
      <c r="H1865" s="362"/>
      <c r="I1865" s="362"/>
      <c r="J1865" s="362"/>
      <c r="AX1865" s="117"/>
      <c r="AY1865" s="117"/>
      <c r="AZ1865" s="117"/>
      <c r="BA1865" s="117"/>
      <c r="BB1865" s="117"/>
      <c r="BC1865" s="117"/>
      <c r="BD1865" s="117"/>
    </row>
    <row r="1866" spans="1:56" ht="15">
      <c r="A1866" s="114"/>
      <c r="B1866" s="398" t="s">
        <v>1155</v>
      </c>
      <c r="C1866" s="21"/>
      <c r="D1866" s="413"/>
      <c r="E1866" s="411">
        <v>400</v>
      </c>
      <c r="F1866" s="390" t="s">
        <v>1156</v>
      </c>
      <c r="G1866" s="362"/>
      <c r="H1866" s="414"/>
      <c r="I1866" s="362"/>
      <c r="J1866" s="415"/>
      <c r="AX1866" s="117"/>
      <c r="AY1866" s="117"/>
      <c r="AZ1866" s="117"/>
      <c r="BA1866" s="117"/>
      <c r="BB1866" s="117"/>
      <c r="BC1866" s="117"/>
      <c r="BD1866" s="117"/>
    </row>
    <row r="1867" spans="1:56" ht="15">
      <c r="A1867" s="114"/>
      <c r="B1867" s="398" t="s">
        <v>1157</v>
      </c>
      <c r="C1867" s="21"/>
      <c r="D1867" s="413"/>
      <c r="E1867" s="418">
        <v>14</v>
      </c>
      <c r="F1867" s="390" t="s">
        <v>10</v>
      </c>
      <c r="G1867" s="362"/>
      <c r="H1867" s="6"/>
      <c r="I1867" s="362"/>
      <c r="J1867" s="362"/>
      <c r="AX1867" s="117"/>
      <c r="AY1867" s="117"/>
      <c r="AZ1867" s="117"/>
      <c r="BA1867" s="117"/>
      <c r="BB1867" s="117"/>
      <c r="BC1867" s="117"/>
      <c r="BD1867" s="117"/>
    </row>
    <row r="1868" spans="1:56" ht="15">
      <c r="A1868" s="114"/>
      <c r="B1868" s="398" t="s">
        <v>1158</v>
      </c>
      <c r="C1868" s="21"/>
      <c r="D1868" s="413"/>
      <c r="E1868" s="412">
        <f>E1865*E1867</f>
        <v>70</v>
      </c>
      <c r="F1868" s="390" t="s">
        <v>10</v>
      </c>
      <c r="G1868" s="362"/>
      <c r="H1868" s="362"/>
      <c r="I1868" s="362"/>
      <c r="J1868" s="362"/>
      <c r="AX1868" s="117"/>
      <c r="AY1868" s="117"/>
      <c r="AZ1868" s="117"/>
      <c r="BA1868" s="117"/>
      <c r="BB1868" s="117"/>
      <c r="BC1868" s="117"/>
      <c r="BD1868" s="117"/>
    </row>
    <row r="1869" spans="1:56" ht="15">
      <c r="A1869" s="114"/>
      <c r="B1869" s="362"/>
      <c r="C1869" s="362"/>
      <c r="D1869" s="362"/>
      <c r="E1869" s="410"/>
      <c r="F1869" s="362"/>
      <c r="G1869" s="362"/>
      <c r="H1869" s="362"/>
      <c r="I1869" s="362"/>
      <c r="J1869" s="362"/>
      <c r="AX1869" s="117"/>
      <c r="AY1869" s="117"/>
      <c r="AZ1869" s="117"/>
      <c r="BA1869" s="117"/>
      <c r="BB1869" s="117"/>
      <c r="BC1869" s="117"/>
      <c r="BD1869" s="117"/>
    </row>
    <row r="1870" spans="1:56" ht="15">
      <c r="A1870" s="114"/>
      <c r="B1870" s="303" t="s">
        <v>1160</v>
      </c>
      <c r="C1870" s="362"/>
      <c r="D1870" s="362"/>
      <c r="E1870" s="410"/>
      <c r="F1870" s="362"/>
      <c r="G1870" s="362"/>
      <c r="H1870" s="362"/>
      <c r="I1870" s="362"/>
      <c r="J1870" s="362"/>
      <c r="AX1870" s="117"/>
      <c r="AY1870" s="117"/>
      <c r="AZ1870" s="117"/>
      <c r="BA1870" s="117"/>
      <c r="BB1870" s="117"/>
      <c r="BC1870" s="117"/>
      <c r="BD1870" s="117"/>
    </row>
    <row r="1871" spans="1:56" ht="18">
      <c r="A1871" s="114"/>
      <c r="B1871" s="398" t="s">
        <v>1128</v>
      </c>
      <c r="C1871" s="172"/>
      <c r="D1871" s="173"/>
      <c r="E1871" s="402">
        <f>E1861*0.05</f>
        <v>0.36450000000000005</v>
      </c>
      <c r="F1871" s="390" t="s">
        <v>1124</v>
      </c>
      <c r="G1871" s="362"/>
      <c r="H1871" s="362"/>
      <c r="I1871" s="362"/>
      <c r="J1871" s="362"/>
      <c r="AX1871" s="117"/>
      <c r="AY1871" s="117"/>
      <c r="AZ1871" s="117"/>
      <c r="BA1871" s="117"/>
      <c r="BB1871" s="117"/>
      <c r="BC1871" s="117"/>
      <c r="BD1871" s="117"/>
    </row>
    <row r="1872" spans="1:56" ht="15">
      <c r="A1872" s="114"/>
      <c r="B1872" s="398" t="s">
        <v>1129</v>
      </c>
      <c r="C1872" s="172"/>
      <c r="D1872" s="173"/>
      <c r="E1872" s="397">
        <f>(2*(C1847+C1848)*C1850)*C1851</f>
        <v>10</v>
      </c>
      <c r="F1872" s="390" t="s">
        <v>13</v>
      </c>
      <c r="G1872" s="362"/>
      <c r="H1872" s="362"/>
      <c r="I1872" s="362"/>
      <c r="J1872" s="362"/>
      <c r="AX1872" s="117"/>
      <c r="AY1872" s="117"/>
      <c r="AZ1872" s="117"/>
      <c r="BA1872" s="117"/>
      <c r="BB1872" s="117"/>
      <c r="BC1872" s="117"/>
      <c r="BD1872" s="117"/>
    </row>
    <row r="1873" spans="1:56" ht="18">
      <c r="A1873" s="114"/>
      <c r="B1873" s="398" t="s">
        <v>1130</v>
      </c>
      <c r="C1873" s="172"/>
      <c r="D1873" s="173"/>
      <c r="E1873" s="402">
        <f>(C1847*C1848*C1850)*C1851</f>
        <v>6.25</v>
      </c>
      <c r="F1873" s="390" t="s">
        <v>1124</v>
      </c>
      <c r="G1873" s="362"/>
      <c r="H1873" s="362"/>
      <c r="I1873" s="362"/>
      <c r="J1873" s="362"/>
      <c r="AX1873" s="117"/>
      <c r="AY1873" s="117"/>
      <c r="AZ1873" s="117"/>
      <c r="BA1873" s="117"/>
      <c r="BB1873" s="117"/>
      <c r="BC1873" s="117"/>
      <c r="BD1873" s="117"/>
    </row>
    <row r="1874" spans="1:56">
      <c r="A1874" s="114"/>
      <c r="B1874" s="115"/>
      <c r="C1874" s="115"/>
      <c r="D1874" s="115"/>
      <c r="E1874" s="115"/>
      <c r="F1874" s="115"/>
      <c r="G1874" s="115"/>
      <c r="H1874" s="115"/>
      <c r="I1874" s="115"/>
      <c r="J1874" s="114"/>
      <c r="AW1874" s="117"/>
      <c r="AX1874" s="117"/>
      <c r="AY1874" s="117"/>
      <c r="AZ1874" s="117"/>
      <c r="BA1874" s="117"/>
      <c r="BB1874" s="117"/>
      <c r="BC1874" s="117"/>
      <c r="BD1874" s="117"/>
    </row>
    <row r="1875" spans="1:56" ht="15">
      <c r="A1875" s="114"/>
      <c r="B1875" s="419" t="s">
        <v>1176</v>
      </c>
      <c r="C1875" s="419"/>
      <c r="D1875" s="420"/>
      <c r="E1875" s="420"/>
      <c r="F1875" s="420"/>
      <c r="G1875" s="420"/>
      <c r="H1875" s="421"/>
      <c r="I1875" s="421"/>
      <c r="J1875" s="353"/>
      <c r="AW1875" s="117"/>
      <c r="AX1875" s="117"/>
      <c r="AY1875" s="117"/>
      <c r="AZ1875" s="117"/>
      <c r="BA1875" s="117"/>
      <c r="BB1875" s="117"/>
      <c r="BC1875" s="117"/>
      <c r="BD1875" s="117"/>
    </row>
    <row r="1876" spans="1:56" ht="15">
      <c r="A1876" s="114"/>
      <c r="B1876" s="293"/>
      <c r="C1876" s="387"/>
      <c r="D1876" s="387"/>
      <c r="E1876" s="387"/>
      <c r="F1876" s="387"/>
      <c r="G1876" s="387"/>
      <c r="H1876" s="386"/>
      <c r="I1876" s="386"/>
      <c r="J1876" s="114"/>
      <c r="AW1876" s="117"/>
      <c r="AX1876" s="117"/>
      <c r="AY1876" s="117"/>
      <c r="AZ1876" s="117"/>
      <c r="BA1876" s="117"/>
      <c r="BB1876" s="117"/>
      <c r="BC1876" s="117"/>
      <c r="BD1876" s="117"/>
    </row>
    <row r="1877" spans="1:56" ht="15">
      <c r="A1877" s="114"/>
      <c r="B1877" s="293"/>
      <c r="C1877" s="387"/>
      <c r="D1877" s="387"/>
      <c r="E1877" s="387"/>
      <c r="F1877" s="387"/>
      <c r="G1877" s="387"/>
      <c r="H1877" s="386"/>
      <c r="I1877" s="386"/>
      <c r="J1877" s="114"/>
      <c r="AW1877" s="117"/>
      <c r="AX1877" s="117"/>
      <c r="AY1877" s="117"/>
      <c r="AZ1877" s="117"/>
      <c r="BA1877" s="117"/>
      <c r="BB1877" s="117"/>
      <c r="BC1877" s="117"/>
      <c r="BD1877" s="117"/>
    </row>
    <row r="1878" spans="1:56">
      <c r="A1878" s="114"/>
      <c r="B1878" s="385" t="s">
        <v>1177</v>
      </c>
      <c r="C1878" s="196"/>
      <c r="D1878" s="196"/>
      <c r="E1878" s="196"/>
      <c r="F1878" s="196"/>
      <c r="G1878" s="196"/>
      <c r="H1878" s="196"/>
      <c r="I1878" s="196"/>
      <c r="J1878" s="114"/>
      <c r="AW1878" s="117"/>
      <c r="AX1878" s="117"/>
      <c r="AY1878" s="117"/>
      <c r="AZ1878" s="117"/>
      <c r="BA1878" s="117"/>
      <c r="BB1878" s="117"/>
      <c r="BC1878" s="117"/>
      <c r="BD1878" s="117"/>
    </row>
    <row r="1879" spans="1:56" ht="15">
      <c r="A1879" s="114"/>
      <c r="B1879" s="196"/>
      <c r="C1879" s="196"/>
      <c r="D1879" s="196"/>
      <c r="E1879" s="196"/>
      <c r="F1879" s="196"/>
      <c r="G1879" s="196"/>
      <c r="H1879" s="196"/>
      <c r="I1879" s="196"/>
      <c r="J1879" s="114"/>
      <c r="AW1879" s="117"/>
      <c r="AX1879" s="117"/>
      <c r="AY1879" s="117"/>
      <c r="AZ1879" s="117"/>
      <c r="BA1879" s="117"/>
      <c r="BB1879" s="117"/>
      <c r="BC1879" s="117"/>
      <c r="BD1879" s="117"/>
    </row>
    <row r="1880" spans="1:56" ht="15">
      <c r="A1880" s="114"/>
      <c r="B1880" s="388" t="s">
        <v>1110</v>
      </c>
      <c r="C1880" s="389">
        <v>0.2</v>
      </c>
      <c r="D1880" s="390" t="s">
        <v>10</v>
      </c>
      <c r="E1880" s="196"/>
      <c r="F1880" s="196"/>
      <c r="G1880" s="392"/>
      <c r="H1880" s="393"/>
      <c r="I1880" s="196"/>
      <c r="J1880" s="114"/>
      <c r="AW1880" s="117"/>
      <c r="AX1880" s="117"/>
      <c r="AY1880" s="117"/>
      <c r="AZ1880" s="117"/>
      <c r="BA1880" s="117"/>
      <c r="BB1880" s="117"/>
      <c r="BC1880" s="117"/>
      <c r="BD1880" s="117"/>
    </row>
    <row r="1881" spans="1:56" ht="15">
      <c r="A1881" s="114"/>
      <c r="B1881" s="388" t="s">
        <v>1111</v>
      </c>
      <c r="C1881" s="391">
        <v>9.4</v>
      </c>
      <c r="D1881" s="390" t="s">
        <v>10</v>
      </c>
      <c r="E1881" s="196"/>
      <c r="F1881" s="196"/>
      <c r="G1881" s="392"/>
      <c r="H1881" s="393"/>
      <c r="I1881" s="196"/>
      <c r="J1881" s="114"/>
      <c r="AW1881" s="117"/>
      <c r="AX1881" s="117"/>
      <c r="AY1881" s="117"/>
      <c r="AZ1881" s="117"/>
      <c r="BA1881" s="117"/>
      <c r="BB1881" s="117"/>
      <c r="BC1881" s="117"/>
      <c r="BD1881" s="117"/>
    </row>
    <row r="1882" spans="1:56" ht="15">
      <c r="A1882" s="114"/>
      <c r="B1882" s="388" t="s">
        <v>1112</v>
      </c>
      <c r="C1882" s="389">
        <v>0.65</v>
      </c>
      <c r="D1882" s="390" t="s">
        <v>10</v>
      </c>
      <c r="E1882" s="196"/>
      <c r="F1882" s="196"/>
      <c r="G1882" s="392"/>
      <c r="H1882" s="393"/>
      <c r="I1882" s="196"/>
      <c r="J1882" s="114"/>
      <c r="AW1882" s="117"/>
      <c r="AX1882" s="117"/>
      <c r="AY1882" s="117"/>
      <c r="AZ1882" s="117"/>
      <c r="BA1882" s="117"/>
      <c r="BB1882" s="117"/>
      <c r="BC1882" s="117"/>
      <c r="BD1882" s="117"/>
    </row>
    <row r="1883" spans="1:56" ht="15">
      <c r="A1883" s="114"/>
      <c r="B1883" s="388" t="s">
        <v>1113</v>
      </c>
      <c r="C1883" s="389">
        <v>0.4</v>
      </c>
      <c r="D1883" s="390" t="s">
        <v>10</v>
      </c>
      <c r="E1883" s="196"/>
      <c r="F1883" s="196"/>
      <c r="G1883" s="392"/>
      <c r="H1883" s="394"/>
      <c r="I1883" s="196"/>
      <c r="J1883" s="114"/>
      <c r="AW1883" s="117"/>
      <c r="AX1883" s="117"/>
      <c r="AY1883" s="117"/>
      <c r="AZ1883" s="117"/>
      <c r="BA1883" s="117"/>
      <c r="BB1883" s="117"/>
      <c r="BC1883" s="117"/>
      <c r="BD1883" s="117"/>
    </row>
    <row r="1884" spans="1:56" ht="15">
      <c r="A1884" s="114"/>
      <c r="B1884" s="388" t="s">
        <v>1117</v>
      </c>
      <c r="C1884" s="389">
        <v>1</v>
      </c>
      <c r="D1884" s="390" t="s">
        <v>1118</v>
      </c>
      <c r="E1884" s="196"/>
      <c r="F1884" s="196"/>
      <c r="G1884" s="392"/>
      <c r="H1884" s="393"/>
      <c r="I1884" s="196"/>
      <c r="J1884" s="114"/>
      <c r="AW1884" s="117"/>
      <c r="AX1884" s="117"/>
      <c r="AY1884" s="117"/>
      <c r="AZ1884" s="117"/>
      <c r="BA1884" s="117"/>
      <c r="BB1884" s="117"/>
      <c r="BC1884" s="117"/>
      <c r="BD1884" s="117"/>
    </row>
    <row r="1885" spans="1:56" ht="15">
      <c r="A1885" s="114"/>
      <c r="B1885" s="392"/>
      <c r="C1885" s="393"/>
      <c r="D1885" s="196"/>
      <c r="E1885" s="196"/>
      <c r="F1885" s="196"/>
      <c r="G1885" s="392"/>
      <c r="H1885" s="393"/>
      <c r="I1885" s="196"/>
      <c r="J1885" s="114"/>
      <c r="AW1885" s="117"/>
      <c r="AX1885" s="117"/>
      <c r="AY1885" s="117"/>
      <c r="AZ1885" s="117"/>
      <c r="BA1885" s="117"/>
      <c r="BB1885" s="117"/>
      <c r="BC1885" s="117"/>
      <c r="BD1885" s="117"/>
    </row>
    <row r="1886" spans="1:56" ht="15">
      <c r="A1886" s="114"/>
      <c r="B1886" s="388" t="s">
        <v>1114</v>
      </c>
      <c r="C1886" s="389">
        <v>0.6</v>
      </c>
      <c r="D1886" s="390" t="s">
        <v>10</v>
      </c>
      <c r="E1886" s="288" t="s">
        <v>1120</v>
      </c>
      <c r="F1886" s="288"/>
      <c r="G1886" s="230"/>
      <c r="H1886" s="395"/>
      <c r="I1886" s="196"/>
      <c r="J1886" s="114"/>
      <c r="AW1886" s="117"/>
      <c r="AX1886" s="117"/>
      <c r="AY1886" s="117"/>
      <c r="AZ1886" s="117"/>
      <c r="BA1886" s="117"/>
      <c r="BB1886" s="117"/>
      <c r="BC1886" s="117"/>
      <c r="BD1886" s="117"/>
    </row>
    <row r="1887" spans="1:56" ht="15">
      <c r="A1887" s="114"/>
      <c r="B1887" s="388" t="s">
        <v>1114</v>
      </c>
      <c r="C1887" s="389">
        <v>0.2</v>
      </c>
      <c r="D1887" s="390" t="s">
        <v>10</v>
      </c>
      <c r="E1887" s="288" t="s">
        <v>1121</v>
      </c>
      <c r="F1887" s="288"/>
      <c r="G1887" s="230"/>
      <c r="H1887" s="395"/>
      <c r="I1887" s="196"/>
      <c r="J1887" s="114"/>
      <c r="AW1887" s="117"/>
      <c r="AX1887" s="117"/>
      <c r="AY1887" s="117"/>
      <c r="AZ1887" s="117"/>
      <c r="BA1887" s="117"/>
      <c r="BB1887" s="117"/>
      <c r="BC1887" s="117"/>
      <c r="BD1887" s="117"/>
    </row>
    <row r="1888" spans="1:56" ht="15">
      <c r="A1888" s="114"/>
      <c r="B1888" s="196"/>
      <c r="C1888" s="196"/>
      <c r="D1888" s="196"/>
      <c r="E1888" s="196"/>
      <c r="F1888" s="196"/>
      <c r="G1888" s="196"/>
      <c r="H1888" s="196"/>
      <c r="I1888" s="196"/>
      <c r="J1888" s="114"/>
      <c r="AW1888" s="117"/>
      <c r="AX1888" s="117"/>
      <c r="AY1888" s="117"/>
      <c r="AZ1888" s="117"/>
      <c r="BA1888" s="117"/>
      <c r="BB1888" s="117"/>
      <c r="BC1888" s="117"/>
      <c r="BD1888" s="117"/>
    </row>
    <row r="1889" spans="1:56" ht="15">
      <c r="A1889" s="114"/>
      <c r="B1889" s="303" t="s">
        <v>1122</v>
      </c>
      <c r="C1889" s="362"/>
      <c r="D1889" s="362"/>
      <c r="E1889" s="196"/>
      <c r="F1889" s="196"/>
      <c r="G1889" s="196"/>
      <c r="H1889" s="196"/>
      <c r="I1889" s="196"/>
      <c r="J1889" s="114"/>
      <c r="AW1889" s="117"/>
      <c r="AX1889" s="117"/>
      <c r="AY1889" s="117"/>
      <c r="AZ1889" s="117"/>
      <c r="BA1889" s="117"/>
      <c r="BB1889" s="117"/>
      <c r="BC1889" s="117"/>
      <c r="BD1889" s="117"/>
    </row>
    <row r="1890" spans="1:56" ht="18">
      <c r="A1890" s="114"/>
      <c r="B1890" s="396" t="s">
        <v>1123</v>
      </c>
      <c r="C1890" s="289"/>
      <c r="D1890" s="290"/>
      <c r="E1890" s="397">
        <f>C1884*(C1886*2*(0.05+C1883+C1882)*C1881)</f>
        <v>12.408000000000001</v>
      </c>
      <c r="F1890" s="390" t="s">
        <v>1124</v>
      </c>
      <c r="G1890" s="196"/>
      <c r="H1890" s="196"/>
      <c r="I1890" s="196"/>
      <c r="J1890" s="114"/>
      <c r="AW1890" s="117"/>
      <c r="AX1890" s="117"/>
      <c r="AY1890" s="117"/>
      <c r="AZ1890" s="117"/>
      <c r="BA1890" s="117"/>
      <c r="BB1890" s="117"/>
      <c r="BC1890" s="117"/>
      <c r="BD1890" s="117"/>
    </row>
    <row r="1891" spans="1:56" ht="18">
      <c r="A1891" s="114"/>
      <c r="B1891" s="398" t="s">
        <v>1125</v>
      </c>
      <c r="C1891" s="172"/>
      <c r="D1891" s="173"/>
      <c r="E1891" s="397">
        <f>E1890-(E1895+E1897)</f>
        <v>11.468000000000002</v>
      </c>
      <c r="F1891" s="390" t="s">
        <v>1124</v>
      </c>
      <c r="G1891" s="196"/>
      <c r="H1891" s="196"/>
      <c r="I1891" s="196"/>
      <c r="J1891" s="114"/>
      <c r="AW1891" s="117"/>
      <c r="AX1891" s="117"/>
      <c r="AY1891" s="117"/>
      <c r="AZ1891" s="117"/>
      <c r="BA1891" s="117"/>
      <c r="BB1891" s="117"/>
      <c r="BC1891" s="117"/>
      <c r="BD1891" s="117"/>
    </row>
    <row r="1892" spans="1:56" ht="15">
      <c r="A1892" s="114"/>
      <c r="B1892" s="399" t="s">
        <v>1126</v>
      </c>
      <c r="C1892" s="317"/>
      <c r="D1892" s="318"/>
      <c r="E1892" s="400">
        <f>(2*C1887)*C1881</f>
        <v>3.7600000000000002</v>
      </c>
      <c r="F1892" s="390" t="s">
        <v>13</v>
      </c>
      <c r="G1892" s="196"/>
      <c r="H1892" s="196"/>
      <c r="I1892" s="196"/>
      <c r="J1892" s="114"/>
      <c r="AW1892" s="117"/>
      <c r="AX1892" s="117"/>
      <c r="AY1892" s="117"/>
      <c r="AZ1892" s="117"/>
      <c r="BA1892" s="117"/>
      <c r="BB1892" s="117"/>
      <c r="BC1892" s="117"/>
      <c r="BD1892" s="117"/>
    </row>
    <row r="1893" spans="1:56" ht="15">
      <c r="A1893" s="114"/>
      <c r="B1893" s="196"/>
      <c r="C1893" s="196"/>
      <c r="D1893" s="196"/>
      <c r="E1893" s="401"/>
      <c r="F1893" s="196"/>
      <c r="G1893" s="196"/>
      <c r="H1893" s="196"/>
      <c r="I1893" s="196"/>
      <c r="J1893" s="114"/>
      <c r="AW1893" s="117"/>
      <c r="AX1893" s="117"/>
      <c r="AY1893" s="117"/>
      <c r="AZ1893" s="117"/>
      <c r="BA1893" s="117"/>
      <c r="BB1893" s="117"/>
      <c r="BC1893" s="117"/>
      <c r="BD1893" s="117"/>
    </row>
    <row r="1894" spans="1:56" ht="15">
      <c r="A1894" s="114"/>
      <c r="B1894" s="303" t="s">
        <v>1127</v>
      </c>
      <c r="C1894" s="196"/>
      <c r="D1894" s="196"/>
      <c r="E1894" s="401"/>
      <c r="F1894" s="196"/>
      <c r="G1894" s="196"/>
      <c r="H1894" s="196"/>
      <c r="I1894" s="196"/>
      <c r="J1894" s="114"/>
      <c r="AW1894" s="117"/>
      <c r="AX1894" s="117"/>
      <c r="AY1894" s="117"/>
      <c r="AZ1894" s="117"/>
      <c r="BA1894" s="117"/>
      <c r="BB1894" s="117"/>
      <c r="BC1894" s="117"/>
      <c r="BD1894" s="117"/>
    </row>
    <row r="1895" spans="1:56" ht="18">
      <c r="A1895" s="114"/>
      <c r="B1895" s="398" t="s">
        <v>1128</v>
      </c>
      <c r="C1895" s="172"/>
      <c r="D1895" s="173"/>
      <c r="E1895" s="402">
        <f>E1892*0.05</f>
        <v>0.18800000000000003</v>
      </c>
      <c r="F1895" s="390" t="s">
        <v>1124</v>
      </c>
      <c r="G1895" s="196"/>
      <c r="H1895" s="196"/>
      <c r="I1895" s="196"/>
      <c r="J1895" s="114"/>
      <c r="AW1895" s="117"/>
      <c r="AX1895" s="117"/>
      <c r="AY1895" s="117"/>
      <c r="AZ1895" s="117"/>
      <c r="BA1895" s="117"/>
      <c r="BB1895" s="117"/>
      <c r="BC1895" s="117"/>
      <c r="BD1895" s="117"/>
    </row>
    <row r="1896" spans="1:56" ht="15">
      <c r="A1896" s="114"/>
      <c r="B1896" s="398" t="s">
        <v>1129</v>
      </c>
      <c r="C1896" s="172"/>
      <c r="D1896" s="173"/>
      <c r="E1896" s="397">
        <f>C1883*2*C1881</f>
        <v>7.5200000000000005</v>
      </c>
      <c r="F1896" s="390" t="s">
        <v>13</v>
      </c>
      <c r="G1896" s="393" t="s">
        <v>1108</v>
      </c>
      <c r="H1896" s="196" t="s">
        <v>1131</v>
      </c>
      <c r="I1896" s="393"/>
      <c r="J1896" s="114"/>
      <c r="AW1896" s="117"/>
      <c r="AX1896" s="117"/>
      <c r="AY1896" s="117"/>
      <c r="AZ1896" s="117"/>
      <c r="BA1896" s="117"/>
      <c r="BB1896" s="117"/>
      <c r="BC1896" s="117"/>
      <c r="BD1896" s="117"/>
    </row>
    <row r="1897" spans="1:56" ht="18">
      <c r="A1897" s="114"/>
      <c r="B1897" s="398" t="s">
        <v>1130</v>
      </c>
      <c r="C1897" s="172"/>
      <c r="D1897" s="173"/>
      <c r="E1897" s="402">
        <f>C1880*C1881*C1883</f>
        <v>0.75200000000000011</v>
      </c>
      <c r="F1897" s="390" t="s">
        <v>1124</v>
      </c>
      <c r="G1897" s="196"/>
      <c r="H1897" s="196"/>
      <c r="I1897" s="196"/>
      <c r="J1897" s="114"/>
      <c r="AW1897" s="117"/>
      <c r="AX1897" s="117"/>
      <c r="AY1897" s="117"/>
      <c r="AZ1897" s="117"/>
      <c r="BA1897" s="117"/>
      <c r="BB1897" s="117"/>
      <c r="BC1897" s="117"/>
      <c r="BD1897" s="117"/>
    </row>
    <row r="1898" spans="1:56" ht="15">
      <c r="A1898" s="114"/>
      <c r="B1898" s="288"/>
      <c r="C1898" s="230"/>
      <c r="D1898" s="230"/>
      <c r="E1898" s="384"/>
      <c r="F1898" s="196"/>
      <c r="G1898" s="196"/>
      <c r="H1898" s="196"/>
      <c r="I1898" s="196"/>
      <c r="J1898" s="114"/>
      <c r="AW1898" s="117"/>
      <c r="AX1898" s="117"/>
      <c r="AY1898" s="117"/>
      <c r="AZ1898" s="117"/>
      <c r="BA1898" s="117"/>
      <c r="BB1898" s="117"/>
      <c r="BC1898" s="117"/>
      <c r="BD1898" s="117"/>
    </row>
    <row r="1899" spans="1:56" ht="15">
      <c r="A1899" s="114"/>
      <c r="B1899" s="293"/>
      <c r="C1899" s="387"/>
      <c r="D1899" s="387"/>
      <c r="E1899" s="387"/>
      <c r="F1899" s="387"/>
      <c r="G1899" s="387"/>
      <c r="H1899" s="386"/>
      <c r="I1899" s="386"/>
      <c r="J1899" s="114"/>
      <c r="AW1899" s="117"/>
      <c r="AX1899" s="117"/>
      <c r="AY1899" s="117"/>
      <c r="AZ1899" s="117"/>
      <c r="BA1899" s="117"/>
      <c r="BB1899" s="117"/>
      <c r="BC1899" s="117"/>
      <c r="BD1899" s="117"/>
    </row>
    <row r="1900" spans="1:56" ht="15">
      <c r="A1900" s="114"/>
      <c r="B1900" s="293"/>
      <c r="C1900" s="387"/>
      <c r="D1900" s="387"/>
      <c r="E1900" s="387"/>
      <c r="F1900" s="387"/>
      <c r="G1900" s="387"/>
      <c r="H1900" s="386"/>
      <c r="I1900" s="386"/>
      <c r="J1900" s="114"/>
      <c r="AW1900" s="117"/>
      <c r="AX1900" s="117"/>
      <c r="AY1900" s="117"/>
      <c r="AZ1900" s="117"/>
      <c r="BA1900" s="117"/>
      <c r="BB1900" s="117"/>
      <c r="BC1900" s="117"/>
      <c r="BD1900" s="117"/>
    </row>
    <row r="1901" spans="1:56">
      <c r="A1901" s="114"/>
      <c r="B1901" s="385" t="s">
        <v>1178</v>
      </c>
      <c r="C1901" s="196"/>
      <c r="D1901" s="196"/>
      <c r="E1901" s="196"/>
      <c r="F1901" s="196"/>
      <c r="G1901" s="196"/>
      <c r="H1901" s="196"/>
      <c r="I1901" s="196"/>
      <c r="J1901" s="114"/>
      <c r="AW1901" s="117"/>
      <c r="AX1901" s="117"/>
      <c r="AY1901" s="117"/>
      <c r="AZ1901" s="117"/>
      <c r="BA1901" s="117"/>
      <c r="BB1901" s="117"/>
      <c r="BC1901" s="117"/>
      <c r="BD1901" s="117"/>
    </row>
    <row r="1902" spans="1:56" ht="15">
      <c r="A1902" s="114"/>
      <c r="B1902" s="196"/>
      <c r="C1902" s="196"/>
      <c r="D1902" s="196"/>
      <c r="E1902" s="196"/>
      <c r="F1902" s="196"/>
      <c r="G1902" s="196"/>
      <c r="H1902" s="196"/>
      <c r="I1902" s="196"/>
      <c r="J1902" s="114"/>
      <c r="AW1902" s="117"/>
      <c r="AX1902" s="117"/>
      <c r="AY1902" s="117"/>
      <c r="AZ1902" s="117"/>
      <c r="BA1902" s="117"/>
      <c r="BB1902" s="117"/>
      <c r="BC1902" s="117"/>
      <c r="BD1902" s="117"/>
    </row>
    <row r="1903" spans="1:56" ht="15">
      <c r="A1903" s="114"/>
      <c r="B1903" s="388" t="s">
        <v>1110</v>
      </c>
      <c r="C1903" s="389">
        <v>0.2</v>
      </c>
      <c r="D1903" s="390" t="s">
        <v>10</v>
      </c>
      <c r="E1903" s="196"/>
      <c r="F1903" s="196"/>
      <c r="G1903" s="392"/>
      <c r="H1903" s="393"/>
      <c r="I1903" s="196"/>
      <c r="J1903" s="114"/>
      <c r="AW1903" s="117"/>
      <c r="AX1903" s="117"/>
      <c r="AY1903" s="117"/>
      <c r="AZ1903" s="117"/>
      <c r="BA1903" s="117"/>
      <c r="BB1903" s="117"/>
      <c r="BC1903" s="117"/>
      <c r="BD1903" s="117"/>
    </row>
    <row r="1904" spans="1:56" ht="15">
      <c r="A1904" s="114"/>
      <c r="B1904" s="388" t="s">
        <v>1111</v>
      </c>
      <c r="C1904" s="391">
        <v>10.65</v>
      </c>
      <c r="D1904" s="390" t="s">
        <v>10</v>
      </c>
      <c r="E1904" s="196"/>
      <c r="F1904" s="196"/>
      <c r="G1904" s="392"/>
      <c r="H1904" s="393"/>
      <c r="I1904" s="196"/>
      <c r="J1904" s="114"/>
      <c r="AW1904" s="117"/>
      <c r="AX1904" s="117"/>
      <c r="AY1904" s="117"/>
      <c r="AZ1904" s="117"/>
      <c r="BA1904" s="117"/>
      <c r="BB1904" s="117"/>
      <c r="BC1904" s="117"/>
      <c r="BD1904" s="117"/>
    </row>
    <row r="1905" spans="1:56" ht="15">
      <c r="A1905" s="114"/>
      <c r="B1905" s="388" t="s">
        <v>1112</v>
      </c>
      <c r="C1905" s="389">
        <v>0.65</v>
      </c>
      <c r="D1905" s="390" t="s">
        <v>10</v>
      </c>
      <c r="E1905" s="196"/>
      <c r="F1905" s="196"/>
      <c r="G1905" s="392"/>
      <c r="H1905" s="393"/>
      <c r="I1905" s="196"/>
      <c r="J1905" s="114"/>
      <c r="AW1905" s="117"/>
      <c r="AX1905" s="117"/>
      <c r="AY1905" s="117"/>
      <c r="AZ1905" s="117"/>
      <c r="BA1905" s="117"/>
      <c r="BB1905" s="117"/>
      <c r="BC1905" s="117"/>
      <c r="BD1905" s="117"/>
    </row>
    <row r="1906" spans="1:56" ht="15">
      <c r="A1906" s="114"/>
      <c r="B1906" s="388" t="s">
        <v>1113</v>
      </c>
      <c r="C1906" s="389">
        <v>0.4</v>
      </c>
      <c r="D1906" s="390" t="s">
        <v>10</v>
      </c>
      <c r="E1906" s="196"/>
      <c r="F1906" s="196"/>
      <c r="G1906" s="392"/>
      <c r="H1906" s="394"/>
      <c r="I1906" s="196"/>
      <c r="J1906" s="114"/>
      <c r="AW1906" s="117"/>
      <c r="AX1906" s="117"/>
      <c r="AY1906" s="117"/>
      <c r="AZ1906" s="117"/>
      <c r="BA1906" s="117"/>
      <c r="BB1906" s="117"/>
      <c r="BC1906" s="117"/>
      <c r="BD1906" s="117"/>
    </row>
    <row r="1907" spans="1:56" ht="15">
      <c r="A1907" s="114"/>
      <c r="B1907" s="388" t="s">
        <v>1117</v>
      </c>
      <c r="C1907" s="389">
        <v>1</v>
      </c>
      <c r="D1907" s="390" t="s">
        <v>1118</v>
      </c>
      <c r="E1907" s="196"/>
      <c r="F1907" s="196"/>
      <c r="G1907" s="392"/>
      <c r="H1907" s="393"/>
      <c r="I1907" s="196"/>
      <c r="J1907" s="114"/>
      <c r="AW1907" s="117"/>
      <c r="AX1907" s="117"/>
      <c r="AY1907" s="117"/>
      <c r="AZ1907" s="117"/>
      <c r="BA1907" s="117"/>
      <c r="BB1907" s="117"/>
      <c r="BC1907" s="117"/>
      <c r="BD1907" s="117"/>
    </row>
    <row r="1908" spans="1:56" ht="15">
      <c r="A1908" s="114"/>
      <c r="B1908" s="392"/>
      <c r="C1908" s="393"/>
      <c r="D1908" s="196"/>
      <c r="E1908" s="196"/>
      <c r="F1908" s="196"/>
      <c r="G1908" s="392"/>
      <c r="H1908" s="393"/>
      <c r="I1908" s="196"/>
      <c r="J1908" s="114"/>
      <c r="AW1908" s="117"/>
      <c r="AX1908" s="117"/>
      <c r="AY1908" s="117"/>
      <c r="AZ1908" s="117"/>
      <c r="BA1908" s="117"/>
      <c r="BB1908" s="117"/>
      <c r="BC1908" s="117"/>
      <c r="BD1908" s="117"/>
    </row>
    <row r="1909" spans="1:56" ht="15">
      <c r="A1909" s="114"/>
      <c r="B1909" s="388" t="s">
        <v>1114</v>
      </c>
      <c r="C1909" s="389">
        <v>0.6</v>
      </c>
      <c r="D1909" s="390" t="s">
        <v>10</v>
      </c>
      <c r="E1909" s="288" t="s">
        <v>1120</v>
      </c>
      <c r="F1909" s="288"/>
      <c r="G1909" s="230"/>
      <c r="H1909" s="395"/>
      <c r="I1909" s="196"/>
      <c r="J1909" s="114"/>
      <c r="AW1909" s="117"/>
      <c r="AX1909" s="117"/>
      <c r="AY1909" s="117"/>
      <c r="AZ1909" s="117"/>
      <c r="BA1909" s="117"/>
      <c r="BB1909" s="117"/>
      <c r="BC1909" s="117"/>
      <c r="BD1909" s="117"/>
    </row>
    <row r="1910" spans="1:56" ht="15">
      <c r="A1910" s="114"/>
      <c r="B1910" s="388" t="s">
        <v>1114</v>
      </c>
      <c r="C1910" s="389">
        <v>0.2</v>
      </c>
      <c r="D1910" s="390" t="s">
        <v>10</v>
      </c>
      <c r="E1910" s="288" t="s">
        <v>1121</v>
      </c>
      <c r="F1910" s="288"/>
      <c r="G1910" s="230"/>
      <c r="H1910" s="395"/>
      <c r="I1910" s="196"/>
      <c r="J1910" s="114"/>
      <c r="AW1910" s="117"/>
      <c r="AX1910" s="117"/>
      <c r="AY1910" s="117"/>
      <c r="AZ1910" s="117"/>
      <c r="BA1910" s="117"/>
      <c r="BB1910" s="117"/>
      <c r="BC1910" s="117"/>
      <c r="BD1910" s="117"/>
    </row>
    <row r="1911" spans="1:56" ht="15">
      <c r="A1911" s="114"/>
      <c r="B1911" s="196"/>
      <c r="C1911" s="196"/>
      <c r="D1911" s="196"/>
      <c r="E1911" s="196"/>
      <c r="F1911" s="196"/>
      <c r="G1911" s="196"/>
      <c r="H1911" s="196"/>
      <c r="I1911" s="196"/>
      <c r="J1911" s="114"/>
      <c r="AW1911" s="117"/>
      <c r="AX1911" s="117"/>
      <c r="AY1911" s="117"/>
      <c r="AZ1911" s="117"/>
      <c r="BA1911" s="117"/>
      <c r="BB1911" s="117"/>
      <c r="BC1911" s="117"/>
      <c r="BD1911" s="117"/>
    </row>
    <row r="1912" spans="1:56" ht="15">
      <c r="A1912" s="114"/>
      <c r="B1912" s="303" t="s">
        <v>1122</v>
      </c>
      <c r="C1912" s="362"/>
      <c r="D1912" s="362"/>
      <c r="E1912" s="196"/>
      <c r="F1912" s="196"/>
      <c r="G1912" s="196"/>
      <c r="H1912" s="196"/>
      <c r="I1912" s="196"/>
      <c r="J1912" s="114"/>
      <c r="AW1912" s="117"/>
      <c r="AX1912" s="117"/>
      <c r="AY1912" s="117"/>
      <c r="AZ1912" s="117"/>
      <c r="BA1912" s="117"/>
      <c r="BB1912" s="117"/>
      <c r="BC1912" s="117"/>
      <c r="BD1912" s="117"/>
    </row>
    <row r="1913" spans="1:56" ht="18">
      <c r="A1913" s="114"/>
      <c r="B1913" s="396" t="s">
        <v>1123</v>
      </c>
      <c r="C1913" s="289"/>
      <c r="D1913" s="290"/>
      <c r="E1913" s="397">
        <f>C1907*(C1909*2*(0.05+C1906+C1905)*C1904)</f>
        <v>14.058000000000002</v>
      </c>
      <c r="F1913" s="390" t="s">
        <v>1124</v>
      </c>
      <c r="G1913" s="196"/>
      <c r="H1913" s="196"/>
      <c r="I1913" s="196"/>
      <c r="J1913" s="114"/>
      <c r="AW1913" s="117"/>
      <c r="AX1913" s="117"/>
      <c r="AY1913" s="117"/>
      <c r="AZ1913" s="117"/>
      <c r="BA1913" s="117"/>
      <c r="BB1913" s="117"/>
      <c r="BC1913" s="117"/>
      <c r="BD1913" s="117"/>
    </row>
    <row r="1914" spans="1:56" ht="18">
      <c r="A1914" s="114"/>
      <c r="B1914" s="398" t="s">
        <v>1125</v>
      </c>
      <c r="C1914" s="172"/>
      <c r="D1914" s="173"/>
      <c r="E1914" s="397">
        <f>E1913-(E1918+E1920)</f>
        <v>12.993000000000002</v>
      </c>
      <c r="F1914" s="390" t="s">
        <v>1124</v>
      </c>
      <c r="G1914" s="196"/>
      <c r="H1914" s="196"/>
      <c r="I1914" s="196"/>
      <c r="J1914" s="114"/>
      <c r="AW1914" s="117"/>
      <c r="AX1914" s="117"/>
      <c r="AY1914" s="117"/>
      <c r="AZ1914" s="117"/>
      <c r="BA1914" s="117"/>
      <c r="BB1914" s="117"/>
      <c r="BC1914" s="117"/>
      <c r="BD1914" s="117"/>
    </row>
    <row r="1915" spans="1:56" ht="15">
      <c r="A1915" s="114"/>
      <c r="B1915" s="399" t="s">
        <v>1126</v>
      </c>
      <c r="C1915" s="317"/>
      <c r="D1915" s="318"/>
      <c r="E1915" s="400">
        <f>(2*C1910)*C1904</f>
        <v>4.2600000000000007</v>
      </c>
      <c r="F1915" s="390" t="s">
        <v>13</v>
      </c>
      <c r="G1915" s="196"/>
      <c r="H1915" s="196"/>
      <c r="I1915" s="196"/>
      <c r="J1915" s="114"/>
      <c r="AW1915" s="117"/>
      <c r="AX1915" s="117"/>
      <c r="AY1915" s="117"/>
      <c r="AZ1915" s="117"/>
      <c r="BA1915" s="117"/>
      <c r="BB1915" s="117"/>
      <c r="BC1915" s="117"/>
      <c r="BD1915" s="117"/>
    </row>
    <row r="1916" spans="1:56" ht="15">
      <c r="A1916" s="114"/>
      <c r="B1916" s="196"/>
      <c r="C1916" s="196"/>
      <c r="D1916" s="196"/>
      <c r="E1916" s="401"/>
      <c r="F1916" s="196"/>
      <c r="G1916" s="196"/>
      <c r="H1916" s="196"/>
      <c r="I1916" s="196"/>
      <c r="J1916" s="114"/>
      <c r="AW1916" s="117"/>
      <c r="AX1916" s="117"/>
      <c r="AY1916" s="117"/>
      <c r="AZ1916" s="117"/>
      <c r="BA1916" s="117"/>
      <c r="BB1916" s="117"/>
      <c r="BC1916" s="117"/>
      <c r="BD1916" s="117"/>
    </row>
    <row r="1917" spans="1:56" ht="15">
      <c r="A1917" s="114"/>
      <c r="B1917" s="303" t="s">
        <v>1127</v>
      </c>
      <c r="C1917" s="196"/>
      <c r="D1917" s="196"/>
      <c r="E1917" s="401"/>
      <c r="F1917" s="196"/>
      <c r="G1917" s="196"/>
      <c r="H1917" s="196"/>
      <c r="I1917" s="196"/>
      <c r="J1917" s="114"/>
      <c r="AW1917" s="117"/>
      <c r="AX1917" s="117"/>
      <c r="AY1917" s="117"/>
      <c r="AZ1917" s="117"/>
      <c r="BA1917" s="117"/>
      <c r="BB1917" s="117"/>
      <c r="BC1917" s="117"/>
      <c r="BD1917" s="117"/>
    </row>
    <row r="1918" spans="1:56" ht="18">
      <c r="A1918" s="114"/>
      <c r="B1918" s="398" t="s">
        <v>1128</v>
      </c>
      <c r="C1918" s="172"/>
      <c r="D1918" s="173"/>
      <c r="E1918" s="402">
        <f>E1915*0.05</f>
        <v>0.21300000000000005</v>
      </c>
      <c r="F1918" s="390" t="s">
        <v>1124</v>
      </c>
      <c r="G1918" s="196"/>
      <c r="H1918" s="196"/>
      <c r="I1918" s="196"/>
      <c r="J1918" s="114"/>
      <c r="AW1918" s="117"/>
      <c r="AX1918" s="117"/>
      <c r="AY1918" s="117"/>
      <c r="AZ1918" s="117"/>
      <c r="BA1918" s="117"/>
      <c r="BB1918" s="117"/>
      <c r="BC1918" s="117"/>
      <c r="BD1918" s="117"/>
    </row>
    <row r="1919" spans="1:56" ht="15">
      <c r="A1919" s="114"/>
      <c r="B1919" s="398" t="s">
        <v>1129</v>
      </c>
      <c r="C1919" s="172"/>
      <c r="D1919" s="173"/>
      <c r="E1919" s="397">
        <f>C1906*2*C1904</f>
        <v>8.5200000000000014</v>
      </c>
      <c r="F1919" s="390" t="s">
        <v>13</v>
      </c>
      <c r="G1919" s="393" t="s">
        <v>1108</v>
      </c>
      <c r="H1919" s="196" t="s">
        <v>1131</v>
      </c>
      <c r="I1919" s="393"/>
      <c r="J1919" s="114"/>
      <c r="AW1919" s="117"/>
      <c r="AX1919" s="117"/>
      <c r="AY1919" s="117"/>
      <c r="AZ1919" s="117"/>
      <c r="BA1919" s="117"/>
      <c r="BB1919" s="117"/>
      <c r="BC1919" s="117"/>
      <c r="BD1919" s="117"/>
    </row>
    <row r="1920" spans="1:56" ht="18">
      <c r="A1920" s="114"/>
      <c r="B1920" s="398" t="s">
        <v>1130</v>
      </c>
      <c r="C1920" s="172"/>
      <c r="D1920" s="173"/>
      <c r="E1920" s="402">
        <f>C1903*C1904*C1906</f>
        <v>0.8520000000000002</v>
      </c>
      <c r="F1920" s="390" t="s">
        <v>1124</v>
      </c>
      <c r="G1920" s="196"/>
      <c r="H1920" s="196"/>
      <c r="I1920" s="196"/>
      <c r="J1920" s="114"/>
      <c r="AW1920" s="117"/>
      <c r="AX1920" s="117"/>
      <c r="AY1920" s="117"/>
      <c r="AZ1920" s="117"/>
      <c r="BA1920" s="117"/>
      <c r="BB1920" s="117"/>
      <c r="BC1920" s="117"/>
      <c r="BD1920" s="117"/>
    </row>
    <row r="1921" spans="1:56" ht="15">
      <c r="A1921" s="114"/>
      <c r="B1921" s="288"/>
      <c r="C1921" s="230"/>
      <c r="D1921" s="230"/>
      <c r="E1921" s="384"/>
      <c r="F1921" s="196"/>
      <c r="G1921" s="196"/>
      <c r="H1921" s="196"/>
      <c r="I1921" s="196"/>
      <c r="J1921" s="114"/>
      <c r="AW1921" s="117"/>
      <c r="AX1921" s="117"/>
      <c r="AY1921" s="117"/>
      <c r="AZ1921" s="117"/>
      <c r="BA1921" s="117"/>
      <c r="BB1921" s="117"/>
      <c r="BC1921" s="117"/>
      <c r="BD1921" s="117"/>
    </row>
    <row r="1922" spans="1:56" ht="15">
      <c r="A1922" s="114"/>
      <c r="B1922" s="293"/>
      <c r="C1922" s="387"/>
      <c r="D1922" s="387"/>
      <c r="E1922" s="387"/>
      <c r="F1922" s="387"/>
      <c r="G1922" s="387"/>
      <c r="H1922" s="386"/>
      <c r="I1922" s="386"/>
      <c r="J1922" s="114"/>
      <c r="AW1922" s="117"/>
      <c r="AX1922" s="117"/>
      <c r="AY1922" s="117"/>
      <c r="AZ1922" s="117"/>
      <c r="BA1922" s="117"/>
      <c r="BB1922" s="117"/>
      <c r="BC1922" s="117"/>
      <c r="BD1922" s="117"/>
    </row>
    <row r="1923" spans="1:56" ht="15">
      <c r="A1923" s="114"/>
      <c r="B1923" s="293"/>
      <c r="C1923" s="387"/>
      <c r="D1923" s="387"/>
      <c r="E1923" s="387"/>
      <c r="F1923" s="387"/>
      <c r="G1923" s="387"/>
      <c r="H1923" s="386"/>
      <c r="I1923" s="386"/>
      <c r="J1923" s="114"/>
      <c r="AW1923" s="117"/>
      <c r="AX1923" s="117"/>
      <c r="AY1923" s="117"/>
      <c r="AZ1923" s="117"/>
      <c r="BA1923" s="117"/>
      <c r="BB1923" s="117"/>
      <c r="BC1923" s="117"/>
      <c r="BD1923" s="117"/>
    </row>
    <row r="1924" spans="1:56">
      <c r="A1924" s="114"/>
      <c r="B1924" s="385" t="s">
        <v>1179</v>
      </c>
      <c r="C1924" s="196"/>
      <c r="D1924" s="196"/>
      <c r="E1924" s="196"/>
      <c r="F1924" s="196"/>
      <c r="G1924" s="196"/>
      <c r="H1924" s="196"/>
      <c r="I1924" s="196"/>
      <c r="J1924" s="114"/>
      <c r="AW1924" s="117"/>
      <c r="AX1924" s="117"/>
      <c r="AY1924" s="117"/>
      <c r="AZ1924" s="117"/>
      <c r="BA1924" s="117"/>
      <c r="BB1924" s="117"/>
      <c r="BC1924" s="117"/>
      <c r="BD1924" s="117"/>
    </row>
    <row r="1925" spans="1:56" ht="15">
      <c r="A1925" s="114"/>
      <c r="B1925" s="196"/>
      <c r="C1925" s="196"/>
      <c r="D1925" s="196"/>
      <c r="E1925" s="196"/>
      <c r="F1925" s="196"/>
      <c r="G1925" s="196"/>
      <c r="H1925" s="196"/>
      <c r="I1925" s="196"/>
      <c r="J1925" s="114"/>
      <c r="AW1925" s="117"/>
      <c r="AX1925" s="117"/>
      <c r="AY1925" s="117"/>
      <c r="AZ1925" s="117"/>
      <c r="BA1925" s="117"/>
      <c r="BB1925" s="117"/>
      <c r="BC1925" s="117"/>
      <c r="BD1925" s="117"/>
    </row>
    <row r="1926" spans="1:56" ht="15">
      <c r="A1926" s="114"/>
      <c r="B1926" s="388" t="s">
        <v>1110</v>
      </c>
      <c r="C1926" s="389">
        <v>0.2</v>
      </c>
      <c r="D1926" s="390" t="s">
        <v>10</v>
      </c>
      <c r="E1926" s="196"/>
      <c r="F1926" s="196"/>
      <c r="G1926" s="392"/>
      <c r="H1926" s="393"/>
      <c r="I1926" s="196"/>
      <c r="J1926" s="114"/>
      <c r="AW1926" s="117"/>
      <c r="AX1926" s="117"/>
      <c r="AY1926" s="117"/>
      <c r="AZ1926" s="117"/>
      <c r="BA1926" s="117"/>
      <c r="BB1926" s="117"/>
      <c r="BC1926" s="117"/>
      <c r="BD1926" s="117"/>
    </row>
    <row r="1927" spans="1:56" ht="15">
      <c r="A1927" s="114"/>
      <c r="B1927" s="388" t="s">
        <v>1111</v>
      </c>
      <c r="C1927" s="391">
        <v>61.75</v>
      </c>
      <c r="D1927" s="390" t="s">
        <v>10</v>
      </c>
      <c r="E1927" s="196"/>
      <c r="F1927" s="196"/>
      <c r="G1927" s="392"/>
      <c r="H1927" s="393"/>
      <c r="I1927" s="196"/>
      <c r="J1927" s="114"/>
      <c r="AW1927" s="117"/>
      <c r="AX1927" s="117"/>
      <c r="AY1927" s="117"/>
      <c r="AZ1927" s="117"/>
      <c r="BA1927" s="117"/>
      <c r="BB1927" s="117"/>
      <c r="BC1927" s="117"/>
      <c r="BD1927" s="117"/>
    </row>
    <row r="1928" spans="1:56" ht="15">
      <c r="A1928" s="114"/>
      <c r="B1928" s="388" t="s">
        <v>1112</v>
      </c>
      <c r="C1928" s="389">
        <v>0.65</v>
      </c>
      <c r="D1928" s="390" t="s">
        <v>10</v>
      </c>
      <c r="E1928" s="196"/>
      <c r="F1928" s="196"/>
      <c r="G1928" s="392"/>
      <c r="H1928" s="393"/>
      <c r="I1928" s="196"/>
      <c r="J1928" s="114"/>
      <c r="AW1928" s="117"/>
      <c r="AX1928" s="117"/>
      <c r="AY1928" s="117"/>
      <c r="AZ1928" s="117"/>
      <c r="BA1928" s="117"/>
      <c r="BB1928" s="117"/>
      <c r="BC1928" s="117"/>
      <c r="BD1928" s="117"/>
    </row>
    <row r="1929" spans="1:56" ht="15">
      <c r="A1929" s="114"/>
      <c r="B1929" s="388" t="s">
        <v>1113</v>
      </c>
      <c r="C1929" s="389">
        <v>0.5</v>
      </c>
      <c r="D1929" s="390" t="s">
        <v>10</v>
      </c>
      <c r="E1929" s="196"/>
      <c r="F1929" s="196"/>
      <c r="G1929" s="392"/>
      <c r="H1929" s="394"/>
      <c r="I1929" s="196"/>
      <c r="J1929" s="114"/>
      <c r="AW1929" s="117"/>
      <c r="AX1929" s="117"/>
      <c r="AY1929" s="117"/>
      <c r="AZ1929" s="117"/>
      <c r="BA1929" s="117"/>
      <c r="BB1929" s="117"/>
      <c r="BC1929" s="117"/>
      <c r="BD1929" s="117"/>
    </row>
    <row r="1930" spans="1:56" ht="15">
      <c r="A1930" s="114"/>
      <c r="B1930" s="388" t="s">
        <v>1117</v>
      </c>
      <c r="C1930" s="389">
        <v>1</v>
      </c>
      <c r="D1930" s="390" t="s">
        <v>1118</v>
      </c>
      <c r="E1930" s="196"/>
      <c r="F1930" s="196"/>
      <c r="G1930" s="392"/>
      <c r="H1930" s="393"/>
      <c r="I1930" s="196"/>
      <c r="J1930" s="114"/>
      <c r="AW1930" s="117"/>
      <c r="AX1930" s="117"/>
      <c r="AY1930" s="117"/>
      <c r="AZ1930" s="117"/>
      <c r="BA1930" s="117"/>
      <c r="BB1930" s="117"/>
      <c r="BC1930" s="117"/>
      <c r="BD1930" s="117"/>
    </row>
    <row r="1931" spans="1:56" ht="15">
      <c r="A1931" s="114"/>
      <c r="B1931" s="392"/>
      <c r="C1931" s="393"/>
      <c r="D1931" s="196"/>
      <c r="E1931" s="196"/>
      <c r="F1931" s="196"/>
      <c r="G1931" s="392"/>
      <c r="H1931" s="393"/>
      <c r="I1931" s="196"/>
      <c r="J1931" s="114"/>
      <c r="AW1931" s="117"/>
      <c r="AX1931" s="117"/>
      <c r="AY1931" s="117"/>
      <c r="AZ1931" s="117"/>
      <c r="BA1931" s="117"/>
      <c r="BB1931" s="117"/>
      <c r="BC1931" s="117"/>
      <c r="BD1931" s="117"/>
    </row>
    <row r="1932" spans="1:56" ht="15">
      <c r="A1932" s="114"/>
      <c r="B1932" s="388" t="s">
        <v>1114</v>
      </c>
      <c r="C1932" s="389">
        <v>0.6</v>
      </c>
      <c r="D1932" s="390" t="s">
        <v>10</v>
      </c>
      <c r="E1932" s="288" t="s">
        <v>1120</v>
      </c>
      <c r="F1932" s="288"/>
      <c r="G1932" s="230"/>
      <c r="H1932" s="395"/>
      <c r="I1932" s="196"/>
      <c r="J1932" s="114"/>
      <c r="AW1932" s="117"/>
      <c r="AX1932" s="117"/>
      <c r="AY1932" s="117"/>
      <c r="AZ1932" s="117"/>
      <c r="BA1932" s="117"/>
      <c r="BB1932" s="117"/>
      <c r="BC1932" s="117"/>
      <c r="BD1932" s="117"/>
    </row>
    <row r="1933" spans="1:56" ht="15">
      <c r="A1933" s="114"/>
      <c r="B1933" s="388" t="s">
        <v>1114</v>
      </c>
      <c r="C1933" s="389">
        <v>0.2</v>
      </c>
      <c r="D1933" s="390" t="s">
        <v>10</v>
      </c>
      <c r="E1933" s="288" t="s">
        <v>1121</v>
      </c>
      <c r="F1933" s="288"/>
      <c r="G1933" s="230"/>
      <c r="H1933" s="395"/>
      <c r="I1933" s="196"/>
      <c r="J1933" s="114"/>
      <c r="AW1933" s="117"/>
      <c r="AX1933" s="117"/>
      <c r="AY1933" s="117"/>
      <c r="AZ1933" s="117"/>
      <c r="BA1933" s="117"/>
      <c r="BB1933" s="117"/>
      <c r="BC1933" s="117"/>
      <c r="BD1933" s="117"/>
    </row>
    <row r="1934" spans="1:56" ht="15">
      <c r="A1934" s="114"/>
      <c r="B1934" s="196"/>
      <c r="C1934" s="196"/>
      <c r="D1934" s="196"/>
      <c r="E1934" s="196"/>
      <c r="F1934" s="196"/>
      <c r="G1934" s="196"/>
      <c r="H1934" s="196"/>
      <c r="I1934" s="196"/>
      <c r="J1934" s="114"/>
      <c r="AW1934" s="117"/>
      <c r="AX1934" s="117"/>
      <c r="AY1934" s="117"/>
      <c r="AZ1934" s="117"/>
      <c r="BA1934" s="117"/>
      <c r="BB1934" s="117"/>
      <c r="BC1934" s="117"/>
      <c r="BD1934" s="117"/>
    </row>
    <row r="1935" spans="1:56" ht="15">
      <c r="A1935" s="114"/>
      <c r="B1935" s="303" t="s">
        <v>1122</v>
      </c>
      <c r="C1935" s="362"/>
      <c r="D1935" s="362"/>
      <c r="E1935" s="196"/>
      <c r="F1935" s="196"/>
      <c r="G1935" s="196"/>
      <c r="H1935" s="196"/>
      <c r="I1935" s="196"/>
      <c r="J1935" s="114"/>
      <c r="AW1935" s="117"/>
      <c r="AX1935" s="117"/>
      <c r="AY1935" s="117"/>
      <c r="AZ1935" s="117"/>
      <c r="BA1935" s="117"/>
      <c r="BB1935" s="117"/>
      <c r="BC1935" s="117"/>
      <c r="BD1935" s="117"/>
    </row>
    <row r="1936" spans="1:56" ht="18">
      <c r="A1936" s="114"/>
      <c r="B1936" s="396" t="s">
        <v>1123</v>
      </c>
      <c r="C1936" s="289"/>
      <c r="D1936" s="290"/>
      <c r="E1936" s="397">
        <f>C1930*(C1932*2*(0.05+C1929+C1928)*C1927)</f>
        <v>88.920000000000016</v>
      </c>
      <c r="F1936" s="390" t="s">
        <v>1124</v>
      </c>
      <c r="G1936" s="196"/>
      <c r="H1936" s="196"/>
      <c r="I1936" s="196"/>
      <c r="J1936" s="114"/>
      <c r="AW1936" s="117"/>
      <c r="AX1936" s="117"/>
      <c r="AY1936" s="117"/>
      <c r="AZ1936" s="117"/>
      <c r="BA1936" s="117"/>
      <c r="BB1936" s="117"/>
      <c r="BC1936" s="117"/>
      <c r="BD1936" s="117"/>
    </row>
    <row r="1937" spans="1:56" ht="18">
      <c r="A1937" s="114"/>
      <c r="B1937" s="398" t="s">
        <v>1125</v>
      </c>
      <c r="C1937" s="172"/>
      <c r="D1937" s="173"/>
      <c r="E1937" s="397">
        <f>E1936-(E1941+E1943)</f>
        <v>81.510000000000019</v>
      </c>
      <c r="F1937" s="390" t="s">
        <v>1124</v>
      </c>
      <c r="G1937" s="196"/>
      <c r="H1937" s="196"/>
      <c r="I1937" s="196"/>
      <c r="J1937" s="114"/>
      <c r="AW1937" s="117"/>
      <c r="AX1937" s="117"/>
      <c r="AY1937" s="117"/>
      <c r="AZ1937" s="117"/>
      <c r="BA1937" s="117"/>
      <c r="BB1937" s="117"/>
      <c r="BC1937" s="117"/>
      <c r="BD1937" s="117"/>
    </row>
    <row r="1938" spans="1:56" ht="15">
      <c r="A1938" s="114"/>
      <c r="B1938" s="399" t="s">
        <v>1126</v>
      </c>
      <c r="C1938" s="317"/>
      <c r="D1938" s="318"/>
      <c r="E1938" s="400">
        <f>(2*C1933)*C1927</f>
        <v>24.700000000000003</v>
      </c>
      <c r="F1938" s="390" t="s">
        <v>13</v>
      </c>
      <c r="G1938" s="196"/>
      <c r="H1938" s="196"/>
      <c r="I1938" s="196"/>
      <c r="J1938" s="114"/>
      <c r="AW1938" s="117"/>
      <c r="AX1938" s="117"/>
      <c r="AY1938" s="117"/>
      <c r="AZ1938" s="117"/>
      <c r="BA1938" s="117"/>
      <c r="BB1938" s="117"/>
      <c r="BC1938" s="117"/>
      <c r="BD1938" s="117"/>
    </row>
    <row r="1939" spans="1:56" ht="15">
      <c r="A1939" s="114"/>
      <c r="B1939" s="196"/>
      <c r="C1939" s="196"/>
      <c r="D1939" s="196"/>
      <c r="E1939" s="401"/>
      <c r="F1939" s="196"/>
      <c r="G1939" s="196"/>
      <c r="H1939" s="196"/>
      <c r="I1939" s="196"/>
      <c r="J1939" s="114"/>
      <c r="AW1939" s="117"/>
      <c r="AX1939" s="117"/>
      <c r="AY1939" s="117"/>
      <c r="AZ1939" s="117"/>
      <c r="BA1939" s="117"/>
      <c r="BB1939" s="117"/>
      <c r="BC1939" s="117"/>
      <c r="BD1939" s="117"/>
    </row>
    <row r="1940" spans="1:56" ht="15">
      <c r="A1940" s="114"/>
      <c r="B1940" s="303" t="s">
        <v>1127</v>
      </c>
      <c r="C1940" s="196"/>
      <c r="D1940" s="196"/>
      <c r="E1940" s="401"/>
      <c r="F1940" s="196"/>
      <c r="G1940" s="196"/>
      <c r="H1940" s="196"/>
      <c r="I1940" s="196"/>
      <c r="J1940" s="114"/>
      <c r="AW1940" s="117"/>
      <c r="AX1940" s="117"/>
      <c r="AY1940" s="117"/>
      <c r="AZ1940" s="117"/>
      <c r="BA1940" s="117"/>
      <c r="BB1940" s="117"/>
      <c r="BC1940" s="117"/>
      <c r="BD1940" s="117"/>
    </row>
    <row r="1941" spans="1:56" ht="18">
      <c r="A1941" s="114"/>
      <c r="B1941" s="398" t="s">
        <v>1128</v>
      </c>
      <c r="C1941" s="172"/>
      <c r="D1941" s="173"/>
      <c r="E1941" s="402">
        <f>E1938*0.05</f>
        <v>1.2350000000000003</v>
      </c>
      <c r="F1941" s="390" t="s">
        <v>1124</v>
      </c>
      <c r="G1941" s="196"/>
      <c r="H1941" s="196"/>
      <c r="I1941" s="196"/>
      <c r="J1941" s="114"/>
      <c r="AW1941" s="117"/>
      <c r="AX1941" s="117"/>
      <c r="AY1941" s="117"/>
      <c r="AZ1941" s="117"/>
      <c r="BA1941" s="117"/>
      <c r="BB1941" s="117"/>
      <c r="BC1941" s="117"/>
      <c r="BD1941" s="117"/>
    </row>
    <row r="1942" spans="1:56" ht="15">
      <c r="A1942" s="114"/>
      <c r="B1942" s="398" t="s">
        <v>1129</v>
      </c>
      <c r="C1942" s="172"/>
      <c r="D1942" s="173"/>
      <c r="E1942" s="397">
        <f>C1929*2*C1927</f>
        <v>61.75</v>
      </c>
      <c r="F1942" s="390" t="s">
        <v>13</v>
      </c>
      <c r="G1942" s="393" t="s">
        <v>1108</v>
      </c>
      <c r="H1942" s="196" t="s">
        <v>1131</v>
      </c>
      <c r="I1942" s="393"/>
      <c r="J1942" s="114"/>
      <c r="AW1942" s="117"/>
      <c r="AX1942" s="117"/>
      <c r="AY1942" s="117"/>
      <c r="AZ1942" s="117"/>
      <c r="BA1942" s="117"/>
      <c r="BB1942" s="117"/>
      <c r="BC1942" s="117"/>
      <c r="BD1942" s="117"/>
    </row>
    <row r="1943" spans="1:56" ht="18">
      <c r="A1943" s="114"/>
      <c r="B1943" s="398" t="s">
        <v>1130</v>
      </c>
      <c r="C1943" s="172"/>
      <c r="D1943" s="173"/>
      <c r="E1943" s="402">
        <f>C1926*C1927*C1929</f>
        <v>6.1750000000000007</v>
      </c>
      <c r="F1943" s="390" t="s">
        <v>1124</v>
      </c>
      <c r="G1943" s="196"/>
      <c r="H1943" s="196"/>
      <c r="I1943" s="196"/>
      <c r="J1943" s="114"/>
      <c r="AW1943" s="117"/>
      <c r="AX1943" s="117"/>
      <c r="AY1943" s="117"/>
      <c r="AZ1943" s="117"/>
      <c r="BA1943" s="117"/>
      <c r="BB1943" s="117"/>
      <c r="BC1943" s="117"/>
      <c r="BD1943" s="117"/>
    </row>
    <row r="1944" spans="1:56" ht="15">
      <c r="A1944" s="114"/>
      <c r="B1944" s="288"/>
      <c r="C1944" s="230"/>
      <c r="D1944" s="230"/>
      <c r="E1944" s="384"/>
      <c r="F1944" s="196"/>
      <c r="G1944" s="196"/>
      <c r="H1944" s="196"/>
      <c r="I1944" s="196"/>
      <c r="J1944" s="114"/>
      <c r="AW1944" s="117"/>
      <c r="AX1944" s="117"/>
      <c r="AY1944" s="117"/>
      <c r="AZ1944" s="117"/>
      <c r="BA1944" s="117"/>
      <c r="BB1944" s="117"/>
      <c r="BC1944" s="117"/>
      <c r="BD1944" s="117"/>
    </row>
    <row r="1945" spans="1:56" ht="15">
      <c r="A1945" s="114"/>
      <c r="B1945" s="293"/>
      <c r="C1945" s="387"/>
      <c r="D1945" s="387"/>
      <c r="E1945" s="387"/>
      <c r="F1945" s="387"/>
      <c r="G1945" s="387"/>
      <c r="H1945" s="386"/>
      <c r="I1945" s="386"/>
      <c r="J1945" s="114"/>
      <c r="AW1945" s="117"/>
      <c r="AX1945" s="117"/>
      <c r="AY1945" s="117"/>
      <c r="AZ1945" s="117"/>
      <c r="BA1945" s="117"/>
      <c r="BB1945" s="117"/>
      <c r="BC1945" s="117"/>
      <c r="BD1945" s="117"/>
    </row>
    <row r="1946" spans="1:56" ht="15">
      <c r="A1946" s="114"/>
      <c r="B1946" s="293"/>
      <c r="C1946" s="387"/>
      <c r="D1946" s="387"/>
      <c r="E1946" s="387"/>
      <c r="F1946" s="387"/>
      <c r="G1946" s="387"/>
      <c r="H1946" s="386"/>
      <c r="I1946" s="386"/>
      <c r="J1946" s="114"/>
      <c r="AW1946" s="117"/>
      <c r="AX1946" s="117"/>
      <c r="AY1946" s="117"/>
      <c r="AZ1946" s="117"/>
      <c r="BA1946" s="117"/>
      <c r="BB1946" s="117"/>
      <c r="BC1946" s="117"/>
      <c r="BD1946" s="117"/>
    </row>
    <row r="1947" spans="1:56">
      <c r="A1947" s="114"/>
      <c r="B1947" s="385" t="s">
        <v>1180</v>
      </c>
      <c r="C1947" s="196"/>
      <c r="D1947" s="196"/>
      <c r="E1947" s="196"/>
      <c r="F1947" s="196"/>
      <c r="G1947" s="196"/>
      <c r="H1947" s="196"/>
      <c r="I1947" s="196"/>
      <c r="J1947" s="114"/>
      <c r="AW1947" s="117"/>
      <c r="AX1947" s="117"/>
      <c r="AY1947" s="117"/>
      <c r="AZ1947" s="117"/>
      <c r="BA1947" s="117"/>
      <c r="BB1947" s="117"/>
      <c r="BC1947" s="117"/>
      <c r="BD1947" s="117"/>
    </row>
    <row r="1948" spans="1:56" ht="15">
      <c r="A1948" s="114"/>
      <c r="B1948" s="196"/>
      <c r="C1948" s="196"/>
      <c r="D1948" s="196"/>
      <c r="E1948" s="196"/>
      <c r="F1948" s="196"/>
      <c r="G1948" s="196"/>
      <c r="H1948" s="196"/>
      <c r="I1948" s="196"/>
      <c r="J1948" s="114"/>
      <c r="AW1948" s="117"/>
      <c r="AX1948" s="117"/>
      <c r="AY1948" s="117"/>
      <c r="AZ1948" s="117"/>
      <c r="BA1948" s="117"/>
      <c r="BB1948" s="117"/>
      <c r="BC1948" s="117"/>
      <c r="BD1948" s="117"/>
    </row>
    <row r="1949" spans="1:56" ht="15">
      <c r="A1949" s="114"/>
      <c r="B1949" s="388" t="s">
        <v>1110</v>
      </c>
      <c r="C1949" s="389">
        <v>0.2</v>
      </c>
      <c r="D1949" s="390" t="s">
        <v>10</v>
      </c>
      <c r="E1949" s="196"/>
      <c r="F1949" s="196"/>
      <c r="G1949" s="392"/>
      <c r="H1949" s="393"/>
      <c r="I1949" s="196"/>
      <c r="J1949" s="114"/>
      <c r="AW1949" s="117"/>
      <c r="AX1949" s="117"/>
      <c r="AY1949" s="117"/>
      <c r="AZ1949" s="117"/>
      <c r="BA1949" s="117"/>
      <c r="BB1949" s="117"/>
      <c r="BC1949" s="117"/>
      <c r="BD1949" s="117"/>
    </row>
    <row r="1950" spans="1:56" ht="15">
      <c r="A1950" s="114"/>
      <c r="B1950" s="388" t="s">
        <v>1111</v>
      </c>
      <c r="C1950" s="391">
        <v>7.1</v>
      </c>
      <c r="D1950" s="390" t="s">
        <v>10</v>
      </c>
      <c r="E1950" s="196"/>
      <c r="F1950" s="196"/>
      <c r="G1950" s="392"/>
      <c r="H1950" s="393"/>
      <c r="I1950" s="196"/>
      <c r="J1950" s="114"/>
      <c r="AW1950" s="117"/>
      <c r="AX1950" s="117"/>
      <c r="AY1950" s="117"/>
      <c r="AZ1950" s="117"/>
      <c r="BA1950" s="117"/>
      <c r="BB1950" s="117"/>
      <c r="BC1950" s="117"/>
      <c r="BD1950" s="117"/>
    </row>
    <row r="1951" spans="1:56" ht="15">
      <c r="A1951" s="114"/>
      <c r="B1951" s="388" t="s">
        <v>1112</v>
      </c>
      <c r="C1951" s="389">
        <v>0.05</v>
      </c>
      <c r="D1951" s="390" t="s">
        <v>10</v>
      </c>
      <c r="E1951" s="196"/>
      <c r="F1951" s="196"/>
      <c r="G1951" s="392"/>
      <c r="H1951" s="393"/>
      <c r="I1951" s="196"/>
      <c r="J1951" s="114"/>
      <c r="AW1951" s="117"/>
      <c r="AX1951" s="117"/>
      <c r="AY1951" s="117"/>
      <c r="AZ1951" s="117"/>
      <c r="BA1951" s="117"/>
      <c r="BB1951" s="117"/>
      <c r="BC1951" s="117"/>
      <c r="BD1951" s="117"/>
    </row>
    <row r="1952" spans="1:56" ht="15">
      <c r="A1952" s="114"/>
      <c r="B1952" s="388" t="s">
        <v>1113</v>
      </c>
      <c r="C1952" s="389">
        <v>1.1000000000000001</v>
      </c>
      <c r="D1952" s="390" t="s">
        <v>10</v>
      </c>
      <c r="E1952" s="196"/>
      <c r="F1952" s="196"/>
      <c r="G1952" s="392"/>
      <c r="H1952" s="394"/>
      <c r="I1952" s="196"/>
      <c r="J1952" s="114"/>
      <c r="AW1952" s="117"/>
      <c r="AX1952" s="117"/>
      <c r="AY1952" s="117"/>
      <c r="AZ1952" s="117"/>
      <c r="BA1952" s="117"/>
      <c r="BB1952" s="117"/>
      <c r="BC1952" s="117"/>
      <c r="BD1952" s="117"/>
    </row>
    <row r="1953" spans="1:56" ht="15">
      <c r="A1953" s="114"/>
      <c r="B1953" s="388" t="s">
        <v>1117</v>
      </c>
      <c r="C1953" s="389">
        <v>1</v>
      </c>
      <c r="D1953" s="390" t="s">
        <v>1118</v>
      </c>
      <c r="E1953" s="196"/>
      <c r="F1953" s="196"/>
      <c r="G1953" s="392"/>
      <c r="H1953" s="393"/>
      <c r="I1953" s="196"/>
      <c r="J1953" s="114"/>
      <c r="AW1953" s="117"/>
      <c r="AX1953" s="117"/>
      <c r="AY1953" s="117"/>
      <c r="AZ1953" s="117"/>
      <c r="BA1953" s="117"/>
      <c r="BB1953" s="117"/>
      <c r="BC1953" s="117"/>
      <c r="BD1953" s="117"/>
    </row>
    <row r="1954" spans="1:56" ht="15">
      <c r="A1954" s="114"/>
      <c r="B1954" s="392"/>
      <c r="C1954" s="393"/>
      <c r="D1954" s="196"/>
      <c r="E1954" s="196"/>
      <c r="F1954" s="196"/>
      <c r="G1954" s="392"/>
      <c r="H1954" s="393"/>
      <c r="I1954" s="196"/>
      <c r="J1954" s="114"/>
      <c r="AW1954" s="117"/>
      <c r="AX1954" s="117"/>
      <c r="AY1954" s="117"/>
      <c r="AZ1954" s="117"/>
      <c r="BA1954" s="117"/>
      <c r="BB1954" s="117"/>
      <c r="BC1954" s="117"/>
      <c r="BD1954" s="117"/>
    </row>
    <row r="1955" spans="1:56" ht="15">
      <c r="A1955" s="114"/>
      <c r="B1955" s="388" t="s">
        <v>1114</v>
      </c>
      <c r="C1955" s="389">
        <v>0.6</v>
      </c>
      <c r="D1955" s="390" t="s">
        <v>10</v>
      </c>
      <c r="E1955" s="288" t="s">
        <v>1120</v>
      </c>
      <c r="F1955" s="288"/>
      <c r="G1955" s="230"/>
      <c r="H1955" s="395"/>
      <c r="I1955" s="196"/>
      <c r="J1955" s="114"/>
      <c r="AW1955" s="117"/>
      <c r="AX1955" s="117"/>
      <c r="AY1955" s="117"/>
      <c r="AZ1955" s="117"/>
      <c r="BA1955" s="117"/>
      <c r="BB1955" s="117"/>
      <c r="BC1955" s="117"/>
      <c r="BD1955" s="117"/>
    </row>
    <row r="1956" spans="1:56" ht="15">
      <c r="A1956" s="114"/>
      <c r="B1956" s="388" t="s">
        <v>1114</v>
      </c>
      <c r="C1956" s="389">
        <v>0.2</v>
      </c>
      <c r="D1956" s="390" t="s">
        <v>10</v>
      </c>
      <c r="E1956" s="288" t="s">
        <v>1121</v>
      </c>
      <c r="F1956" s="288"/>
      <c r="G1956" s="230"/>
      <c r="H1956" s="395"/>
      <c r="I1956" s="196"/>
      <c r="J1956" s="114"/>
      <c r="AW1956" s="117"/>
      <c r="AX1956" s="117"/>
      <c r="AY1956" s="117"/>
      <c r="AZ1956" s="117"/>
      <c r="BA1956" s="117"/>
      <c r="BB1956" s="117"/>
      <c r="BC1956" s="117"/>
      <c r="BD1956" s="117"/>
    </row>
    <row r="1957" spans="1:56" ht="15">
      <c r="A1957" s="114"/>
      <c r="B1957" s="196"/>
      <c r="C1957" s="196"/>
      <c r="D1957" s="196"/>
      <c r="E1957" s="196"/>
      <c r="F1957" s="196"/>
      <c r="G1957" s="196"/>
      <c r="H1957" s="196"/>
      <c r="I1957" s="196"/>
      <c r="J1957" s="114"/>
      <c r="AW1957" s="117"/>
      <c r="AX1957" s="117"/>
      <c r="AY1957" s="117"/>
      <c r="AZ1957" s="117"/>
      <c r="BA1957" s="117"/>
      <c r="BB1957" s="117"/>
      <c r="BC1957" s="117"/>
      <c r="BD1957" s="117"/>
    </row>
    <row r="1958" spans="1:56" ht="15">
      <c r="A1958" s="114"/>
      <c r="B1958" s="303" t="s">
        <v>1122</v>
      </c>
      <c r="C1958" s="362"/>
      <c r="D1958" s="362"/>
      <c r="E1958" s="196"/>
      <c r="F1958" s="196"/>
      <c r="G1958" s="196"/>
      <c r="H1958" s="196"/>
      <c r="I1958" s="196"/>
      <c r="J1958" s="114"/>
      <c r="AW1958" s="117"/>
      <c r="AX1958" s="117"/>
      <c r="AY1958" s="117"/>
      <c r="AZ1958" s="117"/>
      <c r="BA1958" s="117"/>
      <c r="BB1958" s="117"/>
      <c r="BC1958" s="117"/>
      <c r="BD1958" s="117"/>
    </row>
    <row r="1959" spans="1:56" ht="18">
      <c r="A1959" s="114"/>
      <c r="B1959" s="396" t="s">
        <v>1123</v>
      </c>
      <c r="C1959" s="289"/>
      <c r="D1959" s="290"/>
      <c r="E1959" s="397">
        <f>C1953*(C1955*2*(0.05+C1952+C1951)*C1950)</f>
        <v>10.224</v>
      </c>
      <c r="F1959" s="390" t="s">
        <v>1124</v>
      </c>
      <c r="G1959" s="196"/>
      <c r="H1959" s="196"/>
      <c r="I1959" s="196"/>
      <c r="J1959" s="114"/>
      <c r="AW1959" s="117"/>
      <c r="AX1959" s="117"/>
      <c r="AY1959" s="117"/>
      <c r="AZ1959" s="117"/>
      <c r="BA1959" s="117"/>
      <c r="BB1959" s="117"/>
      <c r="BC1959" s="117"/>
      <c r="BD1959" s="117"/>
    </row>
    <row r="1960" spans="1:56" ht="18">
      <c r="A1960" s="114"/>
      <c r="B1960" s="398" t="s">
        <v>1125</v>
      </c>
      <c r="C1960" s="172"/>
      <c r="D1960" s="173"/>
      <c r="E1960" s="397">
        <f>E1959-(E1964+E1966)</f>
        <v>8.52</v>
      </c>
      <c r="F1960" s="390" t="s">
        <v>1124</v>
      </c>
      <c r="G1960" s="196"/>
      <c r="H1960" s="196"/>
      <c r="I1960" s="196"/>
      <c r="J1960" s="114"/>
      <c r="AW1960" s="117"/>
      <c r="AX1960" s="117"/>
      <c r="AY1960" s="117"/>
      <c r="AZ1960" s="117"/>
      <c r="BA1960" s="117"/>
      <c r="BB1960" s="117"/>
      <c r="BC1960" s="117"/>
      <c r="BD1960" s="117"/>
    </row>
    <row r="1961" spans="1:56" ht="15">
      <c r="A1961" s="114"/>
      <c r="B1961" s="399" t="s">
        <v>1126</v>
      </c>
      <c r="C1961" s="317"/>
      <c r="D1961" s="318"/>
      <c r="E1961" s="400">
        <f>(2*C1956)*C1950</f>
        <v>2.84</v>
      </c>
      <c r="F1961" s="390" t="s">
        <v>13</v>
      </c>
      <c r="G1961" s="196"/>
      <c r="H1961" s="196"/>
      <c r="I1961" s="196"/>
      <c r="J1961" s="114"/>
      <c r="AW1961" s="117"/>
      <c r="AX1961" s="117"/>
      <c r="AY1961" s="117"/>
      <c r="AZ1961" s="117"/>
      <c r="BA1961" s="117"/>
      <c r="BB1961" s="117"/>
      <c r="BC1961" s="117"/>
      <c r="BD1961" s="117"/>
    </row>
    <row r="1962" spans="1:56" ht="15">
      <c r="A1962" s="114"/>
      <c r="B1962" s="196"/>
      <c r="C1962" s="196"/>
      <c r="D1962" s="196"/>
      <c r="E1962" s="401"/>
      <c r="F1962" s="196"/>
      <c r="G1962" s="196"/>
      <c r="H1962" s="196"/>
      <c r="I1962" s="196"/>
      <c r="J1962" s="114"/>
      <c r="AW1962" s="117"/>
      <c r="AX1962" s="117"/>
      <c r="AY1962" s="117"/>
      <c r="AZ1962" s="117"/>
      <c r="BA1962" s="117"/>
      <c r="BB1962" s="117"/>
      <c r="BC1962" s="117"/>
      <c r="BD1962" s="117"/>
    </row>
    <row r="1963" spans="1:56" ht="15">
      <c r="A1963" s="114"/>
      <c r="B1963" s="303" t="s">
        <v>1127</v>
      </c>
      <c r="C1963" s="196"/>
      <c r="D1963" s="196"/>
      <c r="E1963" s="401"/>
      <c r="F1963" s="196"/>
      <c r="G1963" s="196"/>
      <c r="H1963" s="196"/>
      <c r="I1963" s="196"/>
      <c r="J1963" s="114"/>
      <c r="AW1963" s="117"/>
      <c r="AX1963" s="117"/>
      <c r="AY1963" s="117"/>
      <c r="AZ1963" s="117"/>
      <c r="BA1963" s="117"/>
      <c r="BB1963" s="117"/>
      <c r="BC1963" s="117"/>
      <c r="BD1963" s="117"/>
    </row>
    <row r="1964" spans="1:56" ht="18">
      <c r="A1964" s="114"/>
      <c r="B1964" s="398" t="s">
        <v>1128</v>
      </c>
      <c r="C1964" s="172"/>
      <c r="D1964" s="173"/>
      <c r="E1964" s="402">
        <f>E1961*0.05</f>
        <v>0.14199999999999999</v>
      </c>
      <c r="F1964" s="390" t="s">
        <v>1124</v>
      </c>
      <c r="G1964" s="196"/>
      <c r="H1964" s="196"/>
      <c r="I1964" s="196"/>
      <c r="J1964" s="114"/>
      <c r="AW1964" s="117"/>
      <c r="AX1964" s="117"/>
      <c r="AY1964" s="117"/>
      <c r="AZ1964" s="117"/>
      <c r="BA1964" s="117"/>
      <c r="BB1964" s="117"/>
      <c r="BC1964" s="117"/>
      <c r="BD1964" s="117"/>
    </row>
    <row r="1965" spans="1:56" ht="15">
      <c r="A1965" s="114"/>
      <c r="B1965" s="398" t="s">
        <v>1129</v>
      </c>
      <c r="C1965" s="172"/>
      <c r="D1965" s="173"/>
      <c r="E1965" s="397">
        <f>C1952*2*C1950</f>
        <v>15.620000000000001</v>
      </c>
      <c r="F1965" s="390" t="s">
        <v>13</v>
      </c>
      <c r="G1965" s="393" t="s">
        <v>1108</v>
      </c>
      <c r="H1965" s="196" t="s">
        <v>1131</v>
      </c>
      <c r="I1965" s="393"/>
      <c r="J1965" s="114"/>
      <c r="AW1965" s="117"/>
      <c r="AX1965" s="117"/>
      <c r="AY1965" s="117"/>
      <c r="AZ1965" s="117"/>
      <c r="BA1965" s="117"/>
      <c r="BB1965" s="117"/>
      <c r="BC1965" s="117"/>
      <c r="BD1965" s="117"/>
    </row>
    <row r="1966" spans="1:56" ht="18">
      <c r="A1966" s="114"/>
      <c r="B1966" s="398" t="s">
        <v>1130</v>
      </c>
      <c r="C1966" s="172"/>
      <c r="D1966" s="173"/>
      <c r="E1966" s="402">
        <f>C1949*C1950*C1952</f>
        <v>1.5620000000000001</v>
      </c>
      <c r="F1966" s="390" t="s">
        <v>1124</v>
      </c>
      <c r="G1966" s="196"/>
      <c r="H1966" s="196"/>
      <c r="I1966" s="196"/>
      <c r="J1966" s="114"/>
      <c r="AW1966" s="117"/>
      <c r="AX1966" s="117"/>
      <c r="AY1966" s="117"/>
      <c r="AZ1966" s="117"/>
      <c r="BA1966" s="117"/>
      <c r="BB1966" s="117"/>
      <c r="BC1966" s="117"/>
      <c r="BD1966" s="117"/>
    </row>
    <row r="1967" spans="1:56" ht="15">
      <c r="A1967" s="114"/>
      <c r="B1967" s="288"/>
      <c r="C1967" s="230"/>
      <c r="D1967" s="230"/>
      <c r="E1967" s="384"/>
      <c r="F1967" s="196"/>
      <c r="G1967" s="196"/>
      <c r="H1967" s="196"/>
      <c r="I1967" s="196"/>
      <c r="J1967" s="114"/>
      <c r="AW1967" s="117"/>
      <c r="AX1967" s="117"/>
      <c r="AY1967" s="117"/>
      <c r="AZ1967" s="117"/>
      <c r="BA1967" s="117"/>
      <c r="BB1967" s="117"/>
      <c r="BC1967" s="117"/>
      <c r="BD1967" s="117"/>
    </row>
    <row r="1968" spans="1:56" ht="15">
      <c r="A1968" s="114"/>
      <c r="B1968" s="288"/>
      <c r="C1968" s="230"/>
      <c r="D1968" s="230"/>
      <c r="E1968" s="384"/>
      <c r="F1968" s="196"/>
      <c r="G1968" s="196"/>
      <c r="H1968" s="196"/>
      <c r="I1968" s="196"/>
      <c r="J1968" s="114"/>
      <c r="AW1968" s="117"/>
      <c r="AX1968" s="117"/>
      <c r="AY1968" s="117"/>
      <c r="AZ1968" s="117"/>
      <c r="BA1968" s="117"/>
      <c r="BB1968" s="117"/>
      <c r="BC1968" s="117"/>
      <c r="BD1968" s="117"/>
    </row>
    <row r="1969" spans="1:56">
      <c r="A1969" s="114"/>
      <c r="B1969" s="115"/>
      <c r="C1969" s="115"/>
      <c r="D1969" s="115"/>
      <c r="E1969" s="115"/>
      <c r="F1969" s="115"/>
      <c r="G1969" s="115"/>
      <c r="H1969" s="115"/>
      <c r="I1969" s="115"/>
      <c r="J1969" s="114"/>
      <c r="AW1969" s="117"/>
      <c r="AX1969" s="117"/>
      <c r="AY1969" s="117"/>
      <c r="AZ1969" s="117"/>
      <c r="BA1969" s="117"/>
      <c r="BB1969" s="117"/>
      <c r="BC1969" s="117"/>
      <c r="BD1969" s="117"/>
    </row>
    <row r="1970" spans="1:56">
      <c r="A1970" s="114"/>
      <c r="B1970" s="115"/>
      <c r="C1970" s="115"/>
      <c r="D1970" s="115"/>
      <c r="E1970" s="115"/>
      <c r="F1970" s="115"/>
      <c r="G1970" s="115"/>
      <c r="H1970" s="115"/>
      <c r="I1970" s="115"/>
      <c r="J1970" s="114"/>
      <c r="AW1970" s="117"/>
      <c r="AX1970" s="117"/>
      <c r="AY1970" s="117"/>
      <c r="AZ1970" s="117"/>
      <c r="BA1970" s="117"/>
      <c r="BB1970" s="117"/>
      <c r="BC1970" s="117"/>
      <c r="BD1970" s="117"/>
    </row>
    <row r="1971" spans="1:56" customFormat="1">
      <c r="B1971" s="385" t="s">
        <v>1181</v>
      </c>
      <c r="C1971" s="362"/>
      <c r="D1971" s="362"/>
      <c r="E1971" s="362"/>
      <c r="F1971" s="362"/>
      <c r="G1971" s="115"/>
      <c r="H1971" s="115"/>
      <c r="I1971" s="362"/>
      <c r="J1971" s="362"/>
    </row>
    <row r="1972" spans="1:56" ht="15">
      <c r="A1972" s="114"/>
      <c r="B1972" s="362"/>
      <c r="C1972" s="362"/>
      <c r="D1972" s="362"/>
      <c r="E1972" s="362"/>
      <c r="F1972" s="404"/>
      <c r="G1972" s="196"/>
      <c r="H1972" s="196"/>
      <c r="I1972" s="404"/>
      <c r="J1972" s="404"/>
      <c r="AX1972" s="117"/>
      <c r="AY1972" s="117"/>
      <c r="AZ1972" s="117"/>
      <c r="BA1972" s="117"/>
      <c r="BB1972" s="117"/>
      <c r="BC1972" s="117"/>
      <c r="BD1972" s="117"/>
    </row>
    <row r="1973" spans="1:56" ht="18">
      <c r="A1973" s="114"/>
      <c r="B1973" s="388" t="s">
        <v>1141</v>
      </c>
      <c r="C1973" s="389">
        <v>0.2</v>
      </c>
      <c r="D1973" s="390" t="s">
        <v>10</v>
      </c>
      <c r="E1973" s="196"/>
      <c r="F1973" s="405"/>
      <c r="G1973" s="196"/>
      <c r="H1973" s="196"/>
      <c r="I1973" s="405" t="s">
        <v>1143</v>
      </c>
      <c r="J1973" s="405"/>
      <c r="AX1973" s="117"/>
      <c r="AY1973" s="117"/>
      <c r="AZ1973" s="117"/>
      <c r="BA1973" s="117"/>
      <c r="BB1973" s="117"/>
      <c r="BC1973" s="117"/>
      <c r="BD1973" s="117"/>
    </row>
    <row r="1974" spans="1:56" ht="15">
      <c r="A1974" s="114"/>
      <c r="B1974" s="388" t="s">
        <v>1144</v>
      </c>
      <c r="C1974" s="389">
        <v>0.2</v>
      </c>
      <c r="D1974" s="390" t="s">
        <v>10</v>
      </c>
      <c r="E1974" s="196"/>
      <c r="F1974" s="405"/>
      <c r="G1974" s="362"/>
      <c r="H1974" s="362"/>
      <c r="I1974" s="405"/>
      <c r="J1974" s="405"/>
      <c r="AX1974" s="117"/>
      <c r="AY1974" s="117"/>
      <c r="AZ1974" s="117"/>
      <c r="BA1974" s="117"/>
      <c r="BB1974" s="117"/>
      <c r="BC1974" s="117"/>
      <c r="BD1974" s="117"/>
    </row>
    <row r="1975" spans="1:56" ht="15">
      <c r="A1975" s="114"/>
      <c r="B1975" s="388" t="s">
        <v>1145</v>
      </c>
      <c r="C1975" s="389">
        <v>0.5</v>
      </c>
      <c r="D1975" s="390" t="s">
        <v>10</v>
      </c>
      <c r="E1975" s="196"/>
      <c r="F1975" s="405"/>
      <c r="G1975" s="404"/>
      <c r="H1975" s="404"/>
      <c r="I1975" s="405"/>
      <c r="J1975" s="405"/>
      <c r="AX1975" s="117"/>
      <c r="AY1975" s="117"/>
      <c r="AZ1975" s="117"/>
      <c r="BA1975" s="117"/>
      <c r="BB1975" s="117"/>
      <c r="BC1975" s="117"/>
      <c r="BD1975" s="117"/>
    </row>
    <row r="1976" spans="1:56" ht="18">
      <c r="A1976" s="114"/>
      <c r="B1976" s="388" t="s">
        <v>1146</v>
      </c>
      <c r="C1976" s="389">
        <v>0.5</v>
      </c>
      <c r="D1976" s="390" t="s">
        <v>10</v>
      </c>
      <c r="E1976" s="196"/>
      <c r="F1976" s="405"/>
      <c r="G1976" s="406" t="s">
        <v>1142</v>
      </c>
      <c r="H1976" s="407">
        <f>C1973*C1974</f>
        <v>4.0000000000000008E-2</v>
      </c>
      <c r="I1976" s="405" t="s">
        <v>1143</v>
      </c>
      <c r="J1976" s="405"/>
      <c r="AX1976" s="117"/>
      <c r="AY1976" s="117"/>
      <c r="AZ1976" s="117"/>
      <c r="BA1976" s="117"/>
      <c r="BB1976" s="117"/>
      <c r="BC1976" s="117"/>
      <c r="BD1976" s="117"/>
    </row>
    <row r="1977" spans="1:56" ht="18">
      <c r="A1977" s="114"/>
      <c r="B1977" s="388" t="s">
        <v>1112</v>
      </c>
      <c r="C1977" s="389">
        <v>0.65</v>
      </c>
      <c r="D1977" s="390" t="s">
        <v>10</v>
      </c>
      <c r="E1977" s="196"/>
      <c r="F1977" s="405"/>
      <c r="G1977" s="406" t="e">
        <f>TEXT(C1981,"tg 0°=")</f>
        <v>#VALUE!</v>
      </c>
      <c r="H1977" s="408">
        <f>TAN(3.14159265359*C1981/180)</f>
        <v>1.732050807569153</v>
      </c>
      <c r="I1977" s="405" t="s">
        <v>1143</v>
      </c>
      <c r="J1977" s="405"/>
      <c r="AX1977" s="117"/>
      <c r="AY1977" s="117"/>
      <c r="AZ1977" s="117"/>
      <c r="BA1977" s="117"/>
      <c r="BB1977" s="117"/>
      <c r="BC1977" s="117"/>
      <c r="BD1977" s="117"/>
    </row>
    <row r="1978" spans="1:56" ht="15">
      <c r="A1978" s="114"/>
      <c r="B1978" s="388" t="s">
        <v>1113</v>
      </c>
      <c r="C1978" s="389">
        <v>0.7</v>
      </c>
      <c r="D1978" s="390" t="s">
        <v>10</v>
      </c>
      <c r="E1978" s="196"/>
      <c r="F1978" s="405"/>
      <c r="G1978" s="406"/>
      <c r="H1978" s="407"/>
      <c r="I1978" s="405"/>
      <c r="J1978" s="405"/>
      <c r="AX1978" s="117"/>
      <c r="AY1978" s="117"/>
      <c r="AZ1978" s="117"/>
      <c r="BA1978" s="117"/>
      <c r="BB1978" s="117"/>
      <c r="BC1978" s="117"/>
      <c r="BD1978" s="117"/>
    </row>
    <row r="1979" spans="1:56" ht="15">
      <c r="A1979" s="114"/>
      <c r="B1979" s="388" t="s">
        <v>1117</v>
      </c>
      <c r="C1979" s="391">
        <v>9</v>
      </c>
      <c r="D1979" s="390" t="s">
        <v>1118</v>
      </c>
      <c r="E1979" s="196"/>
      <c r="F1979" s="405"/>
      <c r="G1979" s="406" t="s">
        <v>1142</v>
      </c>
      <c r="H1979" s="409">
        <f>(C1975+2*C1983+((C1977+C1978+0.05)/H1977)*2)*(C1976+2*C1983+((C1977+C1978+0.05)/H1977)*2)</f>
        <v>9.7130755945245877</v>
      </c>
      <c r="I1979" s="405"/>
      <c r="J1979" s="405"/>
      <c r="AX1979" s="117"/>
      <c r="AY1979" s="117"/>
      <c r="AZ1979" s="117"/>
      <c r="BA1979" s="117"/>
      <c r="BB1979" s="117"/>
      <c r="BC1979" s="117"/>
      <c r="BD1979" s="117"/>
    </row>
    <row r="1980" spans="1:56" ht="15">
      <c r="A1980" s="114"/>
      <c r="B1980" s="196" t="s">
        <v>1148</v>
      </c>
      <c r="C1980" s="393"/>
      <c r="D1980" s="196"/>
      <c r="E1980" s="196"/>
      <c r="F1980" s="405"/>
      <c r="G1980" s="406" t="s">
        <v>1147</v>
      </c>
      <c r="H1980" s="409">
        <f>(C1975+2*C1983)*(C1976+2*C1983)</f>
        <v>2.25</v>
      </c>
      <c r="I1980" s="405"/>
      <c r="J1980" s="405"/>
      <c r="AX1980" s="117"/>
      <c r="AY1980" s="117"/>
      <c r="AZ1980" s="117"/>
      <c r="BA1980" s="117"/>
      <c r="BB1980" s="117"/>
      <c r="BC1980" s="117"/>
      <c r="BD1980" s="117"/>
    </row>
    <row r="1981" spans="1:56" ht="15">
      <c r="A1981" s="114"/>
      <c r="B1981" s="388" t="s">
        <v>1149</v>
      </c>
      <c r="C1981" s="389">
        <v>60</v>
      </c>
      <c r="D1981" s="390" t="s">
        <v>1150</v>
      </c>
      <c r="E1981" s="196"/>
      <c r="F1981" s="196"/>
      <c r="G1981" s="406"/>
      <c r="H1981" s="407"/>
      <c r="I1981" s="196"/>
      <c r="J1981" s="196"/>
      <c r="AX1981" s="117"/>
      <c r="AY1981" s="117"/>
      <c r="AZ1981" s="117"/>
      <c r="BA1981" s="117"/>
      <c r="BB1981" s="117"/>
      <c r="BC1981" s="117"/>
      <c r="BD1981" s="117"/>
    </row>
    <row r="1982" spans="1:56" ht="15">
      <c r="A1982" s="114"/>
      <c r="B1982" s="362"/>
      <c r="C1982" s="196"/>
      <c r="D1982" s="196"/>
      <c r="E1982" s="196"/>
      <c r="F1982" s="196"/>
      <c r="G1982" s="406"/>
      <c r="H1982" s="407"/>
      <c r="I1982" s="362"/>
      <c r="J1982" s="196"/>
      <c r="AX1982" s="117"/>
      <c r="AY1982" s="117"/>
      <c r="AZ1982" s="117"/>
      <c r="BA1982" s="117"/>
      <c r="BB1982" s="117"/>
      <c r="BC1982" s="117"/>
      <c r="BD1982" s="117"/>
    </row>
    <row r="1983" spans="1:56" ht="15">
      <c r="A1983" s="114"/>
      <c r="B1983" s="388" t="s">
        <v>1114</v>
      </c>
      <c r="C1983" s="389">
        <v>0.5</v>
      </c>
      <c r="D1983" s="390" t="s">
        <v>10</v>
      </c>
      <c r="E1983" s="288" t="s">
        <v>1120</v>
      </c>
      <c r="F1983" s="196"/>
      <c r="G1983" s="406"/>
      <c r="H1983" s="407"/>
      <c r="I1983" s="114"/>
      <c r="J1983" s="196"/>
      <c r="AX1983" s="117"/>
      <c r="AY1983" s="117"/>
      <c r="AZ1983" s="117"/>
      <c r="BA1983" s="117"/>
      <c r="BB1983" s="117"/>
      <c r="BC1983" s="117"/>
      <c r="BD1983" s="117"/>
    </row>
    <row r="1984" spans="1:56" ht="15">
      <c r="A1984" s="114"/>
      <c r="B1984" s="388" t="s">
        <v>1114</v>
      </c>
      <c r="C1984" s="389">
        <v>0.1</v>
      </c>
      <c r="D1984" s="390" t="s">
        <v>10</v>
      </c>
      <c r="E1984" s="288" t="s">
        <v>1121</v>
      </c>
      <c r="F1984" s="196"/>
      <c r="G1984" s="392"/>
      <c r="H1984" s="393"/>
      <c r="I1984" s="196"/>
      <c r="J1984" s="196"/>
      <c r="AX1984" s="117"/>
      <c r="AY1984" s="117"/>
      <c r="AZ1984" s="117"/>
      <c r="BA1984" s="117"/>
      <c r="BB1984" s="117"/>
      <c r="BC1984" s="117"/>
      <c r="BD1984" s="117"/>
    </row>
    <row r="1985" spans="1:56" ht="15">
      <c r="A1985" s="114"/>
      <c r="B1985" s="362"/>
      <c r="C1985" s="362"/>
      <c r="D1985" s="362"/>
      <c r="E1985" s="362"/>
      <c r="F1985" s="362"/>
      <c r="G1985" s="362"/>
      <c r="H1985" s="362"/>
      <c r="I1985" s="196"/>
      <c r="J1985" s="196"/>
      <c r="AX1985" s="117"/>
      <c r="AY1985" s="117"/>
      <c r="AZ1985" s="117"/>
      <c r="BA1985" s="117"/>
      <c r="BB1985" s="117"/>
      <c r="BC1985" s="117"/>
      <c r="BD1985" s="117"/>
    </row>
    <row r="1986" spans="1:56" ht="15">
      <c r="A1986" s="114"/>
      <c r="B1986" s="303" t="s">
        <v>1122</v>
      </c>
      <c r="C1986" s="362"/>
      <c r="D1986" s="362"/>
      <c r="E1986" s="362"/>
      <c r="F1986" s="362"/>
      <c r="G1986" s="196" t="s">
        <v>1131</v>
      </c>
      <c r="H1986" s="114"/>
      <c r="I1986" s="196"/>
      <c r="J1986" s="196"/>
      <c r="AX1986" s="117"/>
      <c r="AY1986" s="117"/>
      <c r="AZ1986" s="117"/>
      <c r="BA1986" s="117"/>
      <c r="BB1986" s="117"/>
      <c r="BC1986" s="117"/>
      <c r="BD1986" s="117"/>
    </row>
    <row r="1987" spans="1:56" ht="18">
      <c r="A1987" s="114"/>
      <c r="B1987" s="398" t="s">
        <v>1123</v>
      </c>
      <c r="C1987" s="172"/>
      <c r="D1987" s="173"/>
      <c r="E1987" s="397">
        <f>C1979*((H1980+H1979)/2)*(C1977+C1978+0.05)</f>
        <v>75.3673762455049</v>
      </c>
      <c r="F1987" s="390" t="s">
        <v>1124</v>
      </c>
      <c r="G1987" s="196"/>
      <c r="H1987" s="196"/>
      <c r="I1987" s="362"/>
      <c r="J1987" s="362"/>
      <c r="AX1987" s="117"/>
      <c r="AY1987" s="117"/>
      <c r="AZ1987" s="117"/>
      <c r="BA1987" s="117"/>
      <c r="BB1987" s="117"/>
      <c r="BC1987" s="117"/>
      <c r="BD1987" s="117"/>
    </row>
    <row r="1988" spans="1:56" ht="18">
      <c r="A1988" s="114"/>
      <c r="B1988" s="398" t="s">
        <v>1125</v>
      </c>
      <c r="C1988" s="172"/>
      <c r="D1988" s="173"/>
      <c r="E1988" s="400">
        <f>E1987-(E1999+E2001)</f>
        <v>73.571876245504896</v>
      </c>
      <c r="F1988" s="390" t="s">
        <v>1124</v>
      </c>
      <c r="G1988" s="196"/>
      <c r="H1988" s="196"/>
      <c r="I1988" s="196"/>
      <c r="J1988" s="196"/>
      <c r="AX1988" s="117"/>
      <c r="AY1988" s="117"/>
      <c r="AZ1988" s="117"/>
      <c r="BA1988" s="117"/>
      <c r="BB1988" s="117"/>
      <c r="BC1988" s="117"/>
      <c r="BD1988" s="117"/>
    </row>
    <row r="1989" spans="1:56" ht="15">
      <c r="A1989" s="114"/>
      <c r="B1989" s="398" t="s">
        <v>1126</v>
      </c>
      <c r="C1989" s="172"/>
      <c r="D1989" s="173"/>
      <c r="E1989" s="400">
        <f>((C1975+2*C1984)*(C1976+2*C1984))*C1979</f>
        <v>4.4099999999999993</v>
      </c>
      <c r="F1989" s="390" t="s">
        <v>13</v>
      </c>
      <c r="G1989" s="362"/>
      <c r="H1989" s="362"/>
      <c r="I1989" s="362"/>
      <c r="J1989" s="362"/>
      <c r="AX1989" s="117"/>
      <c r="AY1989" s="117"/>
      <c r="AZ1989" s="117"/>
      <c r="BA1989" s="117"/>
      <c r="BB1989" s="117"/>
      <c r="BC1989" s="117"/>
      <c r="BD1989" s="117"/>
    </row>
    <row r="1990" spans="1:56" ht="15">
      <c r="A1990" s="114"/>
      <c r="B1990" s="362"/>
      <c r="C1990" s="362"/>
      <c r="D1990" s="362"/>
      <c r="E1990" s="401"/>
      <c r="F1990" s="196"/>
      <c r="G1990" s="362"/>
      <c r="H1990" s="362"/>
      <c r="I1990" s="362"/>
      <c r="J1990" s="362"/>
      <c r="AX1990" s="117"/>
      <c r="AY1990" s="117"/>
      <c r="AZ1990" s="117"/>
      <c r="BA1990" s="117"/>
      <c r="BB1990" s="117"/>
      <c r="BC1990" s="117"/>
      <c r="BD1990" s="117"/>
    </row>
    <row r="1991" spans="1:56" ht="15">
      <c r="A1991" s="114"/>
      <c r="B1991" s="303" t="s">
        <v>1162</v>
      </c>
      <c r="C1991" s="362"/>
      <c r="D1991" s="362"/>
      <c r="E1991" s="410"/>
      <c r="F1991" s="362"/>
      <c r="G1991" s="362"/>
      <c r="H1991" s="362"/>
      <c r="I1991" s="362"/>
      <c r="J1991" s="362"/>
      <c r="AX1991" s="117"/>
      <c r="AY1991" s="117"/>
      <c r="AZ1991" s="117"/>
      <c r="BA1991" s="117"/>
      <c r="BB1991" s="117"/>
      <c r="BC1991" s="117"/>
      <c r="BD1991" s="117"/>
    </row>
    <row r="1992" spans="1:56" ht="15">
      <c r="A1992" s="114"/>
      <c r="B1992" s="398" t="s">
        <v>1152</v>
      </c>
      <c r="C1992" s="398"/>
      <c r="D1992" s="366"/>
      <c r="E1992" s="411">
        <v>1</v>
      </c>
      <c r="F1992" s="390" t="s">
        <v>1153</v>
      </c>
      <c r="G1992" s="362"/>
      <c r="H1992" s="362"/>
      <c r="I1992" s="362"/>
      <c r="J1992" s="362"/>
      <c r="AX1992" s="117"/>
      <c r="AY1992" s="117"/>
      <c r="AZ1992" s="117"/>
      <c r="BA1992" s="117"/>
      <c r="BB1992" s="117"/>
      <c r="BC1992" s="117"/>
      <c r="BD1992" s="117"/>
    </row>
    <row r="1993" spans="1:56" ht="15">
      <c r="A1993" s="114"/>
      <c r="B1993" s="399" t="s">
        <v>1154</v>
      </c>
      <c r="C1993" s="31"/>
      <c r="D1993" s="32"/>
      <c r="E1993" s="412">
        <f>C1979*E1992</f>
        <v>9</v>
      </c>
      <c r="F1993" s="390" t="s">
        <v>1153</v>
      </c>
      <c r="G1993" s="362"/>
      <c r="H1993" s="362"/>
      <c r="I1993" s="362"/>
      <c r="J1993" s="362"/>
      <c r="AX1993" s="117"/>
      <c r="AY1993" s="117"/>
      <c r="AZ1993" s="117"/>
      <c r="BA1993" s="117"/>
      <c r="BB1993" s="117"/>
      <c r="BC1993" s="117"/>
      <c r="BD1993" s="117"/>
    </row>
    <row r="1994" spans="1:56" ht="15">
      <c r="A1994" s="114"/>
      <c r="B1994" s="398" t="s">
        <v>1155</v>
      </c>
      <c r="C1994" s="21"/>
      <c r="D1994" s="413"/>
      <c r="E1994" s="411">
        <v>250</v>
      </c>
      <c r="F1994" s="390" t="s">
        <v>1156</v>
      </c>
      <c r="G1994" s="362"/>
      <c r="H1994" s="414"/>
      <c r="I1994" s="362"/>
      <c r="J1994" s="415"/>
      <c r="AX1994" s="117"/>
      <c r="AY1994" s="117"/>
      <c r="AZ1994" s="117"/>
      <c r="BA1994" s="117"/>
      <c r="BB1994" s="117"/>
      <c r="BC1994" s="117"/>
      <c r="BD1994" s="117"/>
    </row>
    <row r="1995" spans="1:56" ht="15">
      <c r="A1995" s="114"/>
      <c r="B1995" s="398" t="s">
        <v>1157</v>
      </c>
      <c r="C1995" s="21"/>
      <c r="D1995" s="413"/>
      <c r="E1995" s="418">
        <v>12</v>
      </c>
      <c r="F1995" s="390" t="s">
        <v>10</v>
      </c>
      <c r="G1995" s="362"/>
      <c r="H1995" s="6"/>
      <c r="I1995" s="362"/>
      <c r="J1995" s="362"/>
      <c r="AX1995" s="117"/>
      <c r="AY1995" s="117"/>
      <c r="AZ1995" s="117"/>
      <c r="BA1995" s="117"/>
      <c r="BB1995" s="117"/>
      <c r="BC1995" s="117"/>
      <c r="BD1995" s="117"/>
    </row>
    <row r="1996" spans="1:56" ht="15">
      <c r="A1996" s="114"/>
      <c r="B1996" s="398" t="s">
        <v>1158</v>
      </c>
      <c r="C1996" s="21"/>
      <c r="D1996" s="413"/>
      <c r="E1996" s="412">
        <f>E1993*E1995</f>
        <v>108</v>
      </c>
      <c r="F1996" s="390" t="s">
        <v>10</v>
      </c>
      <c r="G1996" s="362"/>
      <c r="H1996" s="362"/>
      <c r="I1996" s="362"/>
      <c r="J1996" s="362"/>
      <c r="AX1996" s="117"/>
      <c r="AY1996" s="117"/>
      <c r="AZ1996" s="117"/>
      <c r="BA1996" s="117"/>
      <c r="BB1996" s="117"/>
      <c r="BC1996" s="117"/>
      <c r="BD1996" s="117"/>
    </row>
    <row r="1997" spans="1:56" ht="15">
      <c r="A1997" s="114"/>
      <c r="B1997" s="362"/>
      <c r="C1997" s="362"/>
      <c r="D1997" s="362"/>
      <c r="E1997" s="410"/>
      <c r="F1997" s="362"/>
      <c r="G1997" s="362"/>
      <c r="H1997" s="362"/>
      <c r="I1997" s="362"/>
      <c r="J1997" s="362"/>
      <c r="AX1997" s="117"/>
      <c r="AY1997" s="117"/>
      <c r="AZ1997" s="117"/>
      <c r="BA1997" s="117"/>
      <c r="BB1997" s="117"/>
      <c r="BC1997" s="117"/>
      <c r="BD1997" s="117"/>
    </row>
    <row r="1998" spans="1:56" ht="15">
      <c r="A1998" s="114"/>
      <c r="B1998" s="303" t="s">
        <v>1160</v>
      </c>
      <c r="C1998" s="362"/>
      <c r="D1998" s="362"/>
      <c r="E1998" s="410"/>
      <c r="F1998" s="362"/>
      <c r="G1998" s="362"/>
      <c r="H1998" s="362"/>
      <c r="I1998" s="362"/>
      <c r="J1998" s="362"/>
      <c r="AX1998" s="117"/>
      <c r="AY1998" s="117"/>
      <c r="AZ1998" s="117"/>
      <c r="BA1998" s="117"/>
      <c r="BB1998" s="117"/>
      <c r="BC1998" s="117"/>
      <c r="BD1998" s="117"/>
    </row>
    <row r="1999" spans="1:56" ht="18">
      <c r="A1999" s="114"/>
      <c r="B1999" s="398" t="s">
        <v>1128</v>
      </c>
      <c r="C1999" s="172"/>
      <c r="D1999" s="173"/>
      <c r="E1999" s="402">
        <f>E1989*0.05</f>
        <v>0.22049999999999997</v>
      </c>
      <c r="F1999" s="390" t="s">
        <v>1124</v>
      </c>
      <c r="G1999" s="362"/>
      <c r="H1999" s="362"/>
      <c r="I1999" s="362"/>
      <c r="J1999" s="362"/>
      <c r="AX1999" s="117"/>
      <c r="AY1999" s="117"/>
      <c r="AZ1999" s="117"/>
      <c r="BA1999" s="117"/>
      <c r="BB1999" s="117"/>
      <c r="BC1999" s="117"/>
      <c r="BD1999" s="117"/>
    </row>
    <row r="2000" spans="1:56" ht="15">
      <c r="A2000" s="114"/>
      <c r="B2000" s="398" t="s">
        <v>1129</v>
      </c>
      <c r="C2000" s="172"/>
      <c r="D2000" s="173"/>
      <c r="E2000" s="397">
        <f>(2*(C1975+C1976)*C1978)*C1979</f>
        <v>12.6</v>
      </c>
      <c r="F2000" s="390" t="s">
        <v>13</v>
      </c>
      <c r="G2000" s="362"/>
      <c r="H2000" s="362"/>
      <c r="I2000" s="362"/>
      <c r="J2000" s="362"/>
      <c r="AX2000" s="117"/>
      <c r="AY2000" s="117"/>
      <c r="AZ2000" s="117"/>
      <c r="BA2000" s="117"/>
      <c r="BB2000" s="117"/>
      <c r="BC2000" s="117"/>
      <c r="BD2000" s="117"/>
    </row>
    <row r="2001" spans="1:56" ht="18">
      <c r="A2001" s="114"/>
      <c r="B2001" s="398" t="s">
        <v>1130</v>
      </c>
      <c r="C2001" s="172"/>
      <c r="D2001" s="173"/>
      <c r="E2001" s="402">
        <f>(C1975*C1976*C1978)*C1979</f>
        <v>1.575</v>
      </c>
      <c r="F2001" s="390" t="s">
        <v>1124</v>
      </c>
      <c r="G2001" s="362"/>
      <c r="H2001" s="362"/>
      <c r="I2001" s="362"/>
      <c r="J2001" s="362"/>
      <c r="AX2001" s="117"/>
      <c r="AY2001" s="117"/>
      <c r="AZ2001" s="117"/>
      <c r="BA2001" s="117"/>
      <c r="BB2001" s="117"/>
      <c r="BC2001" s="117"/>
      <c r="BD2001" s="117"/>
    </row>
    <row r="2002" spans="1:56">
      <c r="A2002" s="114"/>
      <c r="B2002" s="115"/>
      <c r="C2002" s="115"/>
      <c r="D2002" s="115"/>
      <c r="E2002" s="115"/>
      <c r="F2002" s="115"/>
      <c r="G2002" s="115"/>
      <c r="H2002" s="115"/>
      <c r="I2002" s="115"/>
      <c r="J2002" s="114"/>
      <c r="AW2002" s="117"/>
      <c r="AX2002" s="117"/>
      <c r="AY2002" s="117"/>
      <c r="AZ2002" s="117"/>
      <c r="BA2002" s="117"/>
      <c r="BB2002" s="117"/>
      <c r="BC2002" s="117"/>
      <c r="BD2002" s="117"/>
    </row>
    <row r="2003" spans="1:56">
      <c r="A2003" s="114"/>
      <c r="B2003" s="115"/>
      <c r="C2003" s="115"/>
      <c r="D2003" s="115"/>
      <c r="E2003" s="115"/>
      <c r="F2003" s="115"/>
      <c r="G2003" s="115"/>
      <c r="H2003" s="115"/>
      <c r="I2003" s="115"/>
      <c r="J2003" s="114"/>
      <c r="AW2003" s="117"/>
      <c r="AX2003" s="117"/>
      <c r="AY2003" s="117"/>
      <c r="AZ2003" s="117"/>
      <c r="BA2003" s="117"/>
      <c r="BB2003" s="117"/>
      <c r="BC2003" s="117"/>
      <c r="BD2003" s="117"/>
    </row>
    <row r="2004" spans="1:56">
      <c r="A2004" s="114"/>
      <c r="B2004" s="115"/>
      <c r="C2004" s="115"/>
      <c r="D2004" s="115"/>
      <c r="E2004" s="115"/>
      <c r="F2004" s="115"/>
      <c r="G2004" s="115"/>
      <c r="H2004" s="115"/>
      <c r="I2004" s="115"/>
      <c r="J2004" s="114"/>
      <c r="AW2004" s="117"/>
      <c r="AX2004" s="117"/>
      <c r="AY2004" s="117"/>
      <c r="AZ2004" s="117"/>
      <c r="BA2004" s="117"/>
      <c r="BB2004" s="117"/>
      <c r="BC2004" s="117"/>
      <c r="BD2004" s="117"/>
    </row>
    <row r="2005" spans="1:56" customFormat="1">
      <c r="B2005" s="385" t="s">
        <v>1182</v>
      </c>
      <c r="C2005" s="362"/>
      <c r="D2005" s="362"/>
      <c r="E2005" s="362"/>
      <c r="F2005" s="362"/>
      <c r="G2005" s="115"/>
      <c r="H2005" s="115"/>
      <c r="I2005" s="362"/>
      <c r="J2005" s="362"/>
    </row>
    <row r="2006" spans="1:56" ht="15">
      <c r="A2006" s="114"/>
      <c r="B2006" s="362"/>
      <c r="C2006" s="362"/>
      <c r="D2006" s="362"/>
      <c r="E2006" s="362"/>
      <c r="F2006" s="404"/>
      <c r="G2006" s="196"/>
      <c r="H2006" s="196"/>
      <c r="I2006" s="404"/>
      <c r="J2006" s="404"/>
      <c r="AX2006" s="117"/>
      <c r="AY2006" s="117"/>
      <c r="AZ2006" s="117"/>
      <c r="BA2006" s="117"/>
      <c r="BB2006" s="117"/>
      <c r="BC2006" s="117"/>
      <c r="BD2006" s="117"/>
    </row>
    <row r="2007" spans="1:56" ht="18">
      <c r="A2007" s="114"/>
      <c r="B2007" s="388" t="s">
        <v>1141</v>
      </c>
      <c r="C2007" s="389">
        <v>0</v>
      </c>
      <c r="D2007" s="390" t="s">
        <v>10</v>
      </c>
      <c r="E2007" s="196"/>
      <c r="F2007" s="405"/>
      <c r="G2007" s="196"/>
      <c r="H2007" s="196"/>
      <c r="I2007" s="405" t="s">
        <v>1143</v>
      </c>
      <c r="J2007" s="405"/>
      <c r="AX2007" s="117"/>
      <c r="AY2007" s="117"/>
      <c r="AZ2007" s="117"/>
      <c r="BA2007" s="117"/>
      <c r="BB2007" s="117"/>
      <c r="BC2007" s="117"/>
      <c r="BD2007" s="117"/>
    </row>
    <row r="2008" spans="1:56" ht="15">
      <c r="A2008" s="114"/>
      <c r="B2008" s="388" t="s">
        <v>1144</v>
      </c>
      <c r="C2008" s="389">
        <v>0</v>
      </c>
      <c r="D2008" s="390" t="s">
        <v>10</v>
      </c>
      <c r="E2008" s="196"/>
      <c r="F2008" s="405"/>
      <c r="G2008" s="362"/>
      <c r="H2008" s="362"/>
      <c r="I2008" s="405"/>
      <c r="J2008" s="405"/>
      <c r="AX2008" s="117"/>
      <c r="AY2008" s="117"/>
      <c r="AZ2008" s="117"/>
      <c r="BA2008" s="117"/>
      <c r="BB2008" s="117"/>
      <c r="BC2008" s="117"/>
      <c r="BD2008" s="117"/>
    </row>
    <row r="2009" spans="1:56" ht="15">
      <c r="A2009" s="114"/>
      <c r="B2009" s="388" t="s">
        <v>1145</v>
      </c>
      <c r="C2009" s="389">
        <v>0.5</v>
      </c>
      <c r="D2009" s="390" t="s">
        <v>10</v>
      </c>
      <c r="E2009" s="196"/>
      <c r="F2009" s="405"/>
      <c r="G2009" s="404"/>
      <c r="H2009" s="404"/>
      <c r="I2009" s="405"/>
      <c r="J2009" s="405"/>
      <c r="AX2009" s="117"/>
      <c r="AY2009" s="117"/>
      <c r="AZ2009" s="117"/>
      <c r="BA2009" s="117"/>
      <c r="BB2009" s="117"/>
      <c r="BC2009" s="117"/>
      <c r="BD2009" s="117"/>
    </row>
    <row r="2010" spans="1:56" ht="18">
      <c r="A2010" s="114"/>
      <c r="B2010" s="388" t="s">
        <v>1146</v>
      </c>
      <c r="C2010" s="389">
        <v>0.5</v>
      </c>
      <c r="D2010" s="390" t="s">
        <v>10</v>
      </c>
      <c r="E2010" s="196"/>
      <c r="F2010" s="405"/>
      <c r="G2010" s="406" t="s">
        <v>1142</v>
      </c>
      <c r="H2010" s="407">
        <f>C2007*C2008</f>
        <v>0</v>
      </c>
      <c r="I2010" s="405" t="s">
        <v>1143</v>
      </c>
      <c r="J2010" s="405"/>
      <c r="AX2010" s="117"/>
      <c r="AY2010" s="117"/>
      <c r="AZ2010" s="117"/>
      <c r="BA2010" s="117"/>
      <c r="BB2010" s="117"/>
      <c r="BC2010" s="117"/>
      <c r="BD2010" s="117"/>
    </row>
    <row r="2011" spans="1:56" ht="18">
      <c r="A2011" s="114"/>
      <c r="B2011" s="388" t="s">
        <v>1112</v>
      </c>
      <c r="C2011" s="389">
        <v>0.65</v>
      </c>
      <c r="D2011" s="390" t="s">
        <v>10</v>
      </c>
      <c r="E2011" s="196"/>
      <c r="F2011" s="405"/>
      <c r="G2011" s="406" t="e">
        <f>TEXT(C2015,"tg 0°=")</f>
        <v>#VALUE!</v>
      </c>
      <c r="H2011" s="408">
        <f>TAN(3.14159265359*C2015/180)</f>
        <v>1.732050807569153</v>
      </c>
      <c r="I2011" s="405" t="s">
        <v>1143</v>
      </c>
      <c r="J2011" s="405"/>
      <c r="AX2011" s="117"/>
      <c r="AY2011" s="117"/>
      <c r="AZ2011" s="117"/>
      <c r="BA2011" s="117"/>
      <c r="BB2011" s="117"/>
      <c r="BC2011" s="117"/>
      <c r="BD2011" s="117"/>
    </row>
    <row r="2012" spans="1:56" ht="15">
      <c r="A2012" s="114"/>
      <c r="B2012" s="388" t="s">
        <v>1113</v>
      </c>
      <c r="C2012" s="389">
        <v>0.7</v>
      </c>
      <c r="D2012" s="390" t="s">
        <v>10</v>
      </c>
      <c r="E2012" s="196"/>
      <c r="F2012" s="405"/>
      <c r="G2012" s="406"/>
      <c r="H2012" s="407"/>
      <c r="I2012" s="405"/>
      <c r="J2012" s="405"/>
      <c r="AX2012" s="117"/>
      <c r="AY2012" s="117"/>
      <c r="AZ2012" s="117"/>
      <c r="BA2012" s="117"/>
      <c r="BB2012" s="117"/>
      <c r="BC2012" s="117"/>
      <c r="BD2012" s="117"/>
    </row>
    <row r="2013" spans="1:56" ht="15">
      <c r="A2013" s="114"/>
      <c r="B2013" s="388" t="s">
        <v>1117</v>
      </c>
      <c r="C2013" s="391">
        <v>5</v>
      </c>
      <c r="D2013" s="390" t="s">
        <v>1118</v>
      </c>
      <c r="E2013" s="196"/>
      <c r="F2013" s="405"/>
      <c r="G2013" s="406" t="s">
        <v>1142</v>
      </c>
      <c r="H2013" s="409">
        <f>(C2009+2*C2017+((C2011+C2012+0.05)/H2011)*2)*(C2010+2*C2017+((C2011+C2012+0.05)/H2011)*2)</f>
        <v>9.7130755945245877</v>
      </c>
      <c r="I2013" s="405"/>
      <c r="J2013" s="405"/>
      <c r="AX2013" s="117"/>
      <c r="AY2013" s="117"/>
      <c r="AZ2013" s="117"/>
      <c r="BA2013" s="117"/>
      <c r="BB2013" s="117"/>
      <c r="BC2013" s="117"/>
      <c r="BD2013" s="117"/>
    </row>
    <row r="2014" spans="1:56" ht="15">
      <c r="A2014" s="114"/>
      <c r="B2014" s="196" t="s">
        <v>1148</v>
      </c>
      <c r="C2014" s="393"/>
      <c r="D2014" s="196"/>
      <c r="E2014" s="196"/>
      <c r="F2014" s="405"/>
      <c r="G2014" s="406" t="s">
        <v>1147</v>
      </c>
      <c r="H2014" s="409">
        <f>(C2009+2*C2017)*(C2010+2*C2017)</f>
        <v>2.25</v>
      </c>
      <c r="I2014" s="405"/>
      <c r="J2014" s="405"/>
      <c r="AX2014" s="117"/>
      <c r="AY2014" s="117"/>
      <c r="AZ2014" s="117"/>
      <c r="BA2014" s="117"/>
      <c r="BB2014" s="117"/>
      <c r="BC2014" s="117"/>
      <c r="BD2014" s="117"/>
    </row>
    <row r="2015" spans="1:56" ht="15">
      <c r="A2015" s="114"/>
      <c r="B2015" s="388" t="s">
        <v>1149</v>
      </c>
      <c r="C2015" s="389">
        <v>60</v>
      </c>
      <c r="D2015" s="390" t="s">
        <v>1150</v>
      </c>
      <c r="E2015" s="196"/>
      <c r="F2015" s="196"/>
      <c r="G2015" s="406"/>
      <c r="H2015" s="407"/>
      <c r="I2015" s="196"/>
      <c r="J2015" s="196"/>
      <c r="AX2015" s="117"/>
      <c r="AY2015" s="117"/>
      <c r="AZ2015" s="117"/>
      <c r="BA2015" s="117"/>
      <c r="BB2015" s="117"/>
      <c r="BC2015" s="117"/>
      <c r="BD2015" s="117"/>
    </row>
    <row r="2016" spans="1:56" ht="15">
      <c r="A2016" s="114"/>
      <c r="B2016" s="362"/>
      <c r="C2016" s="196"/>
      <c r="D2016" s="196"/>
      <c r="E2016" s="196"/>
      <c r="F2016" s="196"/>
      <c r="G2016" s="406"/>
      <c r="H2016" s="407"/>
      <c r="I2016" s="362"/>
      <c r="J2016" s="196"/>
      <c r="AX2016" s="117"/>
      <c r="AY2016" s="117"/>
      <c r="AZ2016" s="117"/>
      <c r="BA2016" s="117"/>
      <c r="BB2016" s="117"/>
      <c r="BC2016" s="117"/>
      <c r="BD2016" s="117"/>
    </row>
    <row r="2017" spans="1:56" ht="15">
      <c r="A2017" s="114"/>
      <c r="B2017" s="388" t="s">
        <v>1114</v>
      </c>
      <c r="C2017" s="389">
        <v>0.5</v>
      </c>
      <c r="D2017" s="390" t="s">
        <v>10</v>
      </c>
      <c r="E2017" s="288" t="s">
        <v>1120</v>
      </c>
      <c r="F2017" s="196"/>
      <c r="G2017" s="406"/>
      <c r="H2017" s="407"/>
      <c r="I2017" s="114"/>
      <c r="J2017" s="196"/>
      <c r="AX2017" s="117"/>
      <c r="AY2017" s="117"/>
      <c r="AZ2017" s="117"/>
      <c r="BA2017" s="117"/>
      <c r="BB2017" s="117"/>
      <c r="BC2017" s="117"/>
      <c r="BD2017" s="117"/>
    </row>
    <row r="2018" spans="1:56" ht="15">
      <c r="A2018" s="114"/>
      <c r="B2018" s="388" t="s">
        <v>1114</v>
      </c>
      <c r="C2018" s="389">
        <v>0.1</v>
      </c>
      <c r="D2018" s="390" t="s">
        <v>10</v>
      </c>
      <c r="E2018" s="288" t="s">
        <v>1121</v>
      </c>
      <c r="F2018" s="196"/>
      <c r="G2018" s="392"/>
      <c r="H2018" s="393"/>
      <c r="I2018" s="196"/>
      <c r="J2018" s="196"/>
      <c r="AX2018" s="117"/>
      <c r="AY2018" s="117"/>
      <c r="AZ2018" s="117"/>
      <c r="BA2018" s="117"/>
      <c r="BB2018" s="117"/>
      <c r="BC2018" s="117"/>
      <c r="BD2018" s="117"/>
    </row>
    <row r="2019" spans="1:56" ht="15">
      <c r="A2019" s="114"/>
      <c r="B2019" s="362"/>
      <c r="C2019" s="362"/>
      <c r="D2019" s="362"/>
      <c r="E2019" s="362"/>
      <c r="F2019" s="362"/>
      <c r="G2019" s="362"/>
      <c r="H2019" s="362"/>
      <c r="I2019" s="196"/>
      <c r="J2019" s="196"/>
      <c r="AX2019" s="117"/>
      <c r="AY2019" s="117"/>
      <c r="AZ2019" s="117"/>
      <c r="BA2019" s="117"/>
      <c r="BB2019" s="117"/>
      <c r="BC2019" s="117"/>
      <c r="BD2019" s="117"/>
    </row>
    <row r="2020" spans="1:56" ht="15">
      <c r="A2020" s="114"/>
      <c r="B2020" s="303" t="s">
        <v>1122</v>
      </c>
      <c r="C2020" s="362"/>
      <c r="D2020" s="362"/>
      <c r="E2020" s="362"/>
      <c r="F2020" s="362"/>
      <c r="G2020" s="196" t="s">
        <v>1131</v>
      </c>
      <c r="H2020" s="114"/>
      <c r="I2020" s="196"/>
      <c r="J2020" s="196"/>
      <c r="AX2020" s="117"/>
      <c r="AY2020" s="117"/>
      <c r="AZ2020" s="117"/>
      <c r="BA2020" s="117"/>
      <c r="BB2020" s="117"/>
      <c r="BC2020" s="117"/>
      <c r="BD2020" s="117"/>
    </row>
    <row r="2021" spans="1:56" ht="18">
      <c r="A2021" s="114"/>
      <c r="B2021" s="398" t="s">
        <v>1123</v>
      </c>
      <c r="C2021" s="172"/>
      <c r="D2021" s="173"/>
      <c r="E2021" s="397">
        <f>C2013*((H2014+H2013)/2)*(C2011+C2012+0.05)</f>
        <v>41.87076458083606</v>
      </c>
      <c r="F2021" s="390" t="s">
        <v>1124</v>
      </c>
      <c r="G2021" s="196"/>
      <c r="H2021" s="196"/>
      <c r="I2021" s="362"/>
      <c r="J2021" s="362"/>
      <c r="AX2021" s="117"/>
      <c r="AY2021" s="117"/>
      <c r="AZ2021" s="117"/>
      <c r="BA2021" s="117"/>
      <c r="BB2021" s="117"/>
      <c r="BC2021" s="117"/>
      <c r="BD2021" s="117"/>
    </row>
    <row r="2022" spans="1:56" ht="18">
      <c r="A2022" s="114"/>
      <c r="B2022" s="398" t="s">
        <v>1125</v>
      </c>
      <c r="C2022" s="172"/>
      <c r="D2022" s="173"/>
      <c r="E2022" s="400">
        <f>E2021-(E2033+E2035)</f>
        <v>40.873264580836057</v>
      </c>
      <c r="F2022" s="390" t="s">
        <v>1124</v>
      </c>
      <c r="G2022" s="196"/>
      <c r="H2022" s="196"/>
      <c r="I2022" s="196"/>
      <c r="J2022" s="196"/>
      <c r="AX2022" s="117"/>
      <c r="AY2022" s="117"/>
      <c r="AZ2022" s="117"/>
      <c r="BA2022" s="117"/>
      <c r="BB2022" s="117"/>
      <c r="BC2022" s="117"/>
      <c r="BD2022" s="117"/>
    </row>
    <row r="2023" spans="1:56" ht="15">
      <c r="A2023" s="114"/>
      <c r="B2023" s="398" t="s">
        <v>1126</v>
      </c>
      <c r="C2023" s="172"/>
      <c r="D2023" s="173"/>
      <c r="E2023" s="400">
        <f>((C2009+2*C2018)*(C2010+2*C2018))*C2013</f>
        <v>2.4499999999999997</v>
      </c>
      <c r="F2023" s="390" t="s">
        <v>13</v>
      </c>
      <c r="G2023" s="362"/>
      <c r="H2023" s="362"/>
      <c r="I2023" s="362"/>
      <c r="J2023" s="362"/>
      <c r="AX2023" s="117"/>
      <c r="AY2023" s="117"/>
      <c r="AZ2023" s="117"/>
      <c r="BA2023" s="117"/>
      <c r="BB2023" s="117"/>
      <c r="BC2023" s="117"/>
      <c r="BD2023" s="117"/>
    </row>
    <row r="2024" spans="1:56" ht="15">
      <c r="A2024" s="114"/>
      <c r="B2024" s="362"/>
      <c r="C2024" s="362"/>
      <c r="D2024" s="362"/>
      <c r="E2024" s="401"/>
      <c r="F2024" s="196"/>
      <c r="G2024" s="362"/>
      <c r="H2024" s="362"/>
      <c r="I2024" s="362"/>
      <c r="J2024" s="362"/>
      <c r="AX2024" s="117"/>
      <c r="AY2024" s="117"/>
      <c r="AZ2024" s="117"/>
      <c r="BA2024" s="117"/>
      <c r="BB2024" s="117"/>
      <c r="BC2024" s="117"/>
      <c r="BD2024" s="117"/>
    </row>
    <row r="2025" spans="1:56" ht="15">
      <c r="A2025" s="114"/>
      <c r="B2025" s="303" t="s">
        <v>1162</v>
      </c>
      <c r="C2025" s="362"/>
      <c r="D2025" s="362"/>
      <c r="E2025" s="410"/>
      <c r="F2025" s="362"/>
      <c r="G2025" s="362"/>
      <c r="H2025" s="362"/>
      <c r="I2025" s="362"/>
      <c r="J2025" s="362"/>
      <c r="AX2025" s="117"/>
      <c r="AY2025" s="117"/>
      <c r="AZ2025" s="117"/>
      <c r="BA2025" s="117"/>
      <c r="BB2025" s="117"/>
      <c r="BC2025" s="117"/>
      <c r="BD2025" s="117"/>
    </row>
    <row r="2026" spans="1:56" ht="15">
      <c r="A2026" s="114"/>
      <c r="B2026" s="398" t="s">
        <v>1152</v>
      </c>
      <c r="C2026" s="398"/>
      <c r="D2026" s="366"/>
      <c r="E2026" s="411">
        <v>1</v>
      </c>
      <c r="F2026" s="390" t="s">
        <v>1153</v>
      </c>
      <c r="G2026" s="362"/>
      <c r="H2026" s="362"/>
      <c r="I2026" s="362"/>
      <c r="J2026" s="362"/>
      <c r="AX2026" s="117"/>
      <c r="AY2026" s="117"/>
      <c r="AZ2026" s="117"/>
      <c r="BA2026" s="117"/>
      <c r="BB2026" s="117"/>
      <c r="BC2026" s="117"/>
      <c r="BD2026" s="117"/>
    </row>
    <row r="2027" spans="1:56" ht="15">
      <c r="A2027" s="114"/>
      <c r="B2027" s="399" t="s">
        <v>1154</v>
      </c>
      <c r="C2027" s="31"/>
      <c r="D2027" s="32"/>
      <c r="E2027" s="412">
        <f>C2013*E2026</f>
        <v>5</v>
      </c>
      <c r="F2027" s="390" t="s">
        <v>1153</v>
      </c>
      <c r="G2027" s="362"/>
      <c r="H2027" s="362"/>
      <c r="I2027" s="362"/>
      <c r="J2027" s="362"/>
      <c r="AX2027" s="117"/>
      <c r="AY2027" s="117"/>
      <c r="AZ2027" s="117"/>
      <c r="BA2027" s="117"/>
      <c r="BB2027" s="117"/>
      <c r="BC2027" s="117"/>
      <c r="BD2027" s="117"/>
    </row>
    <row r="2028" spans="1:56" ht="15">
      <c r="A2028" s="114"/>
      <c r="B2028" s="398" t="s">
        <v>1155</v>
      </c>
      <c r="C2028" s="21"/>
      <c r="D2028" s="413"/>
      <c r="E2028" s="411">
        <v>250</v>
      </c>
      <c r="F2028" s="390" t="s">
        <v>1156</v>
      </c>
      <c r="G2028" s="362"/>
      <c r="H2028" s="414"/>
      <c r="I2028" s="362"/>
      <c r="J2028" s="415"/>
      <c r="AX2028" s="117"/>
      <c r="AY2028" s="117"/>
      <c r="AZ2028" s="117"/>
      <c r="BA2028" s="117"/>
      <c r="BB2028" s="117"/>
      <c r="BC2028" s="117"/>
      <c r="BD2028" s="117"/>
    </row>
    <row r="2029" spans="1:56" ht="15">
      <c r="A2029" s="114"/>
      <c r="B2029" s="398" t="s">
        <v>1157</v>
      </c>
      <c r="C2029" s="21"/>
      <c r="D2029" s="413"/>
      <c r="E2029" s="418">
        <v>12</v>
      </c>
      <c r="F2029" s="390" t="s">
        <v>10</v>
      </c>
      <c r="G2029" s="362"/>
      <c r="H2029" s="6"/>
      <c r="I2029" s="362"/>
      <c r="J2029" s="362"/>
      <c r="AX2029" s="117"/>
      <c r="AY2029" s="117"/>
      <c r="AZ2029" s="117"/>
      <c r="BA2029" s="117"/>
      <c r="BB2029" s="117"/>
      <c r="BC2029" s="117"/>
      <c r="BD2029" s="117"/>
    </row>
    <row r="2030" spans="1:56" ht="15">
      <c r="A2030" s="114"/>
      <c r="B2030" s="398" t="s">
        <v>1158</v>
      </c>
      <c r="C2030" s="21"/>
      <c r="D2030" s="413"/>
      <c r="E2030" s="412">
        <f>E2027*E2029</f>
        <v>60</v>
      </c>
      <c r="F2030" s="390" t="s">
        <v>10</v>
      </c>
      <c r="G2030" s="362"/>
      <c r="H2030" s="362"/>
      <c r="I2030" s="362"/>
      <c r="J2030" s="362"/>
      <c r="AX2030" s="117"/>
      <c r="AY2030" s="117"/>
      <c r="AZ2030" s="117"/>
      <c r="BA2030" s="117"/>
      <c r="BB2030" s="117"/>
      <c r="BC2030" s="117"/>
      <c r="BD2030" s="117"/>
    </row>
    <row r="2031" spans="1:56" ht="15">
      <c r="A2031" s="114"/>
      <c r="B2031" s="362"/>
      <c r="C2031" s="362"/>
      <c r="D2031" s="362"/>
      <c r="E2031" s="410"/>
      <c r="F2031" s="362"/>
      <c r="G2031" s="362"/>
      <c r="H2031" s="362"/>
      <c r="I2031" s="362"/>
      <c r="J2031" s="362"/>
      <c r="AX2031" s="117"/>
      <c r="AY2031" s="117"/>
      <c r="AZ2031" s="117"/>
      <c r="BA2031" s="117"/>
      <c r="BB2031" s="117"/>
      <c r="BC2031" s="117"/>
      <c r="BD2031" s="117"/>
    </row>
    <row r="2032" spans="1:56" ht="15">
      <c r="A2032" s="114"/>
      <c r="B2032" s="303" t="s">
        <v>1160</v>
      </c>
      <c r="C2032" s="362"/>
      <c r="D2032" s="362"/>
      <c r="E2032" s="410"/>
      <c r="F2032" s="362"/>
      <c r="G2032" s="362"/>
      <c r="H2032" s="362"/>
      <c r="I2032" s="362"/>
      <c r="J2032" s="362"/>
      <c r="AX2032" s="117"/>
      <c r="AY2032" s="117"/>
      <c r="AZ2032" s="117"/>
      <c r="BA2032" s="117"/>
      <c r="BB2032" s="117"/>
      <c r="BC2032" s="117"/>
      <c r="BD2032" s="117"/>
    </row>
    <row r="2033" spans="1:56" ht="18">
      <c r="A2033" s="114"/>
      <c r="B2033" s="398" t="s">
        <v>1128</v>
      </c>
      <c r="C2033" s="172"/>
      <c r="D2033" s="173"/>
      <c r="E2033" s="402">
        <f>E2023*0.05</f>
        <v>0.1225</v>
      </c>
      <c r="F2033" s="390" t="s">
        <v>1124</v>
      </c>
      <c r="G2033" s="362"/>
      <c r="H2033" s="362"/>
      <c r="I2033" s="362"/>
      <c r="J2033" s="362"/>
      <c r="AX2033" s="117"/>
      <c r="AY2033" s="117"/>
      <c r="AZ2033" s="117"/>
      <c r="BA2033" s="117"/>
      <c r="BB2033" s="117"/>
      <c r="BC2033" s="117"/>
      <c r="BD2033" s="117"/>
    </row>
    <row r="2034" spans="1:56" ht="15">
      <c r="A2034" s="114"/>
      <c r="B2034" s="398" t="s">
        <v>1129</v>
      </c>
      <c r="C2034" s="172"/>
      <c r="D2034" s="173"/>
      <c r="E2034" s="397">
        <f>(2*(C2009+C2010)*C2012)*C2013</f>
        <v>7</v>
      </c>
      <c r="F2034" s="390" t="s">
        <v>13</v>
      </c>
      <c r="G2034" s="362"/>
      <c r="H2034" s="362"/>
      <c r="I2034" s="362"/>
      <c r="J2034" s="362"/>
      <c r="AX2034" s="117"/>
      <c r="AY2034" s="117"/>
      <c r="AZ2034" s="117"/>
      <c r="BA2034" s="117"/>
      <c r="BB2034" s="117"/>
      <c r="BC2034" s="117"/>
      <c r="BD2034" s="117"/>
    </row>
    <row r="2035" spans="1:56" ht="18">
      <c r="A2035" s="114"/>
      <c r="B2035" s="398" t="s">
        <v>1130</v>
      </c>
      <c r="C2035" s="172"/>
      <c r="D2035" s="173"/>
      <c r="E2035" s="402">
        <f>(C2009*C2010*C2012)*C2013</f>
        <v>0.875</v>
      </c>
      <c r="F2035" s="390" t="s">
        <v>1124</v>
      </c>
      <c r="G2035" s="362"/>
      <c r="H2035" s="362"/>
      <c r="I2035" s="362"/>
      <c r="J2035" s="362"/>
      <c r="AX2035" s="117"/>
      <c r="AY2035" s="117"/>
      <c r="AZ2035" s="117"/>
      <c r="BA2035" s="117"/>
      <c r="BB2035" s="117"/>
      <c r="BC2035" s="117"/>
      <c r="BD2035" s="117"/>
    </row>
    <row r="2036" spans="1:56">
      <c r="A2036" s="114"/>
      <c r="B2036" s="115"/>
      <c r="C2036" s="115"/>
      <c r="D2036" s="115"/>
      <c r="E2036" s="115"/>
      <c r="F2036" s="115"/>
      <c r="G2036" s="115"/>
      <c r="H2036" s="115"/>
      <c r="I2036" s="115"/>
      <c r="J2036" s="114"/>
      <c r="AW2036" s="117"/>
      <c r="AX2036" s="117"/>
      <c r="AY2036" s="117"/>
      <c r="AZ2036" s="117"/>
      <c r="BA2036" s="117"/>
      <c r="BB2036" s="117"/>
      <c r="BC2036" s="117"/>
      <c r="BD2036" s="117"/>
    </row>
    <row r="2037" spans="1:56" ht="15">
      <c r="A2037" s="114"/>
      <c r="B2037" s="419" t="s">
        <v>1183</v>
      </c>
      <c r="C2037" s="419"/>
      <c r="D2037" s="420"/>
      <c r="E2037" s="420"/>
      <c r="F2037" s="420"/>
      <c r="G2037" s="420"/>
      <c r="H2037" s="421"/>
      <c r="I2037" s="421"/>
      <c r="J2037" s="353"/>
      <c r="AW2037" s="117"/>
      <c r="AX2037" s="117"/>
      <c r="AY2037" s="117"/>
      <c r="AZ2037" s="117"/>
      <c r="BA2037" s="117"/>
      <c r="BB2037" s="117"/>
      <c r="BC2037" s="117"/>
      <c r="BD2037" s="117"/>
    </row>
    <row r="2038" spans="1:56" ht="15">
      <c r="A2038" s="114"/>
      <c r="B2038" s="422"/>
      <c r="C2038" s="422"/>
      <c r="D2038" s="422"/>
      <c r="E2038" s="422"/>
      <c r="F2038" s="422"/>
      <c r="G2038" s="422"/>
      <c r="H2038" s="423"/>
      <c r="I2038" s="423"/>
      <c r="J2038" s="114"/>
      <c r="AW2038" s="117"/>
      <c r="AX2038" s="117"/>
      <c r="AY2038" s="117"/>
      <c r="AZ2038" s="117"/>
      <c r="BA2038" s="117"/>
      <c r="BB2038" s="117"/>
      <c r="BC2038" s="117"/>
      <c r="BD2038" s="117"/>
    </row>
    <row r="2039" spans="1:56">
      <c r="A2039" s="114"/>
      <c r="B2039" s="385" t="s">
        <v>1184</v>
      </c>
      <c r="C2039" s="196"/>
      <c r="D2039" s="196"/>
      <c r="E2039" s="196"/>
      <c r="F2039" s="196"/>
      <c r="G2039" s="196"/>
      <c r="H2039" s="196"/>
      <c r="I2039" s="196"/>
      <c r="J2039" s="114"/>
      <c r="AW2039" s="117"/>
      <c r="AX2039" s="117"/>
      <c r="AY2039" s="117"/>
      <c r="AZ2039" s="117"/>
      <c r="BA2039" s="117"/>
      <c r="BB2039" s="117"/>
      <c r="BC2039" s="117"/>
      <c r="BD2039" s="117"/>
    </row>
    <row r="2040" spans="1:56" ht="15">
      <c r="A2040" s="114"/>
      <c r="B2040" s="196"/>
      <c r="C2040" s="196"/>
      <c r="D2040" s="196"/>
      <c r="E2040" s="196"/>
      <c r="F2040" s="196"/>
      <c r="G2040" s="196"/>
      <c r="H2040" s="196"/>
      <c r="I2040" s="196"/>
      <c r="J2040" s="114"/>
      <c r="AW2040" s="117"/>
      <c r="AX2040" s="117"/>
      <c r="AY2040" s="117"/>
      <c r="AZ2040" s="117"/>
      <c r="BA2040" s="117"/>
      <c r="BB2040" s="117"/>
      <c r="BC2040" s="117"/>
      <c r="BD2040" s="117"/>
    </row>
    <row r="2041" spans="1:56" ht="15">
      <c r="A2041" s="114"/>
      <c r="B2041" s="388" t="s">
        <v>1110</v>
      </c>
      <c r="C2041" s="389">
        <v>0.27</v>
      </c>
      <c r="D2041" s="390" t="s">
        <v>10</v>
      </c>
      <c r="E2041" s="196"/>
      <c r="F2041" s="196"/>
      <c r="G2041" s="392"/>
      <c r="H2041" s="393"/>
      <c r="I2041" s="196"/>
      <c r="J2041" s="114"/>
      <c r="AW2041" s="117"/>
      <c r="AX2041" s="117"/>
      <c r="AY2041" s="117"/>
      <c r="AZ2041" s="117"/>
      <c r="BA2041" s="117"/>
      <c r="BB2041" s="117"/>
      <c r="BC2041" s="117"/>
      <c r="BD2041" s="117"/>
    </row>
    <row r="2042" spans="1:56" ht="15">
      <c r="A2042" s="114"/>
      <c r="B2042" s="388" t="s">
        <v>1111</v>
      </c>
      <c r="C2042" s="391">
        <v>1.825</v>
      </c>
      <c r="D2042" s="390" t="s">
        <v>10</v>
      </c>
      <c r="E2042" s="196"/>
      <c r="F2042" s="196"/>
      <c r="G2042" s="392"/>
      <c r="H2042" s="393"/>
      <c r="I2042" s="196"/>
      <c r="J2042" s="114"/>
      <c r="AW2042" s="117"/>
      <c r="AX2042" s="117"/>
      <c r="AY2042" s="117"/>
      <c r="AZ2042" s="117"/>
      <c r="BA2042" s="117"/>
      <c r="BB2042" s="117"/>
      <c r="BC2042" s="117"/>
      <c r="BD2042" s="117"/>
    </row>
    <row r="2043" spans="1:56" ht="15">
      <c r="A2043" s="114"/>
      <c r="B2043" s="388" t="s">
        <v>1112</v>
      </c>
      <c r="C2043" s="389">
        <v>1.85</v>
      </c>
      <c r="D2043" s="390" t="s">
        <v>10</v>
      </c>
      <c r="E2043" s="196"/>
      <c r="F2043" s="196"/>
      <c r="G2043" s="392"/>
      <c r="H2043" s="393"/>
      <c r="I2043" s="196"/>
      <c r="J2043" s="114"/>
      <c r="AW2043" s="117"/>
      <c r="AX2043" s="117"/>
      <c r="AY2043" s="117"/>
      <c r="AZ2043" s="117"/>
      <c r="BA2043" s="117"/>
      <c r="BB2043" s="117"/>
      <c r="BC2043" s="117"/>
      <c r="BD2043" s="117"/>
    </row>
    <row r="2044" spans="1:56" ht="15">
      <c r="A2044" s="114"/>
      <c r="B2044" s="388" t="s">
        <v>1113</v>
      </c>
      <c r="C2044" s="389">
        <v>0.5</v>
      </c>
      <c r="D2044" s="390" t="s">
        <v>10</v>
      </c>
      <c r="E2044" s="196"/>
      <c r="F2044" s="196"/>
      <c r="G2044" s="392"/>
      <c r="H2044" s="394"/>
      <c r="I2044" s="196"/>
      <c r="J2044" s="114"/>
      <c r="AW2044" s="117"/>
      <c r="AX2044" s="117"/>
      <c r="AY2044" s="117"/>
      <c r="AZ2044" s="117"/>
      <c r="BA2044" s="117"/>
      <c r="BB2044" s="117"/>
      <c r="BC2044" s="117"/>
      <c r="BD2044" s="117"/>
    </row>
    <row r="2045" spans="1:56" ht="15">
      <c r="A2045" s="114"/>
      <c r="B2045" s="388" t="s">
        <v>1117</v>
      </c>
      <c r="C2045" s="389">
        <v>1</v>
      </c>
      <c r="D2045" s="390" t="s">
        <v>1118</v>
      </c>
      <c r="E2045" s="196"/>
      <c r="F2045" s="196"/>
      <c r="G2045" s="392"/>
      <c r="H2045" s="393"/>
      <c r="I2045" s="196"/>
      <c r="J2045" s="114"/>
      <c r="AW2045" s="117"/>
      <c r="AX2045" s="117"/>
      <c r="AY2045" s="117"/>
      <c r="AZ2045" s="117"/>
      <c r="BA2045" s="117"/>
      <c r="BB2045" s="117"/>
      <c r="BC2045" s="117"/>
      <c r="BD2045" s="117"/>
    </row>
    <row r="2046" spans="1:56" ht="15">
      <c r="A2046" s="114"/>
      <c r="B2046" s="392"/>
      <c r="C2046" s="393"/>
      <c r="D2046" s="196"/>
      <c r="E2046" s="196"/>
      <c r="F2046" s="196"/>
      <c r="G2046" s="392"/>
      <c r="H2046" s="393"/>
      <c r="I2046" s="196"/>
      <c r="J2046" s="114"/>
      <c r="AW2046" s="117"/>
      <c r="AX2046" s="117"/>
      <c r="AY2046" s="117"/>
      <c r="AZ2046" s="117"/>
      <c r="BA2046" s="117"/>
      <c r="BB2046" s="117"/>
      <c r="BC2046" s="117"/>
      <c r="BD2046" s="117"/>
    </row>
    <row r="2047" spans="1:56" ht="15">
      <c r="A2047" s="114"/>
      <c r="B2047" s="388" t="s">
        <v>1114</v>
      </c>
      <c r="C2047" s="389">
        <v>0.6</v>
      </c>
      <c r="D2047" s="390" t="s">
        <v>10</v>
      </c>
      <c r="E2047" s="288" t="s">
        <v>1120</v>
      </c>
      <c r="F2047" s="288"/>
      <c r="G2047" s="230"/>
      <c r="H2047" s="395"/>
      <c r="I2047" s="196"/>
      <c r="J2047" s="114"/>
      <c r="AW2047" s="117"/>
      <c r="AX2047" s="117"/>
      <c r="AY2047" s="117"/>
      <c r="AZ2047" s="117"/>
      <c r="BA2047" s="117"/>
      <c r="BB2047" s="117"/>
      <c r="BC2047" s="117"/>
      <c r="BD2047" s="117"/>
    </row>
    <row r="2048" spans="1:56" ht="15">
      <c r="A2048" s="114"/>
      <c r="B2048" s="388" t="s">
        <v>1114</v>
      </c>
      <c r="C2048" s="389">
        <v>0.2</v>
      </c>
      <c r="D2048" s="390" t="s">
        <v>10</v>
      </c>
      <c r="E2048" s="288" t="s">
        <v>1121</v>
      </c>
      <c r="F2048" s="288"/>
      <c r="G2048" s="230"/>
      <c r="H2048" s="395"/>
      <c r="I2048" s="196"/>
      <c r="J2048" s="114"/>
      <c r="AW2048" s="117"/>
      <c r="AX2048" s="117"/>
      <c r="AY2048" s="117"/>
      <c r="AZ2048" s="117"/>
      <c r="BA2048" s="117"/>
      <c r="BB2048" s="117"/>
      <c r="BC2048" s="117"/>
      <c r="BD2048" s="117"/>
    </row>
    <row r="2049" spans="1:56" ht="15">
      <c r="A2049" s="114"/>
      <c r="B2049" s="196"/>
      <c r="C2049" s="196"/>
      <c r="D2049" s="196"/>
      <c r="E2049" s="196"/>
      <c r="F2049" s="196"/>
      <c r="G2049" s="196"/>
      <c r="H2049" s="196"/>
      <c r="I2049" s="196"/>
      <c r="J2049" s="114"/>
      <c r="AW2049" s="117"/>
      <c r="AX2049" s="117"/>
      <c r="AY2049" s="117"/>
      <c r="AZ2049" s="117"/>
      <c r="BA2049" s="117"/>
      <c r="BB2049" s="117"/>
      <c r="BC2049" s="117"/>
      <c r="BD2049" s="117"/>
    </row>
    <row r="2050" spans="1:56" ht="15">
      <c r="A2050" s="114"/>
      <c r="B2050" s="303" t="s">
        <v>1122</v>
      </c>
      <c r="C2050" s="362"/>
      <c r="D2050" s="362"/>
      <c r="E2050" s="196"/>
      <c r="F2050" s="196"/>
      <c r="G2050" s="196"/>
      <c r="H2050" s="196"/>
      <c r="I2050" s="196"/>
      <c r="J2050" s="114"/>
      <c r="AW2050" s="117"/>
      <c r="AX2050" s="117"/>
      <c r="AY2050" s="117"/>
      <c r="AZ2050" s="117"/>
      <c r="BA2050" s="117"/>
      <c r="BB2050" s="117"/>
      <c r="BC2050" s="117"/>
      <c r="BD2050" s="117"/>
    </row>
    <row r="2051" spans="1:56" ht="18">
      <c r="A2051" s="114"/>
      <c r="B2051" s="396" t="s">
        <v>1123</v>
      </c>
      <c r="C2051" s="289"/>
      <c r="D2051" s="290"/>
      <c r="E2051" s="397">
        <f>C2045*(C2047*2*(0.05+C2044+C2043)*C2042)</f>
        <v>5.2560000000000002</v>
      </c>
      <c r="F2051" s="390" t="s">
        <v>1124</v>
      </c>
      <c r="G2051" s="196"/>
      <c r="H2051" s="196"/>
      <c r="I2051" s="196"/>
      <c r="J2051" s="114"/>
      <c r="AW2051" s="117"/>
      <c r="AX2051" s="117"/>
      <c r="AY2051" s="117"/>
      <c r="AZ2051" s="117"/>
      <c r="BA2051" s="117"/>
      <c r="BB2051" s="117"/>
      <c r="BC2051" s="117"/>
      <c r="BD2051" s="117"/>
    </row>
    <row r="2052" spans="1:56" ht="18">
      <c r="A2052" s="114"/>
      <c r="B2052" s="398" t="s">
        <v>1125</v>
      </c>
      <c r="C2052" s="172"/>
      <c r="D2052" s="173"/>
      <c r="E2052" s="397">
        <f>E2051-(E2056+E2058)</f>
        <v>4.9731250000000005</v>
      </c>
      <c r="F2052" s="390" t="s">
        <v>1124</v>
      </c>
      <c r="G2052" s="196"/>
      <c r="H2052" s="196"/>
      <c r="I2052" s="196"/>
      <c r="J2052" s="114"/>
      <c r="AW2052" s="117"/>
      <c r="AX2052" s="117"/>
      <c r="AY2052" s="117"/>
      <c r="AZ2052" s="117"/>
      <c r="BA2052" s="117"/>
      <c r="BB2052" s="117"/>
      <c r="BC2052" s="117"/>
      <c r="BD2052" s="117"/>
    </row>
    <row r="2053" spans="1:56" ht="15">
      <c r="A2053" s="114"/>
      <c r="B2053" s="399" t="s">
        <v>1126</v>
      </c>
      <c r="C2053" s="317"/>
      <c r="D2053" s="318"/>
      <c r="E2053" s="400">
        <f>(2*C2048)*C2042</f>
        <v>0.73</v>
      </c>
      <c r="F2053" s="390" t="s">
        <v>13</v>
      </c>
      <c r="G2053" s="196"/>
      <c r="H2053" s="196"/>
      <c r="I2053" s="196"/>
      <c r="J2053" s="114"/>
      <c r="AW2053" s="117"/>
      <c r="AX2053" s="117"/>
      <c r="AY2053" s="117"/>
      <c r="AZ2053" s="117"/>
      <c r="BA2053" s="117"/>
      <c r="BB2053" s="117"/>
      <c r="BC2053" s="117"/>
      <c r="BD2053" s="117"/>
    </row>
    <row r="2054" spans="1:56" ht="15">
      <c r="A2054" s="114"/>
      <c r="B2054" s="196"/>
      <c r="C2054" s="196"/>
      <c r="D2054" s="196"/>
      <c r="E2054" s="401"/>
      <c r="F2054" s="196"/>
      <c r="G2054" s="196"/>
      <c r="H2054" s="196"/>
      <c r="I2054" s="196"/>
      <c r="J2054" s="114"/>
      <c r="AW2054" s="117"/>
      <c r="AX2054" s="117"/>
      <c r="AY2054" s="117"/>
      <c r="AZ2054" s="117"/>
      <c r="BA2054" s="117"/>
      <c r="BB2054" s="117"/>
      <c r="BC2054" s="117"/>
      <c r="BD2054" s="117"/>
    </row>
    <row r="2055" spans="1:56" ht="15">
      <c r="A2055" s="114"/>
      <c r="B2055" s="303" t="s">
        <v>1127</v>
      </c>
      <c r="C2055" s="196"/>
      <c r="D2055" s="196"/>
      <c r="E2055" s="401"/>
      <c r="F2055" s="196"/>
      <c r="G2055" s="196"/>
      <c r="H2055" s="196"/>
      <c r="I2055" s="196"/>
      <c r="J2055" s="114"/>
      <c r="AW2055" s="117"/>
      <c r="AX2055" s="117"/>
      <c r="AY2055" s="117"/>
      <c r="AZ2055" s="117"/>
      <c r="BA2055" s="117"/>
      <c r="BB2055" s="117"/>
      <c r="BC2055" s="117"/>
      <c r="BD2055" s="117"/>
    </row>
    <row r="2056" spans="1:56" ht="18">
      <c r="A2056" s="114"/>
      <c r="B2056" s="398" t="s">
        <v>1128</v>
      </c>
      <c r="C2056" s="172"/>
      <c r="D2056" s="173"/>
      <c r="E2056" s="402">
        <f>E2053*0.05</f>
        <v>3.6499999999999998E-2</v>
      </c>
      <c r="F2056" s="390" t="s">
        <v>1124</v>
      </c>
      <c r="G2056" s="196"/>
      <c r="H2056" s="196"/>
      <c r="I2056" s="196"/>
      <c r="J2056" s="114"/>
      <c r="AW2056" s="117"/>
      <c r="AX2056" s="117"/>
      <c r="AY2056" s="117"/>
      <c r="AZ2056" s="117"/>
      <c r="BA2056" s="117"/>
      <c r="BB2056" s="117"/>
      <c r="BC2056" s="117"/>
      <c r="BD2056" s="117"/>
    </row>
    <row r="2057" spans="1:56" ht="15">
      <c r="A2057" s="114"/>
      <c r="B2057" s="398" t="s">
        <v>1129</v>
      </c>
      <c r="C2057" s="172"/>
      <c r="D2057" s="173"/>
      <c r="E2057" s="397">
        <f>C2044*2*C2042</f>
        <v>1.825</v>
      </c>
      <c r="F2057" s="390" t="s">
        <v>13</v>
      </c>
      <c r="G2057" s="393" t="s">
        <v>1108</v>
      </c>
      <c r="H2057" s="196" t="s">
        <v>1131</v>
      </c>
      <c r="I2057" s="393"/>
      <c r="J2057" s="114"/>
      <c r="AW2057" s="117"/>
      <c r="AX2057" s="117"/>
      <c r="AY2057" s="117"/>
      <c r="AZ2057" s="117"/>
      <c r="BA2057" s="117"/>
      <c r="BB2057" s="117"/>
      <c r="BC2057" s="117"/>
      <c r="BD2057" s="117"/>
    </row>
    <row r="2058" spans="1:56" ht="18">
      <c r="A2058" s="114"/>
      <c r="B2058" s="398" t="s">
        <v>1130</v>
      </c>
      <c r="C2058" s="172"/>
      <c r="D2058" s="173"/>
      <c r="E2058" s="402">
        <f>C2041*C2042*C2044</f>
        <v>0.24637500000000001</v>
      </c>
      <c r="F2058" s="390" t="s">
        <v>1124</v>
      </c>
      <c r="G2058" s="196"/>
      <c r="H2058" s="196"/>
      <c r="I2058" s="196"/>
      <c r="J2058" s="114"/>
      <c r="AW2058" s="117"/>
      <c r="AX2058" s="117"/>
      <c r="AY2058" s="117"/>
      <c r="AZ2058" s="117"/>
      <c r="BA2058" s="117"/>
      <c r="BB2058" s="117"/>
      <c r="BC2058" s="117"/>
      <c r="BD2058" s="117"/>
    </row>
    <row r="2059" spans="1:56" ht="15">
      <c r="A2059" s="114"/>
      <c r="B2059" s="288"/>
      <c r="C2059" s="230"/>
      <c r="D2059" s="230"/>
      <c r="E2059" s="384"/>
      <c r="F2059" s="196"/>
      <c r="G2059" s="196"/>
      <c r="H2059" s="196"/>
      <c r="I2059" s="196"/>
      <c r="J2059" s="114"/>
      <c r="AW2059" s="117"/>
      <c r="AX2059" s="117"/>
      <c r="AY2059" s="117"/>
      <c r="AZ2059" s="117"/>
      <c r="BA2059" s="117"/>
      <c r="BB2059" s="117"/>
      <c r="BC2059" s="117"/>
      <c r="BD2059" s="117"/>
    </row>
    <row r="2060" spans="1:56" ht="15">
      <c r="A2060" s="114"/>
      <c r="B2060" s="293"/>
      <c r="C2060" s="387"/>
      <c r="D2060" s="387"/>
      <c r="E2060" s="387"/>
      <c r="F2060" s="387"/>
      <c r="G2060" s="387"/>
      <c r="H2060" s="386"/>
      <c r="I2060" s="386"/>
      <c r="J2060" s="114"/>
      <c r="AW2060" s="117"/>
      <c r="AX2060" s="117"/>
      <c r="AY2060" s="117"/>
      <c r="AZ2060" s="117"/>
      <c r="BA2060" s="117"/>
      <c r="BB2060" s="117"/>
      <c r="BC2060" s="117"/>
      <c r="BD2060" s="117"/>
    </row>
    <row r="2061" spans="1:56" ht="15">
      <c r="A2061" s="114"/>
      <c r="B2061" s="293"/>
      <c r="C2061" s="387"/>
      <c r="D2061" s="387"/>
      <c r="E2061" s="387"/>
      <c r="F2061" s="387"/>
      <c r="G2061" s="387"/>
      <c r="H2061" s="386"/>
      <c r="I2061" s="386"/>
      <c r="J2061" s="114"/>
      <c r="AW2061" s="117"/>
      <c r="AX2061" s="117"/>
      <c r="AY2061" s="117"/>
      <c r="AZ2061" s="117"/>
      <c r="BA2061" s="117"/>
      <c r="BB2061" s="117"/>
      <c r="BC2061" s="117"/>
      <c r="BD2061" s="117"/>
    </row>
    <row r="2062" spans="1:56">
      <c r="A2062" s="114"/>
      <c r="B2062" s="385" t="s">
        <v>1185</v>
      </c>
      <c r="C2062" s="196"/>
      <c r="D2062" s="196"/>
      <c r="E2062" s="196"/>
      <c r="F2062" s="196"/>
      <c r="G2062" s="196"/>
      <c r="H2062" s="196"/>
      <c r="I2062" s="196"/>
      <c r="J2062" s="114"/>
      <c r="AW2062" s="117"/>
      <c r="AX2062" s="117"/>
      <c r="AY2062" s="117"/>
      <c r="AZ2062" s="117"/>
      <c r="BA2062" s="117"/>
      <c r="BB2062" s="117"/>
      <c r="BC2062" s="117"/>
      <c r="BD2062" s="117"/>
    </row>
    <row r="2063" spans="1:56" ht="15">
      <c r="A2063" s="114"/>
      <c r="B2063" s="196"/>
      <c r="C2063" s="196"/>
      <c r="D2063" s="196"/>
      <c r="E2063" s="196"/>
      <c r="F2063" s="196"/>
      <c r="G2063" s="196"/>
      <c r="H2063" s="196"/>
      <c r="I2063" s="196"/>
      <c r="J2063" s="114"/>
      <c r="AW2063" s="117"/>
      <c r="AX2063" s="117"/>
      <c r="AY2063" s="117"/>
      <c r="AZ2063" s="117"/>
      <c r="BA2063" s="117"/>
      <c r="BB2063" s="117"/>
      <c r="BC2063" s="117"/>
      <c r="BD2063" s="117"/>
    </row>
    <row r="2064" spans="1:56" ht="15">
      <c r="A2064" s="114"/>
      <c r="B2064" s="388" t="s">
        <v>1110</v>
      </c>
      <c r="C2064" s="389">
        <v>0.27</v>
      </c>
      <c r="D2064" s="390" t="s">
        <v>10</v>
      </c>
      <c r="E2064" s="196"/>
      <c r="F2064" s="196"/>
      <c r="G2064" s="392"/>
      <c r="H2064" s="393"/>
      <c r="I2064" s="196"/>
      <c r="J2064" s="114"/>
      <c r="AW2064" s="117"/>
      <c r="AX2064" s="117"/>
      <c r="AY2064" s="117"/>
      <c r="AZ2064" s="117"/>
      <c r="BA2064" s="117"/>
      <c r="BB2064" s="117"/>
      <c r="BC2064" s="117"/>
      <c r="BD2064" s="117"/>
    </row>
    <row r="2065" spans="1:56" ht="15">
      <c r="A2065" s="114"/>
      <c r="B2065" s="388" t="s">
        <v>1111</v>
      </c>
      <c r="C2065" s="391">
        <v>1.6</v>
      </c>
      <c r="D2065" s="390" t="s">
        <v>10</v>
      </c>
      <c r="E2065" s="196"/>
      <c r="F2065" s="196"/>
      <c r="G2065" s="392"/>
      <c r="H2065" s="393"/>
      <c r="I2065" s="196"/>
      <c r="J2065" s="114"/>
      <c r="AW2065" s="117"/>
      <c r="AX2065" s="117"/>
      <c r="AY2065" s="117"/>
      <c r="AZ2065" s="117"/>
      <c r="BA2065" s="117"/>
      <c r="BB2065" s="117"/>
      <c r="BC2065" s="117"/>
      <c r="BD2065" s="117"/>
    </row>
    <row r="2066" spans="1:56" ht="15">
      <c r="A2066" s="114"/>
      <c r="B2066" s="388" t="s">
        <v>1112</v>
      </c>
      <c r="C2066" s="389">
        <v>0.87</v>
      </c>
      <c r="D2066" s="390" t="s">
        <v>10</v>
      </c>
      <c r="E2066" s="196"/>
      <c r="F2066" s="196"/>
      <c r="G2066" s="392"/>
      <c r="H2066" s="393"/>
      <c r="I2066" s="196"/>
      <c r="J2066" s="114"/>
      <c r="AW2066" s="117"/>
      <c r="AX2066" s="117"/>
      <c r="AY2066" s="117"/>
      <c r="AZ2066" s="117"/>
      <c r="BA2066" s="117"/>
      <c r="BB2066" s="117"/>
      <c r="BC2066" s="117"/>
      <c r="BD2066" s="117"/>
    </row>
    <row r="2067" spans="1:56" ht="15">
      <c r="A2067" s="114"/>
      <c r="B2067" s="388" t="s">
        <v>1113</v>
      </c>
      <c r="C2067" s="389">
        <v>1.48</v>
      </c>
      <c r="D2067" s="390" t="s">
        <v>10</v>
      </c>
      <c r="E2067" s="196"/>
      <c r="F2067" s="196"/>
      <c r="G2067" s="392"/>
      <c r="H2067" s="394"/>
      <c r="I2067" s="196"/>
      <c r="J2067" s="114"/>
      <c r="AW2067" s="117"/>
      <c r="AX2067" s="117"/>
      <c r="AY2067" s="117"/>
      <c r="AZ2067" s="117"/>
      <c r="BA2067" s="117"/>
      <c r="BB2067" s="117"/>
      <c r="BC2067" s="117"/>
      <c r="BD2067" s="117"/>
    </row>
    <row r="2068" spans="1:56" ht="15">
      <c r="A2068" s="114"/>
      <c r="B2068" s="388" t="s">
        <v>1117</v>
      </c>
      <c r="C2068" s="389">
        <v>1</v>
      </c>
      <c r="D2068" s="390" t="s">
        <v>1118</v>
      </c>
      <c r="E2068" s="196"/>
      <c r="F2068" s="196"/>
      <c r="G2068" s="392"/>
      <c r="H2068" s="393"/>
      <c r="I2068" s="196"/>
      <c r="J2068" s="114"/>
      <c r="AW2068" s="117"/>
      <c r="AX2068" s="117"/>
      <c r="AY2068" s="117"/>
      <c r="AZ2068" s="117"/>
      <c r="BA2068" s="117"/>
      <c r="BB2068" s="117"/>
      <c r="BC2068" s="117"/>
      <c r="BD2068" s="117"/>
    </row>
    <row r="2069" spans="1:56" ht="15">
      <c r="A2069" s="114"/>
      <c r="B2069" s="392"/>
      <c r="C2069" s="393"/>
      <c r="D2069" s="196"/>
      <c r="E2069" s="196"/>
      <c r="F2069" s="196"/>
      <c r="G2069" s="392"/>
      <c r="H2069" s="393"/>
      <c r="I2069" s="196"/>
      <c r="J2069" s="114"/>
      <c r="AW2069" s="117"/>
      <c r="AX2069" s="117"/>
      <c r="AY2069" s="117"/>
      <c r="AZ2069" s="117"/>
      <c r="BA2069" s="117"/>
      <c r="BB2069" s="117"/>
      <c r="BC2069" s="117"/>
      <c r="BD2069" s="117"/>
    </row>
    <row r="2070" spans="1:56" ht="15">
      <c r="A2070" s="114"/>
      <c r="B2070" s="388" t="s">
        <v>1114</v>
      </c>
      <c r="C2070" s="389">
        <v>0.6</v>
      </c>
      <c r="D2070" s="390" t="s">
        <v>10</v>
      </c>
      <c r="E2070" s="288" t="s">
        <v>1120</v>
      </c>
      <c r="F2070" s="288"/>
      <c r="G2070" s="230"/>
      <c r="H2070" s="395"/>
      <c r="I2070" s="196"/>
      <c r="J2070" s="114"/>
      <c r="AW2070" s="117"/>
      <c r="AX2070" s="117"/>
      <c r="AY2070" s="117"/>
      <c r="AZ2070" s="117"/>
      <c r="BA2070" s="117"/>
      <c r="BB2070" s="117"/>
      <c r="BC2070" s="117"/>
      <c r="BD2070" s="117"/>
    </row>
    <row r="2071" spans="1:56" ht="15">
      <c r="A2071" s="114"/>
      <c r="B2071" s="388" t="s">
        <v>1114</v>
      </c>
      <c r="C2071" s="389">
        <v>0.2</v>
      </c>
      <c r="D2071" s="390" t="s">
        <v>10</v>
      </c>
      <c r="E2071" s="288" t="s">
        <v>1121</v>
      </c>
      <c r="F2071" s="288"/>
      <c r="G2071" s="230"/>
      <c r="H2071" s="395"/>
      <c r="I2071" s="196"/>
      <c r="J2071" s="114"/>
      <c r="AW2071" s="117"/>
      <c r="AX2071" s="117"/>
      <c r="AY2071" s="117"/>
      <c r="AZ2071" s="117"/>
      <c r="BA2071" s="117"/>
      <c r="BB2071" s="117"/>
      <c r="BC2071" s="117"/>
      <c r="BD2071" s="117"/>
    </row>
    <row r="2072" spans="1:56" ht="15">
      <c r="A2072" s="114"/>
      <c r="B2072" s="196"/>
      <c r="C2072" s="196"/>
      <c r="D2072" s="196"/>
      <c r="E2072" s="196"/>
      <c r="F2072" s="196"/>
      <c r="G2072" s="196"/>
      <c r="H2072" s="196"/>
      <c r="I2072" s="196"/>
      <c r="J2072" s="114"/>
      <c r="AW2072" s="117"/>
      <c r="AX2072" s="117"/>
      <c r="AY2072" s="117"/>
      <c r="AZ2072" s="117"/>
      <c r="BA2072" s="117"/>
      <c r="BB2072" s="117"/>
      <c r="BC2072" s="117"/>
      <c r="BD2072" s="117"/>
    </row>
    <row r="2073" spans="1:56" ht="15">
      <c r="A2073" s="114"/>
      <c r="B2073" s="303" t="s">
        <v>1122</v>
      </c>
      <c r="C2073" s="362"/>
      <c r="D2073" s="362"/>
      <c r="E2073" s="196"/>
      <c r="F2073" s="196"/>
      <c r="G2073" s="196"/>
      <c r="H2073" s="196"/>
      <c r="I2073" s="196"/>
      <c r="J2073" s="114"/>
      <c r="AW2073" s="117"/>
      <c r="AX2073" s="117"/>
      <c r="AY2073" s="117"/>
      <c r="AZ2073" s="117"/>
      <c r="BA2073" s="117"/>
      <c r="BB2073" s="117"/>
      <c r="BC2073" s="117"/>
      <c r="BD2073" s="117"/>
    </row>
    <row r="2074" spans="1:56" ht="18">
      <c r="A2074" s="114"/>
      <c r="B2074" s="396" t="s">
        <v>1123</v>
      </c>
      <c r="C2074" s="289"/>
      <c r="D2074" s="290"/>
      <c r="E2074" s="397">
        <f>C2068*(C2070*2*(0.05+C2067+C2066)*C2065)</f>
        <v>4.6079999999999997</v>
      </c>
      <c r="F2074" s="390" t="s">
        <v>1124</v>
      </c>
      <c r="G2074" s="196"/>
      <c r="H2074" s="196"/>
      <c r="I2074" s="196"/>
      <c r="J2074" s="114"/>
      <c r="AW2074" s="117"/>
      <c r="AX2074" s="117"/>
      <c r="AY2074" s="117"/>
      <c r="AZ2074" s="117"/>
      <c r="BA2074" s="117"/>
      <c r="BB2074" s="117"/>
      <c r="BC2074" s="117"/>
      <c r="BD2074" s="117"/>
    </row>
    <row r="2075" spans="1:56" ht="18">
      <c r="A2075" s="114"/>
      <c r="B2075" s="398" t="s">
        <v>1125</v>
      </c>
      <c r="C2075" s="172"/>
      <c r="D2075" s="173"/>
      <c r="E2075" s="397">
        <f>E2074-(E2079+E2081)</f>
        <v>3.9366399999999997</v>
      </c>
      <c r="F2075" s="390" t="s">
        <v>1124</v>
      </c>
      <c r="G2075" s="196"/>
      <c r="H2075" s="196"/>
      <c r="I2075" s="196"/>
      <c r="J2075" s="114"/>
      <c r="AW2075" s="117"/>
      <c r="AX2075" s="117"/>
      <c r="AY2075" s="117"/>
      <c r="AZ2075" s="117"/>
      <c r="BA2075" s="117"/>
      <c r="BB2075" s="117"/>
      <c r="BC2075" s="117"/>
      <c r="BD2075" s="117"/>
    </row>
    <row r="2076" spans="1:56" ht="15">
      <c r="A2076" s="114"/>
      <c r="B2076" s="399" t="s">
        <v>1126</v>
      </c>
      <c r="C2076" s="317"/>
      <c r="D2076" s="318"/>
      <c r="E2076" s="400">
        <f>(2*C2071)*C2065</f>
        <v>0.64000000000000012</v>
      </c>
      <c r="F2076" s="390" t="s">
        <v>13</v>
      </c>
      <c r="G2076" s="196"/>
      <c r="H2076" s="196"/>
      <c r="I2076" s="196"/>
      <c r="J2076" s="114"/>
      <c r="AW2076" s="117"/>
      <c r="AX2076" s="117"/>
      <c r="AY2076" s="117"/>
      <c r="AZ2076" s="117"/>
      <c r="BA2076" s="117"/>
      <c r="BB2076" s="117"/>
      <c r="BC2076" s="117"/>
      <c r="BD2076" s="117"/>
    </row>
    <row r="2077" spans="1:56" ht="15">
      <c r="A2077" s="114"/>
      <c r="B2077" s="196"/>
      <c r="C2077" s="196"/>
      <c r="D2077" s="196"/>
      <c r="E2077" s="401"/>
      <c r="F2077" s="196"/>
      <c r="G2077" s="196"/>
      <c r="H2077" s="196"/>
      <c r="I2077" s="196"/>
      <c r="J2077" s="114"/>
      <c r="AW2077" s="117"/>
      <c r="AX2077" s="117"/>
      <c r="AY2077" s="117"/>
      <c r="AZ2077" s="117"/>
      <c r="BA2077" s="117"/>
      <c r="BB2077" s="117"/>
      <c r="BC2077" s="117"/>
      <c r="BD2077" s="117"/>
    </row>
    <row r="2078" spans="1:56" ht="15">
      <c r="A2078" s="114"/>
      <c r="B2078" s="303" t="s">
        <v>1127</v>
      </c>
      <c r="C2078" s="196"/>
      <c r="D2078" s="196"/>
      <c r="E2078" s="401"/>
      <c r="F2078" s="196"/>
      <c r="G2078" s="196"/>
      <c r="H2078" s="196"/>
      <c r="I2078" s="196"/>
      <c r="J2078" s="114"/>
      <c r="AW2078" s="117"/>
      <c r="AX2078" s="117"/>
      <c r="AY2078" s="117"/>
      <c r="AZ2078" s="117"/>
      <c r="BA2078" s="117"/>
      <c r="BB2078" s="117"/>
      <c r="BC2078" s="117"/>
      <c r="BD2078" s="117"/>
    </row>
    <row r="2079" spans="1:56" ht="18">
      <c r="A2079" s="114"/>
      <c r="B2079" s="398" t="s">
        <v>1128</v>
      </c>
      <c r="C2079" s="172"/>
      <c r="D2079" s="173"/>
      <c r="E2079" s="402">
        <f>E2076*0.05</f>
        <v>3.2000000000000008E-2</v>
      </c>
      <c r="F2079" s="390" t="s">
        <v>1124</v>
      </c>
      <c r="G2079" s="196"/>
      <c r="H2079" s="196"/>
      <c r="I2079" s="196"/>
      <c r="J2079" s="114"/>
      <c r="AW2079" s="117"/>
      <c r="AX2079" s="117"/>
      <c r="AY2079" s="117"/>
      <c r="AZ2079" s="117"/>
      <c r="BA2079" s="117"/>
      <c r="BB2079" s="117"/>
      <c r="BC2079" s="117"/>
      <c r="BD2079" s="117"/>
    </row>
    <row r="2080" spans="1:56" ht="15">
      <c r="A2080" s="114"/>
      <c r="B2080" s="398" t="s">
        <v>1129</v>
      </c>
      <c r="C2080" s="172"/>
      <c r="D2080" s="173"/>
      <c r="E2080" s="397">
        <f>C2067*2*C2065</f>
        <v>4.7359999999999998</v>
      </c>
      <c r="F2080" s="390" t="s">
        <v>13</v>
      </c>
      <c r="G2080" s="393" t="s">
        <v>1108</v>
      </c>
      <c r="H2080" s="196" t="s">
        <v>1131</v>
      </c>
      <c r="I2080" s="393"/>
      <c r="J2080" s="114"/>
      <c r="AW2080" s="117"/>
      <c r="AX2080" s="117"/>
      <c r="AY2080" s="117"/>
      <c r="AZ2080" s="117"/>
      <c r="BA2080" s="117"/>
      <c r="BB2080" s="117"/>
      <c r="BC2080" s="117"/>
      <c r="BD2080" s="117"/>
    </row>
    <row r="2081" spans="1:56" ht="18">
      <c r="A2081" s="114"/>
      <c r="B2081" s="398" t="s">
        <v>1130</v>
      </c>
      <c r="C2081" s="172"/>
      <c r="D2081" s="173"/>
      <c r="E2081" s="402">
        <f>C2064*C2065*C2067</f>
        <v>0.63936000000000004</v>
      </c>
      <c r="F2081" s="390" t="s">
        <v>1124</v>
      </c>
      <c r="G2081" s="196"/>
      <c r="H2081" s="196"/>
      <c r="I2081" s="196"/>
      <c r="J2081" s="114"/>
      <c r="AW2081" s="117"/>
      <c r="AX2081" s="117"/>
      <c r="AY2081" s="117"/>
      <c r="AZ2081" s="117"/>
      <c r="BA2081" s="117"/>
      <c r="BB2081" s="117"/>
      <c r="BC2081" s="117"/>
      <c r="BD2081" s="117"/>
    </row>
    <row r="2082" spans="1:56" ht="15">
      <c r="A2082" s="114"/>
      <c r="B2082" s="288"/>
      <c r="C2082" s="230"/>
      <c r="D2082" s="230"/>
      <c r="E2082" s="384"/>
      <c r="F2082" s="196"/>
      <c r="G2082" s="196"/>
      <c r="H2082" s="196"/>
      <c r="I2082" s="196"/>
      <c r="J2082" s="114"/>
      <c r="AW2082" s="117"/>
      <c r="AX2082" s="117"/>
      <c r="AY2082" s="117"/>
      <c r="AZ2082" s="117"/>
      <c r="BA2082" s="117"/>
      <c r="BB2082" s="117"/>
      <c r="BC2082" s="117"/>
      <c r="BD2082" s="117"/>
    </row>
    <row r="2083" spans="1:56" ht="15">
      <c r="A2083" s="114"/>
      <c r="B2083" s="288"/>
      <c r="C2083" s="230"/>
      <c r="D2083" s="230"/>
      <c r="E2083" s="384"/>
      <c r="F2083" s="196"/>
      <c r="G2083" s="196"/>
      <c r="H2083" s="196"/>
      <c r="I2083" s="196"/>
      <c r="J2083" s="114"/>
      <c r="AW2083" s="117"/>
      <c r="AX2083" s="117"/>
      <c r="AY2083" s="117"/>
      <c r="AZ2083" s="117"/>
      <c r="BA2083" s="117"/>
      <c r="BB2083" s="117"/>
      <c r="BC2083" s="117"/>
      <c r="BD2083" s="117"/>
    </row>
    <row r="2084" spans="1:56">
      <c r="A2084" s="114"/>
      <c r="B2084" s="385" t="s">
        <v>1186</v>
      </c>
      <c r="C2084" s="196"/>
      <c r="D2084" s="196"/>
      <c r="E2084" s="196"/>
      <c r="F2084" s="196"/>
      <c r="G2084" s="196"/>
      <c r="H2084" s="196"/>
      <c r="I2084" s="196"/>
      <c r="J2084" s="114"/>
      <c r="AW2084" s="117"/>
      <c r="AX2084" s="117"/>
      <c r="AY2084" s="117"/>
      <c r="AZ2084" s="117"/>
      <c r="BA2084" s="117"/>
      <c r="BB2084" s="117"/>
      <c r="BC2084" s="117"/>
      <c r="BD2084" s="117"/>
    </row>
    <row r="2085" spans="1:56" ht="15">
      <c r="A2085" s="114"/>
      <c r="B2085" s="196"/>
      <c r="C2085" s="196"/>
      <c r="D2085" s="196"/>
      <c r="E2085" s="196"/>
      <c r="F2085" s="196"/>
      <c r="G2085" s="196"/>
      <c r="H2085" s="196"/>
      <c r="I2085" s="196"/>
      <c r="J2085" s="114"/>
      <c r="AW2085" s="117"/>
      <c r="AX2085" s="117"/>
      <c r="AY2085" s="117"/>
      <c r="AZ2085" s="117"/>
      <c r="BA2085" s="117"/>
      <c r="BB2085" s="117"/>
      <c r="BC2085" s="117"/>
      <c r="BD2085" s="117"/>
    </row>
    <row r="2086" spans="1:56" ht="15">
      <c r="A2086" s="114"/>
      <c r="B2086" s="388" t="s">
        <v>1110</v>
      </c>
      <c r="C2086" s="389">
        <v>0.2</v>
      </c>
      <c r="D2086" s="390" t="s">
        <v>10</v>
      </c>
      <c r="E2086" s="196"/>
      <c r="F2086" s="196"/>
      <c r="G2086" s="392"/>
      <c r="H2086" s="393"/>
      <c r="I2086" s="196"/>
      <c r="J2086" s="114"/>
      <c r="AW2086" s="117"/>
      <c r="AX2086" s="117"/>
      <c r="AY2086" s="117"/>
      <c r="AZ2086" s="117"/>
      <c r="BA2086" s="117"/>
      <c r="BB2086" s="117"/>
      <c r="BC2086" s="117"/>
      <c r="BD2086" s="117"/>
    </row>
    <row r="2087" spans="1:56" ht="15">
      <c r="A2087" s="114"/>
      <c r="B2087" s="388" t="s">
        <v>1111</v>
      </c>
      <c r="C2087" s="391">
        <v>4.5999999999999996</v>
      </c>
      <c r="D2087" s="390" t="s">
        <v>10</v>
      </c>
      <c r="E2087" s="196"/>
      <c r="F2087" s="196"/>
      <c r="G2087" s="392"/>
      <c r="H2087" s="393"/>
      <c r="I2087" s="196"/>
      <c r="J2087" s="114"/>
      <c r="AW2087" s="117"/>
      <c r="AX2087" s="117"/>
      <c r="AY2087" s="117"/>
      <c r="AZ2087" s="117"/>
      <c r="BA2087" s="117"/>
      <c r="BB2087" s="117"/>
      <c r="BC2087" s="117"/>
      <c r="BD2087" s="117"/>
    </row>
    <row r="2088" spans="1:56" ht="15">
      <c r="A2088" s="114"/>
      <c r="B2088" s="388" t="s">
        <v>1112</v>
      </c>
      <c r="C2088" s="389">
        <v>1.85</v>
      </c>
      <c r="D2088" s="390" t="s">
        <v>10</v>
      </c>
      <c r="E2088" s="196"/>
      <c r="F2088" s="196"/>
      <c r="G2088" s="392"/>
      <c r="H2088" s="393"/>
      <c r="I2088" s="196"/>
      <c r="J2088" s="114"/>
      <c r="AW2088" s="117"/>
      <c r="AX2088" s="117"/>
      <c r="AY2088" s="117"/>
      <c r="AZ2088" s="117"/>
      <c r="BA2088" s="117"/>
      <c r="BB2088" s="117"/>
      <c r="BC2088" s="117"/>
      <c r="BD2088" s="117"/>
    </row>
    <row r="2089" spans="1:56" ht="15">
      <c r="A2089" s="114"/>
      <c r="B2089" s="388" t="s">
        <v>1113</v>
      </c>
      <c r="C2089" s="389">
        <v>0.5</v>
      </c>
      <c r="D2089" s="390" t="s">
        <v>10</v>
      </c>
      <c r="E2089" s="196"/>
      <c r="F2089" s="196"/>
      <c r="G2089" s="392"/>
      <c r="H2089" s="394"/>
      <c r="I2089" s="196"/>
      <c r="J2089" s="114"/>
      <c r="AW2089" s="117"/>
      <c r="AX2089" s="117"/>
      <c r="AY2089" s="117"/>
      <c r="AZ2089" s="117"/>
      <c r="BA2089" s="117"/>
      <c r="BB2089" s="117"/>
      <c r="BC2089" s="117"/>
      <c r="BD2089" s="117"/>
    </row>
    <row r="2090" spans="1:56" ht="15">
      <c r="A2090" s="114"/>
      <c r="B2090" s="388" t="s">
        <v>1117</v>
      </c>
      <c r="C2090" s="389">
        <v>1</v>
      </c>
      <c r="D2090" s="390" t="s">
        <v>1118</v>
      </c>
      <c r="E2090" s="196"/>
      <c r="F2090" s="196"/>
      <c r="G2090" s="392"/>
      <c r="H2090" s="393"/>
      <c r="I2090" s="196"/>
      <c r="J2090" s="114"/>
      <c r="AW2090" s="117"/>
      <c r="AX2090" s="117"/>
      <c r="AY2090" s="117"/>
      <c r="AZ2090" s="117"/>
      <c r="BA2090" s="117"/>
      <c r="BB2090" s="117"/>
      <c r="BC2090" s="117"/>
      <c r="BD2090" s="117"/>
    </row>
    <row r="2091" spans="1:56" ht="15">
      <c r="A2091" s="114"/>
      <c r="B2091" s="392"/>
      <c r="C2091" s="393"/>
      <c r="D2091" s="196"/>
      <c r="E2091" s="196"/>
      <c r="F2091" s="196"/>
      <c r="G2091" s="392"/>
      <c r="H2091" s="393"/>
      <c r="I2091" s="196"/>
      <c r="J2091" s="114"/>
      <c r="AW2091" s="117"/>
      <c r="AX2091" s="117"/>
      <c r="AY2091" s="117"/>
      <c r="AZ2091" s="117"/>
      <c r="BA2091" s="117"/>
      <c r="BB2091" s="117"/>
      <c r="BC2091" s="117"/>
      <c r="BD2091" s="117"/>
    </row>
    <row r="2092" spans="1:56" ht="15">
      <c r="A2092" s="114"/>
      <c r="B2092" s="388" t="s">
        <v>1114</v>
      </c>
      <c r="C2092" s="389">
        <v>0.6</v>
      </c>
      <c r="D2092" s="390" t="s">
        <v>10</v>
      </c>
      <c r="E2092" s="288" t="s">
        <v>1120</v>
      </c>
      <c r="F2092" s="288"/>
      <c r="G2092" s="230"/>
      <c r="H2092" s="395"/>
      <c r="I2092" s="196"/>
      <c r="J2092" s="114"/>
      <c r="AW2092" s="117"/>
      <c r="AX2092" s="117"/>
      <c r="AY2092" s="117"/>
      <c r="AZ2092" s="117"/>
      <c r="BA2092" s="117"/>
      <c r="BB2092" s="117"/>
      <c r="BC2092" s="117"/>
      <c r="BD2092" s="117"/>
    </row>
    <row r="2093" spans="1:56" ht="15">
      <c r="A2093" s="114"/>
      <c r="B2093" s="388" t="s">
        <v>1114</v>
      </c>
      <c r="C2093" s="389">
        <v>0.2</v>
      </c>
      <c r="D2093" s="390" t="s">
        <v>10</v>
      </c>
      <c r="E2093" s="288" t="s">
        <v>1121</v>
      </c>
      <c r="F2093" s="288"/>
      <c r="G2093" s="230"/>
      <c r="H2093" s="395"/>
      <c r="I2093" s="196"/>
      <c r="J2093" s="114"/>
      <c r="AW2093" s="117"/>
      <c r="AX2093" s="117"/>
      <c r="AY2093" s="117"/>
      <c r="AZ2093" s="117"/>
      <c r="BA2093" s="117"/>
      <c r="BB2093" s="117"/>
      <c r="BC2093" s="117"/>
      <c r="BD2093" s="117"/>
    </row>
    <row r="2094" spans="1:56" ht="15">
      <c r="A2094" s="114"/>
      <c r="B2094" s="196"/>
      <c r="C2094" s="196"/>
      <c r="D2094" s="196"/>
      <c r="E2094" s="196"/>
      <c r="F2094" s="196"/>
      <c r="G2094" s="196"/>
      <c r="H2094" s="196"/>
      <c r="I2094" s="196"/>
      <c r="J2094" s="114"/>
      <c r="AW2094" s="117"/>
      <c r="AX2094" s="117"/>
      <c r="AY2094" s="117"/>
      <c r="AZ2094" s="117"/>
      <c r="BA2094" s="117"/>
      <c r="BB2094" s="117"/>
      <c r="BC2094" s="117"/>
      <c r="BD2094" s="117"/>
    </row>
    <row r="2095" spans="1:56" ht="15">
      <c r="A2095" s="114"/>
      <c r="B2095" s="303" t="s">
        <v>1122</v>
      </c>
      <c r="C2095" s="362"/>
      <c r="D2095" s="362"/>
      <c r="E2095" s="196"/>
      <c r="F2095" s="196"/>
      <c r="G2095" s="196"/>
      <c r="H2095" s="196"/>
      <c r="I2095" s="196"/>
      <c r="J2095" s="114"/>
      <c r="AW2095" s="117"/>
      <c r="AX2095" s="117"/>
      <c r="AY2095" s="117"/>
      <c r="AZ2095" s="117"/>
      <c r="BA2095" s="117"/>
      <c r="BB2095" s="117"/>
      <c r="BC2095" s="117"/>
      <c r="BD2095" s="117"/>
    </row>
    <row r="2096" spans="1:56" ht="18">
      <c r="A2096" s="114"/>
      <c r="B2096" s="396" t="s">
        <v>1123</v>
      </c>
      <c r="C2096" s="289"/>
      <c r="D2096" s="290"/>
      <c r="E2096" s="397">
        <f>C2090*(C2092*2*(0.05+C2089+C2088)*C2087)</f>
        <v>13.248000000000001</v>
      </c>
      <c r="F2096" s="390" t="s">
        <v>1124</v>
      </c>
      <c r="G2096" s="196"/>
      <c r="H2096" s="196"/>
      <c r="I2096" s="196"/>
      <c r="J2096" s="114"/>
      <c r="AW2096" s="117"/>
      <c r="AX2096" s="117"/>
      <c r="AY2096" s="117"/>
      <c r="AZ2096" s="117"/>
      <c r="BA2096" s="117"/>
      <c r="BB2096" s="117"/>
      <c r="BC2096" s="117"/>
      <c r="BD2096" s="117"/>
    </row>
    <row r="2097" spans="1:56" ht="18">
      <c r="A2097" s="114"/>
      <c r="B2097" s="398" t="s">
        <v>1125</v>
      </c>
      <c r="C2097" s="172"/>
      <c r="D2097" s="173"/>
      <c r="E2097" s="397">
        <f>E2096-(E2101+E2103)</f>
        <v>12.696000000000002</v>
      </c>
      <c r="F2097" s="390" t="s">
        <v>1124</v>
      </c>
      <c r="G2097" s="196"/>
      <c r="H2097" s="196"/>
      <c r="I2097" s="196"/>
      <c r="J2097" s="114"/>
      <c r="AW2097" s="117"/>
      <c r="AX2097" s="117"/>
      <c r="AY2097" s="117"/>
      <c r="AZ2097" s="117"/>
      <c r="BA2097" s="117"/>
      <c r="BB2097" s="117"/>
      <c r="BC2097" s="117"/>
      <c r="BD2097" s="117"/>
    </row>
    <row r="2098" spans="1:56" ht="15">
      <c r="A2098" s="114"/>
      <c r="B2098" s="399" t="s">
        <v>1126</v>
      </c>
      <c r="C2098" s="317"/>
      <c r="D2098" s="318"/>
      <c r="E2098" s="400">
        <f>(2*C2093)*C2087</f>
        <v>1.8399999999999999</v>
      </c>
      <c r="F2098" s="390" t="s">
        <v>13</v>
      </c>
      <c r="G2098" s="196"/>
      <c r="H2098" s="196"/>
      <c r="I2098" s="196"/>
      <c r="J2098" s="114"/>
      <c r="AW2098" s="117"/>
      <c r="AX2098" s="117"/>
      <c r="AY2098" s="117"/>
      <c r="AZ2098" s="117"/>
      <c r="BA2098" s="117"/>
      <c r="BB2098" s="117"/>
      <c r="BC2098" s="117"/>
      <c r="BD2098" s="117"/>
    </row>
    <row r="2099" spans="1:56" ht="15">
      <c r="A2099" s="114"/>
      <c r="B2099" s="196"/>
      <c r="C2099" s="196"/>
      <c r="D2099" s="196"/>
      <c r="E2099" s="401"/>
      <c r="F2099" s="196"/>
      <c r="G2099" s="196"/>
      <c r="H2099" s="196"/>
      <c r="I2099" s="196"/>
      <c r="J2099" s="114"/>
      <c r="AW2099" s="117"/>
      <c r="AX2099" s="117"/>
      <c r="AY2099" s="117"/>
      <c r="AZ2099" s="117"/>
      <c r="BA2099" s="117"/>
      <c r="BB2099" s="117"/>
      <c r="BC2099" s="117"/>
      <c r="BD2099" s="117"/>
    </row>
    <row r="2100" spans="1:56" ht="15">
      <c r="A2100" s="114"/>
      <c r="B2100" s="303" t="s">
        <v>1127</v>
      </c>
      <c r="C2100" s="196"/>
      <c r="D2100" s="196"/>
      <c r="E2100" s="401"/>
      <c r="F2100" s="196"/>
      <c r="G2100" s="196"/>
      <c r="H2100" s="196"/>
      <c r="I2100" s="196"/>
      <c r="J2100" s="114"/>
      <c r="AW2100" s="117"/>
      <c r="AX2100" s="117"/>
      <c r="AY2100" s="117"/>
      <c r="AZ2100" s="117"/>
      <c r="BA2100" s="117"/>
      <c r="BB2100" s="117"/>
      <c r="BC2100" s="117"/>
      <c r="BD2100" s="117"/>
    </row>
    <row r="2101" spans="1:56" ht="18">
      <c r="A2101" s="114"/>
      <c r="B2101" s="398" t="s">
        <v>1128</v>
      </c>
      <c r="C2101" s="172"/>
      <c r="D2101" s="173"/>
      <c r="E2101" s="402">
        <f>E2098*0.05</f>
        <v>9.1999999999999998E-2</v>
      </c>
      <c r="F2101" s="390" t="s">
        <v>1124</v>
      </c>
      <c r="G2101" s="196"/>
      <c r="H2101" s="196"/>
      <c r="I2101" s="196"/>
      <c r="J2101" s="114"/>
      <c r="AW2101" s="117"/>
      <c r="AX2101" s="117"/>
      <c r="AY2101" s="117"/>
      <c r="AZ2101" s="117"/>
      <c r="BA2101" s="117"/>
      <c r="BB2101" s="117"/>
      <c r="BC2101" s="117"/>
      <c r="BD2101" s="117"/>
    </row>
    <row r="2102" spans="1:56" ht="15">
      <c r="A2102" s="114"/>
      <c r="B2102" s="398" t="s">
        <v>1129</v>
      </c>
      <c r="C2102" s="172"/>
      <c r="D2102" s="173"/>
      <c r="E2102" s="397">
        <f>C2089*2*C2087</f>
        <v>4.5999999999999996</v>
      </c>
      <c r="F2102" s="390" t="s">
        <v>13</v>
      </c>
      <c r="G2102" s="393" t="s">
        <v>1108</v>
      </c>
      <c r="H2102" s="196" t="s">
        <v>1131</v>
      </c>
      <c r="I2102" s="393"/>
      <c r="J2102" s="114"/>
      <c r="AW2102" s="117"/>
      <c r="AX2102" s="117"/>
      <c r="AY2102" s="117"/>
      <c r="AZ2102" s="117"/>
      <c r="BA2102" s="117"/>
      <c r="BB2102" s="117"/>
      <c r="BC2102" s="117"/>
      <c r="BD2102" s="117"/>
    </row>
    <row r="2103" spans="1:56" ht="18">
      <c r="A2103" s="114"/>
      <c r="B2103" s="398" t="s">
        <v>1130</v>
      </c>
      <c r="C2103" s="172"/>
      <c r="D2103" s="173"/>
      <c r="E2103" s="402">
        <f>C2086*C2087*C2089</f>
        <v>0.45999999999999996</v>
      </c>
      <c r="F2103" s="390" t="s">
        <v>1124</v>
      </c>
      <c r="G2103" s="196"/>
      <c r="H2103" s="196"/>
      <c r="I2103" s="196"/>
      <c r="J2103" s="114"/>
      <c r="AW2103" s="117"/>
      <c r="AX2103" s="117"/>
      <c r="AY2103" s="117"/>
      <c r="AZ2103" s="117"/>
      <c r="BA2103" s="117"/>
      <c r="BB2103" s="117"/>
      <c r="BC2103" s="117"/>
      <c r="BD2103" s="117"/>
    </row>
    <row r="2104" spans="1:56" ht="15">
      <c r="A2104" s="114"/>
      <c r="B2104" s="288"/>
      <c r="C2104" s="230"/>
      <c r="D2104" s="230"/>
      <c r="E2104" s="384"/>
      <c r="F2104" s="196"/>
      <c r="G2104" s="196"/>
      <c r="H2104" s="196"/>
      <c r="I2104" s="196"/>
      <c r="J2104" s="114"/>
      <c r="AW2104" s="117"/>
      <c r="AX2104" s="117"/>
      <c r="AY2104" s="117"/>
      <c r="AZ2104" s="117"/>
      <c r="BA2104" s="117"/>
      <c r="BB2104" s="117"/>
      <c r="BC2104" s="117"/>
      <c r="BD2104" s="117"/>
    </row>
    <row r="2105" spans="1:56">
      <c r="A2105" s="114"/>
      <c r="B2105" s="115"/>
      <c r="C2105" s="115"/>
      <c r="D2105" s="115"/>
      <c r="E2105" s="115"/>
      <c r="F2105" s="115"/>
      <c r="G2105" s="115"/>
      <c r="H2105" s="115"/>
      <c r="I2105" s="115"/>
      <c r="J2105" s="114"/>
      <c r="AW2105" s="117"/>
      <c r="AX2105" s="117"/>
      <c r="AY2105" s="117"/>
      <c r="AZ2105" s="117"/>
      <c r="BA2105" s="117"/>
      <c r="BB2105" s="117"/>
      <c r="BC2105" s="117"/>
      <c r="BD2105" s="117"/>
    </row>
    <row r="2106" spans="1:56">
      <c r="A2106" s="114"/>
      <c r="B2106" s="115"/>
      <c r="C2106" s="115"/>
      <c r="D2106" s="115"/>
      <c r="E2106" s="115"/>
      <c r="F2106" s="115"/>
      <c r="G2106" s="115"/>
      <c r="H2106" s="115"/>
      <c r="I2106" s="115"/>
      <c r="J2106" s="114"/>
      <c r="AW2106" s="117"/>
      <c r="AX2106" s="117"/>
      <c r="AY2106" s="117"/>
      <c r="AZ2106" s="117"/>
      <c r="BA2106" s="117"/>
      <c r="BB2106" s="117"/>
      <c r="BC2106" s="117"/>
      <c r="BD2106" s="117"/>
    </row>
    <row r="2107" spans="1:56" customFormat="1">
      <c r="B2107" s="385" t="s">
        <v>1187</v>
      </c>
      <c r="C2107" s="362"/>
      <c r="D2107" s="362"/>
      <c r="E2107" s="362"/>
      <c r="F2107" s="362"/>
      <c r="G2107" s="115"/>
      <c r="H2107" s="115"/>
      <c r="I2107" s="362"/>
      <c r="J2107" s="362"/>
    </row>
    <row r="2108" spans="1:56" ht="15">
      <c r="A2108" s="114"/>
      <c r="B2108" s="362"/>
      <c r="C2108" s="362"/>
      <c r="D2108" s="362"/>
      <c r="E2108" s="362"/>
      <c r="F2108" s="404"/>
      <c r="G2108" s="196"/>
      <c r="H2108" s="196"/>
      <c r="I2108" s="404"/>
      <c r="J2108" s="404"/>
      <c r="AX2108" s="117"/>
      <c r="AY2108" s="117"/>
      <c r="AZ2108" s="117"/>
      <c r="BA2108" s="117"/>
      <c r="BB2108" s="117"/>
      <c r="BC2108" s="117"/>
      <c r="BD2108" s="117"/>
    </row>
    <row r="2109" spans="1:56" ht="18">
      <c r="A2109" s="114"/>
      <c r="B2109" s="388" t="s">
        <v>1141</v>
      </c>
      <c r="C2109" s="389">
        <v>0.3</v>
      </c>
      <c r="D2109" s="390" t="s">
        <v>10</v>
      </c>
      <c r="E2109" s="196"/>
      <c r="F2109" s="405"/>
      <c r="G2109" s="196"/>
      <c r="H2109" s="196"/>
      <c r="I2109" s="405" t="s">
        <v>1143</v>
      </c>
      <c r="J2109" s="405"/>
      <c r="AX2109" s="117"/>
      <c r="AY2109" s="117"/>
      <c r="AZ2109" s="117"/>
      <c r="BA2109" s="117"/>
      <c r="BB2109" s="117"/>
      <c r="BC2109" s="117"/>
      <c r="BD2109" s="117"/>
    </row>
    <row r="2110" spans="1:56" ht="15">
      <c r="A2110" s="114"/>
      <c r="B2110" s="388" t="s">
        <v>1144</v>
      </c>
      <c r="C2110" s="389">
        <v>0.3</v>
      </c>
      <c r="D2110" s="390" t="s">
        <v>10</v>
      </c>
      <c r="E2110" s="196"/>
      <c r="F2110" s="405"/>
      <c r="G2110" s="362"/>
      <c r="H2110" s="362"/>
      <c r="I2110" s="405"/>
      <c r="J2110" s="405"/>
      <c r="AX2110" s="117"/>
      <c r="AY2110" s="117"/>
      <c r="AZ2110" s="117"/>
      <c r="BA2110" s="117"/>
      <c r="BB2110" s="117"/>
      <c r="BC2110" s="117"/>
      <c r="BD2110" s="117"/>
    </row>
    <row r="2111" spans="1:56" ht="15">
      <c r="A2111" s="114"/>
      <c r="B2111" s="388" t="s">
        <v>1145</v>
      </c>
      <c r="C2111" s="389">
        <v>0.8</v>
      </c>
      <c r="D2111" s="390" t="s">
        <v>10</v>
      </c>
      <c r="E2111" s="196"/>
      <c r="F2111" s="405"/>
      <c r="G2111" s="404"/>
      <c r="H2111" s="404"/>
      <c r="I2111" s="405"/>
      <c r="J2111" s="405"/>
      <c r="AX2111" s="117"/>
      <c r="AY2111" s="117"/>
      <c r="AZ2111" s="117"/>
      <c r="BA2111" s="117"/>
      <c r="BB2111" s="117"/>
      <c r="BC2111" s="117"/>
      <c r="BD2111" s="117"/>
    </row>
    <row r="2112" spans="1:56" ht="18">
      <c r="A2112" s="114"/>
      <c r="B2112" s="388" t="s">
        <v>1146</v>
      </c>
      <c r="C2112" s="389">
        <v>2.2999999999999998</v>
      </c>
      <c r="D2112" s="390" t="s">
        <v>10</v>
      </c>
      <c r="E2112" s="196"/>
      <c r="F2112" s="405"/>
      <c r="G2112" s="406" t="s">
        <v>1142</v>
      </c>
      <c r="H2112" s="407">
        <f>C2109*C2110</f>
        <v>0.09</v>
      </c>
      <c r="I2112" s="405" t="s">
        <v>1143</v>
      </c>
      <c r="J2112" s="405"/>
      <c r="AX2112" s="117"/>
      <c r="AY2112" s="117"/>
      <c r="AZ2112" s="117"/>
      <c r="BA2112" s="117"/>
      <c r="BB2112" s="117"/>
      <c r="BC2112" s="117"/>
      <c r="BD2112" s="117"/>
    </row>
    <row r="2113" spans="1:56" ht="18">
      <c r="A2113" s="114"/>
      <c r="B2113" s="388" t="s">
        <v>1112</v>
      </c>
      <c r="C2113" s="389">
        <v>1.85</v>
      </c>
      <c r="D2113" s="390" t="s">
        <v>10</v>
      </c>
      <c r="E2113" s="196"/>
      <c r="F2113" s="405"/>
      <c r="G2113" s="406" t="e">
        <f>TEXT(C2117,"tg 0°=")</f>
        <v>#VALUE!</v>
      </c>
      <c r="H2113" s="408">
        <f>TAN(3.14159265359*C2117/180)</f>
        <v>1.732050807569153</v>
      </c>
      <c r="I2113" s="405" t="s">
        <v>1143</v>
      </c>
      <c r="J2113" s="405"/>
      <c r="AX2113" s="117"/>
      <c r="AY2113" s="117"/>
      <c r="AZ2113" s="117"/>
      <c r="BA2113" s="117"/>
      <c r="BB2113" s="117"/>
      <c r="BC2113" s="117"/>
      <c r="BD2113" s="117"/>
    </row>
    <row r="2114" spans="1:56" ht="15">
      <c r="A2114" s="114"/>
      <c r="B2114" s="388" t="s">
        <v>1113</v>
      </c>
      <c r="C2114" s="389">
        <v>1</v>
      </c>
      <c r="D2114" s="390" t="s">
        <v>10</v>
      </c>
      <c r="E2114" s="196"/>
      <c r="F2114" s="405"/>
      <c r="G2114" s="406"/>
      <c r="H2114" s="407"/>
      <c r="I2114" s="405"/>
      <c r="J2114" s="405"/>
      <c r="AX2114" s="117"/>
      <c r="AY2114" s="117"/>
      <c r="AZ2114" s="117"/>
      <c r="BA2114" s="117"/>
      <c r="BB2114" s="117"/>
      <c r="BC2114" s="117"/>
      <c r="BD2114" s="117"/>
    </row>
    <row r="2115" spans="1:56" ht="15">
      <c r="A2115" s="114"/>
      <c r="B2115" s="388" t="s">
        <v>1117</v>
      </c>
      <c r="C2115" s="391">
        <v>1</v>
      </c>
      <c r="D2115" s="390" t="s">
        <v>1118</v>
      </c>
      <c r="E2115" s="196"/>
      <c r="F2115" s="405"/>
      <c r="G2115" s="406" t="s">
        <v>1142</v>
      </c>
      <c r="H2115" s="409">
        <f>(C2111+2*C2119+((C2113+C2114+0.05)/H2113)*2)*(C2112+2*C2119+((C2113+C2114+0.05)/H2113)*2)</f>
        <v>34.23135429595618</v>
      </c>
      <c r="I2115" s="405"/>
      <c r="J2115" s="405"/>
      <c r="AX2115" s="117"/>
      <c r="AY2115" s="117"/>
      <c r="AZ2115" s="117"/>
      <c r="BA2115" s="117"/>
      <c r="BB2115" s="117"/>
      <c r="BC2115" s="117"/>
      <c r="BD2115" s="117"/>
    </row>
    <row r="2116" spans="1:56" ht="15">
      <c r="A2116" s="114"/>
      <c r="B2116" s="196" t="s">
        <v>1148</v>
      </c>
      <c r="C2116" s="393"/>
      <c r="D2116" s="196"/>
      <c r="E2116" s="196"/>
      <c r="F2116" s="405"/>
      <c r="G2116" s="406" t="s">
        <v>1147</v>
      </c>
      <c r="H2116" s="409">
        <f>(C2111+2*C2119)*(C2112+2*C2119)</f>
        <v>5.9399999999999995</v>
      </c>
      <c r="I2116" s="405"/>
      <c r="J2116" s="405"/>
      <c r="AX2116" s="117"/>
      <c r="AY2116" s="117"/>
      <c r="AZ2116" s="117"/>
      <c r="BA2116" s="117"/>
      <c r="BB2116" s="117"/>
      <c r="BC2116" s="117"/>
      <c r="BD2116" s="117"/>
    </row>
    <row r="2117" spans="1:56" ht="15">
      <c r="A2117" s="114"/>
      <c r="B2117" s="388" t="s">
        <v>1149</v>
      </c>
      <c r="C2117" s="389">
        <v>60</v>
      </c>
      <c r="D2117" s="390" t="s">
        <v>1150</v>
      </c>
      <c r="E2117" s="196"/>
      <c r="F2117" s="196"/>
      <c r="G2117" s="406"/>
      <c r="H2117" s="407"/>
      <c r="I2117" s="196"/>
      <c r="J2117" s="196"/>
      <c r="AX2117" s="117"/>
      <c r="AY2117" s="117"/>
      <c r="AZ2117" s="117"/>
      <c r="BA2117" s="117"/>
      <c r="BB2117" s="117"/>
      <c r="BC2117" s="117"/>
      <c r="BD2117" s="117"/>
    </row>
    <row r="2118" spans="1:56" ht="15">
      <c r="A2118" s="114"/>
      <c r="B2118" s="362"/>
      <c r="C2118" s="196"/>
      <c r="D2118" s="196"/>
      <c r="E2118" s="196"/>
      <c r="F2118" s="196"/>
      <c r="G2118" s="406"/>
      <c r="H2118" s="407"/>
      <c r="I2118" s="362"/>
      <c r="J2118" s="196"/>
      <c r="AX2118" s="117"/>
      <c r="AY2118" s="117"/>
      <c r="AZ2118" s="117"/>
      <c r="BA2118" s="117"/>
      <c r="BB2118" s="117"/>
      <c r="BC2118" s="117"/>
      <c r="BD2118" s="117"/>
    </row>
    <row r="2119" spans="1:56" ht="15">
      <c r="A2119" s="114"/>
      <c r="B2119" s="388" t="s">
        <v>1114</v>
      </c>
      <c r="C2119" s="389">
        <v>0.5</v>
      </c>
      <c r="D2119" s="390" t="s">
        <v>10</v>
      </c>
      <c r="E2119" s="288" t="s">
        <v>1120</v>
      </c>
      <c r="F2119" s="196"/>
      <c r="G2119" s="406"/>
      <c r="H2119" s="407"/>
      <c r="I2119" s="114"/>
      <c r="J2119" s="196"/>
      <c r="AX2119" s="117"/>
      <c r="AY2119" s="117"/>
      <c r="AZ2119" s="117"/>
      <c r="BA2119" s="117"/>
      <c r="BB2119" s="117"/>
      <c r="BC2119" s="117"/>
      <c r="BD2119" s="117"/>
    </row>
    <row r="2120" spans="1:56" ht="15">
      <c r="A2120" s="114"/>
      <c r="B2120" s="388" t="s">
        <v>1114</v>
      </c>
      <c r="C2120" s="389">
        <v>0.1</v>
      </c>
      <c r="D2120" s="390" t="s">
        <v>10</v>
      </c>
      <c r="E2120" s="288" t="s">
        <v>1121</v>
      </c>
      <c r="F2120" s="196"/>
      <c r="G2120" s="392"/>
      <c r="H2120" s="393"/>
      <c r="I2120" s="196"/>
      <c r="J2120" s="196"/>
      <c r="AX2120" s="117"/>
      <c r="AY2120" s="117"/>
      <c r="AZ2120" s="117"/>
      <c r="BA2120" s="117"/>
      <c r="BB2120" s="117"/>
      <c r="BC2120" s="117"/>
      <c r="BD2120" s="117"/>
    </row>
    <row r="2121" spans="1:56" ht="15">
      <c r="A2121" s="114"/>
      <c r="B2121" s="362"/>
      <c r="C2121" s="362"/>
      <c r="D2121" s="362"/>
      <c r="E2121" s="362"/>
      <c r="F2121" s="362"/>
      <c r="G2121" s="362"/>
      <c r="H2121" s="362"/>
      <c r="I2121" s="196"/>
      <c r="J2121" s="196"/>
      <c r="AX2121" s="117"/>
      <c r="AY2121" s="117"/>
      <c r="AZ2121" s="117"/>
      <c r="BA2121" s="117"/>
      <c r="BB2121" s="117"/>
      <c r="BC2121" s="117"/>
      <c r="BD2121" s="117"/>
    </row>
    <row r="2122" spans="1:56" ht="15">
      <c r="A2122" s="114"/>
      <c r="B2122" s="303" t="s">
        <v>1122</v>
      </c>
      <c r="C2122" s="362"/>
      <c r="D2122" s="362"/>
      <c r="E2122" s="362"/>
      <c r="F2122" s="362"/>
      <c r="G2122" s="196" t="s">
        <v>1131</v>
      </c>
      <c r="H2122" s="114"/>
      <c r="I2122" s="196"/>
      <c r="J2122" s="196"/>
      <c r="AX2122" s="117"/>
      <c r="AY2122" s="117"/>
      <c r="AZ2122" s="117"/>
      <c r="BA2122" s="117"/>
      <c r="BB2122" s="117"/>
      <c r="BC2122" s="117"/>
      <c r="BD2122" s="117"/>
    </row>
    <row r="2123" spans="1:56" ht="18">
      <c r="A2123" s="114"/>
      <c r="B2123" s="398" t="s">
        <v>1123</v>
      </c>
      <c r="C2123" s="172"/>
      <c r="D2123" s="173"/>
      <c r="E2123" s="397">
        <f>C2115*((H2116+H2115)/2)*(C2113+C2114+0.05)</f>
        <v>58.248463729136454</v>
      </c>
      <c r="F2123" s="390" t="s">
        <v>1124</v>
      </c>
      <c r="G2123" s="196"/>
      <c r="H2123" s="196"/>
      <c r="I2123" s="362"/>
      <c r="J2123" s="362"/>
      <c r="AX2123" s="117"/>
      <c r="AY2123" s="117"/>
      <c r="AZ2123" s="117"/>
      <c r="BA2123" s="117"/>
      <c r="BB2123" s="117"/>
      <c r="BC2123" s="117"/>
      <c r="BD2123" s="117"/>
    </row>
    <row r="2124" spans="1:56" ht="18">
      <c r="A2124" s="114"/>
      <c r="B2124" s="398" t="s">
        <v>1125</v>
      </c>
      <c r="C2124" s="172"/>
      <c r="D2124" s="173"/>
      <c r="E2124" s="400">
        <f>E2123-(E2135+E2137)</f>
        <v>56.283463729136457</v>
      </c>
      <c r="F2124" s="390" t="s">
        <v>1124</v>
      </c>
      <c r="G2124" s="196"/>
      <c r="H2124" s="196"/>
      <c r="I2124" s="196"/>
      <c r="J2124" s="196"/>
      <c r="AX2124" s="117"/>
      <c r="AY2124" s="117"/>
      <c r="AZ2124" s="117"/>
      <c r="BA2124" s="117"/>
      <c r="BB2124" s="117"/>
      <c r="BC2124" s="117"/>
      <c r="BD2124" s="117"/>
    </row>
    <row r="2125" spans="1:56" ht="15">
      <c r="A2125" s="114"/>
      <c r="B2125" s="398" t="s">
        <v>1126</v>
      </c>
      <c r="C2125" s="172"/>
      <c r="D2125" s="173"/>
      <c r="E2125" s="400">
        <f>((C2111+2*C2120)*(C2112+2*C2120))*C2115</f>
        <v>2.5</v>
      </c>
      <c r="F2125" s="390" t="s">
        <v>13</v>
      </c>
      <c r="G2125" s="362"/>
      <c r="H2125" s="362"/>
      <c r="I2125" s="362"/>
      <c r="J2125" s="362"/>
      <c r="AX2125" s="117"/>
      <c r="AY2125" s="117"/>
      <c r="AZ2125" s="117"/>
      <c r="BA2125" s="117"/>
      <c r="BB2125" s="117"/>
      <c r="BC2125" s="117"/>
      <c r="BD2125" s="117"/>
    </row>
    <row r="2126" spans="1:56" ht="15">
      <c r="A2126" s="114"/>
      <c r="B2126" s="362"/>
      <c r="C2126" s="362"/>
      <c r="D2126" s="362"/>
      <c r="E2126" s="401"/>
      <c r="F2126" s="196"/>
      <c r="G2126" s="362"/>
      <c r="H2126" s="362"/>
      <c r="I2126" s="362"/>
      <c r="J2126" s="362"/>
      <c r="AX2126" s="117"/>
      <c r="AY2126" s="117"/>
      <c r="AZ2126" s="117"/>
      <c r="BA2126" s="117"/>
      <c r="BB2126" s="117"/>
      <c r="BC2126" s="117"/>
      <c r="BD2126" s="117"/>
    </row>
    <row r="2127" spans="1:56" ht="15">
      <c r="A2127" s="114"/>
      <c r="B2127" s="303" t="s">
        <v>1162</v>
      </c>
      <c r="C2127" s="362"/>
      <c r="D2127" s="362"/>
      <c r="E2127" s="410"/>
      <c r="F2127" s="362"/>
      <c r="G2127" s="362"/>
      <c r="H2127" s="362"/>
      <c r="I2127" s="362"/>
      <c r="J2127" s="362"/>
      <c r="AX2127" s="117"/>
      <c r="AY2127" s="117"/>
      <c r="AZ2127" s="117"/>
      <c r="BA2127" s="117"/>
      <c r="BB2127" s="117"/>
      <c r="BC2127" s="117"/>
      <c r="BD2127" s="117"/>
    </row>
    <row r="2128" spans="1:56" ht="15">
      <c r="A2128" s="114"/>
      <c r="B2128" s="398" t="s">
        <v>1152</v>
      </c>
      <c r="C2128" s="398"/>
      <c r="D2128" s="366"/>
      <c r="E2128" s="411">
        <v>2</v>
      </c>
      <c r="F2128" s="390" t="s">
        <v>1153</v>
      </c>
      <c r="G2128" s="362"/>
      <c r="H2128" s="362"/>
      <c r="I2128" s="362"/>
      <c r="J2128" s="362"/>
      <c r="AX2128" s="117"/>
      <c r="AY2128" s="117"/>
      <c r="AZ2128" s="117"/>
      <c r="BA2128" s="117"/>
      <c r="BB2128" s="117"/>
      <c r="BC2128" s="117"/>
      <c r="BD2128" s="117"/>
    </row>
    <row r="2129" spans="1:56" ht="15">
      <c r="A2129" s="114"/>
      <c r="B2129" s="399" t="s">
        <v>1154</v>
      </c>
      <c r="C2129" s="31"/>
      <c r="D2129" s="32"/>
      <c r="E2129" s="412">
        <f>C2115*E2128</f>
        <v>2</v>
      </c>
      <c r="F2129" s="390" t="s">
        <v>1153</v>
      </c>
      <c r="G2129" s="362"/>
      <c r="H2129" s="362"/>
      <c r="I2129" s="362"/>
      <c r="J2129" s="362"/>
      <c r="AX2129" s="117"/>
      <c r="AY2129" s="117"/>
      <c r="AZ2129" s="117"/>
      <c r="BA2129" s="117"/>
      <c r="BB2129" s="117"/>
      <c r="BC2129" s="117"/>
      <c r="BD2129" s="117"/>
    </row>
    <row r="2130" spans="1:56" ht="15">
      <c r="A2130" s="114"/>
      <c r="B2130" s="398" t="s">
        <v>1155</v>
      </c>
      <c r="C2130" s="21"/>
      <c r="D2130" s="413"/>
      <c r="E2130" s="411">
        <v>250</v>
      </c>
      <c r="F2130" s="390" t="s">
        <v>1156</v>
      </c>
      <c r="G2130" s="362"/>
      <c r="H2130" s="414"/>
      <c r="I2130" s="362"/>
      <c r="J2130" s="415"/>
      <c r="AX2130" s="117"/>
      <c r="AY2130" s="117"/>
      <c r="AZ2130" s="117"/>
      <c r="BA2130" s="117"/>
      <c r="BB2130" s="117"/>
      <c r="BC2130" s="117"/>
      <c r="BD2130" s="117"/>
    </row>
    <row r="2131" spans="1:56" ht="15">
      <c r="A2131" s="114"/>
      <c r="B2131" s="398" t="s">
        <v>1157</v>
      </c>
      <c r="C2131" s="21"/>
      <c r="D2131" s="413"/>
      <c r="E2131" s="418">
        <v>12</v>
      </c>
      <c r="F2131" s="390" t="s">
        <v>10</v>
      </c>
      <c r="G2131" s="362"/>
      <c r="H2131" s="6"/>
      <c r="I2131" s="362"/>
      <c r="J2131" s="362"/>
      <c r="AX2131" s="117"/>
      <c r="AY2131" s="117"/>
      <c r="AZ2131" s="117"/>
      <c r="BA2131" s="117"/>
      <c r="BB2131" s="117"/>
      <c r="BC2131" s="117"/>
      <c r="BD2131" s="117"/>
    </row>
    <row r="2132" spans="1:56" ht="15">
      <c r="A2132" s="114"/>
      <c r="B2132" s="398" t="s">
        <v>1158</v>
      </c>
      <c r="C2132" s="21"/>
      <c r="D2132" s="413"/>
      <c r="E2132" s="412">
        <f>E2129*E2131</f>
        <v>24</v>
      </c>
      <c r="F2132" s="390" t="s">
        <v>10</v>
      </c>
      <c r="G2132" s="362"/>
      <c r="H2132" s="362"/>
      <c r="I2132" s="362"/>
      <c r="J2132" s="362"/>
      <c r="AX2132" s="117"/>
      <c r="AY2132" s="117"/>
      <c r="AZ2132" s="117"/>
      <c r="BA2132" s="117"/>
      <c r="BB2132" s="117"/>
      <c r="BC2132" s="117"/>
      <c r="BD2132" s="117"/>
    </row>
    <row r="2133" spans="1:56" ht="15">
      <c r="A2133" s="114"/>
      <c r="B2133" s="362"/>
      <c r="C2133" s="362"/>
      <c r="D2133" s="362"/>
      <c r="E2133" s="410"/>
      <c r="F2133" s="362"/>
      <c r="G2133" s="362"/>
      <c r="H2133" s="362"/>
      <c r="I2133" s="362"/>
      <c r="J2133" s="362"/>
      <c r="AX2133" s="117"/>
      <c r="AY2133" s="117"/>
      <c r="AZ2133" s="117"/>
      <c r="BA2133" s="117"/>
      <c r="BB2133" s="117"/>
      <c r="BC2133" s="117"/>
      <c r="BD2133" s="117"/>
    </row>
    <row r="2134" spans="1:56" ht="15">
      <c r="A2134" s="114"/>
      <c r="B2134" s="303" t="s">
        <v>1160</v>
      </c>
      <c r="C2134" s="362"/>
      <c r="D2134" s="362"/>
      <c r="E2134" s="410"/>
      <c r="F2134" s="362"/>
      <c r="G2134" s="362"/>
      <c r="H2134" s="362"/>
      <c r="I2134" s="362"/>
      <c r="J2134" s="362"/>
      <c r="AX2134" s="117"/>
      <c r="AY2134" s="117"/>
      <c r="AZ2134" s="117"/>
      <c r="BA2134" s="117"/>
      <c r="BB2134" s="117"/>
      <c r="BC2134" s="117"/>
      <c r="BD2134" s="117"/>
    </row>
    <row r="2135" spans="1:56" ht="18">
      <c r="A2135" s="114"/>
      <c r="B2135" s="398" t="s">
        <v>1128</v>
      </c>
      <c r="C2135" s="172"/>
      <c r="D2135" s="173"/>
      <c r="E2135" s="402">
        <f>E2125*0.05</f>
        <v>0.125</v>
      </c>
      <c r="F2135" s="390" t="s">
        <v>1124</v>
      </c>
      <c r="G2135" s="362"/>
      <c r="H2135" s="362"/>
      <c r="I2135" s="362"/>
      <c r="J2135" s="362"/>
      <c r="AX2135" s="117"/>
      <c r="AY2135" s="117"/>
      <c r="AZ2135" s="117"/>
      <c r="BA2135" s="117"/>
      <c r="BB2135" s="117"/>
      <c r="BC2135" s="117"/>
      <c r="BD2135" s="117"/>
    </row>
    <row r="2136" spans="1:56" ht="15">
      <c r="A2136" s="114"/>
      <c r="B2136" s="398" t="s">
        <v>1129</v>
      </c>
      <c r="C2136" s="172"/>
      <c r="D2136" s="173"/>
      <c r="E2136" s="397">
        <f>(2*(C2111+C2112)*C2114)*C2115</f>
        <v>6.1999999999999993</v>
      </c>
      <c r="F2136" s="390" t="s">
        <v>13</v>
      </c>
      <c r="G2136" s="362"/>
      <c r="H2136" s="362"/>
      <c r="I2136" s="362"/>
      <c r="J2136" s="362"/>
      <c r="AX2136" s="117"/>
      <c r="AY2136" s="117"/>
      <c r="AZ2136" s="117"/>
      <c r="BA2136" s="117"/>
      <c r="BB2136" s="117"/>
      <c r="BC2136" s="117"/>
      <c r="BD2136" s="117"/>
    </row>
    <row r="2137" spans="1:56" ht="18">
      <c r="A2137" s="114"/>
      <c r="B2137" s="398" t="s">
        <v>1130</v>
      </c>
      <c r="C2137" s="172"/>
      <c r="D2137" s="173"/>
      <c r="E2137" s="402">
        <f>(C2111*C2112*C2114)*C2115</f>
        <v>1.8399999999999999</v>
      </c>
      <c r="F2137" s="390" t="s">
        <v>1124</v>
      </c>
      <c r="G2137" s="362"/>
      <c r="H2137" s="362"/>
      <c r="I2137" s="362"/>
      <c r="J2137" s="362"/>
      <c r="AX2137" s="117"/>
      <c r="AY2137" s="117"/>
      <c r="AZ2137" s="117"/>
      <c r="BA2137" s="117"/>
      <c r="BB2137" s="117"/>
      <c r="BC2137" s="117"/>
      <c r="BD2137" s="117"/>
    </row>
    <row r="2138" spans="1:56">
      <c r="A2138" s="114"/>
      <c r="B2138" s="115"/>
      <c r="C2138" s="115"/>
      <c r="D2138" s="115"/>
      <c r="E2138" s="115"/>
      <c r="F2138" s="115"/>
      <c r="G2138" s="115"/>
      <c r="H2138" s="115"/>
      <c r="I2138" s="115"/>
      <c r="J2138" s="114"/>
      <c r="AW2138" s="117"/>
      <c r="AX2138" s="117"/>
      <c r="AY2138" s="117"/>
      <c r="AZ2138" s="117"/>
      <c r="BA2138" s="117"/>
      <c r="BB2138" s="117"/>
      <c r="BC2138" s="117"/>
      <c r="BD2138" s="117"/>
    </row>
    <row r="2139" spans="1:56">
      <c r="A2139" s="114"/>
      <c r="B2139" s="115"/>
      <c r="C2139" s="115"/>
      <c r="D2139" s="115"/>
      <c r="E2139" s="115"/>
      <c r="F2139" s="115"/>
      <c r="G2139" s="115"/>
      <c r="H2139" s="115"/>
      <c r="I2139" s="115"/>
      <c r="J2139" s="114"/>
      <c r="AW2139" s="117"/>
      <c r="AX2139" s="117"/>
      <c r="AY2139" s="117"/>
      <c r="AZ2139" s="117"/>
      <c r="BA2139" s="117"/>
      <c r="BB2139" s="117"/>
      <c r="BC2139" s="117"/>
      <c r="BD2139" s="117"/>
    </row>
    <row r="2140" spans="1:56">
      <c r="A2140" s="114"/>
      <c r="B2140" s="115"/>
      <c r="C2140" s="115"/>
      <c r="D2140" s="115"/>
      <c r="E2140" s="115"/>
      <c r="F2140" s="115"/>
      <c r="G2140" s="115"/>
      <c r="H2140" s="115"/>
      <c r="I2140" s="115"/>
      <c r="J2140" s="114"/>
      <c r="AW2140" s="117"/>
      <c r="AX2140" s="117"/>
      <c r="AY2140" s="117"/>
      <c r="AZ2140" s="117"/>
      <c r="BA2140" s="117"/>
      <c r="BB2140" s="117"/>
      <c r="BC2140" s="117"/>
      <c r="BD2140" s="117"/>
    </row>
    <row r="2141" spans="1:56" customFormat="1">
      <c r="B2141" s="385" t="s">
        <v>1188</v>
      </c>
      <c r="C2141" s="362"/>
      <c r="D2141" s="362"/>
      <c r="E2141" s="362"/>
      <c r="F2141" s="362"/>
      <c r="G2141" s="115"/>
      <c r="H2141" s="115"/>
      <c r="I2141" s="362"/>
      <c r="J2141" s="362"/>
    </row>
    <row r="2142" spans="1:56" ht="15">
      <c r="A2142" s="114"/>
      <c r="B2142" s="362"/>
      <c r="C2142" s="362"/>
      <c r="D2142" s="362"/>
      <c r="E2142" s="362"/>
      <c r="F2142" s="404"/>
      <c r="G2142" s="196"/>
      <c r="H2142" s="196"/>
      <c r="I2142" s="404"/>
      <c r="J2142" s="404"/>
      <c r="AX2142" s="117"/>
      <c r="AY2142" s="117"/>
      <c r="AZ2142" s="117"/>
      <c r="BA2142" s="117"/>
      <c r="BB2142" s="117"/>
      <c r="BC2142" s="117"/>
      <c r="BD2142" s="117"/>
    </row>
    <row r="2143" spans="1:56" ht="18">
      <c r="A2143" s="114"/>
      <c r="B2143" s="388" t="s">
        <v>1141</v>
      </c>
      <c r="C2143" s="389">
        <v>0.27</v>
      </c>
      <c r="D2143" s="390" t="s">
        <v>10</v>
      </c>
      <c r="E2143" s="196"/>
      <c r="F2143" s="405"/>
      <c r="G2143" s="196"/>
      <c r="H2143" s="196"/>
      <c r="I2143" s="405" t="s">
        <v>1143</v>
      </c>
      <c r="J2143" s="405"/>
      <c r="AX2143" s="117"/>
      <c r="AY2143" s="117"/>
      <c r="AZ2143" s="117"/>
      <c r="BA2143" s="117"/>
      <c r="BB2143" s="117"/>
      <c r="BC2143" s="117"/>
      <c r="BD2143" s="117"/>
    </row>
    <row r="2144" spans="1:56" ht="15">
      <c r="A2144" s="114"/>
      <c r="B2144" s="388" t="s">
        <v>1144</v>
      </c>
      <c r="C2144" s="389">
        <v>0.8</v>
      </c>
      <c r="D2144" s="390" t="s">
        <v>10</v>
      </c>
      <c r="E2144" s="196"/>
      <c r="F2144" s="405"/>
      <c r="G2144" s="362"/>
      <c r="H2144" s="362"/>
      <c r="I2144" s="405"/>
      <c r="J2144" s="405"/>
      <c r="AX2144" s="117"/>
      <c r="AY2144" s="117"/>
      <c r="AZ2144" s="117"/>
      <c r="BA2144" s="117"/>
      <c r="BB2144" s="117"/>
      <c r="BC2144" s="117"/>
      <c r="BD2144" s="117"/>
    </row>
    <row r="2145" spans="1:56" ht="15">
      <c r="A2145" s="114"/>
      <c r="B2145" s="388" t="s">
        <v>1145</v>
      </c>
      <c r="C2145" s="389">
        <v>0.8</v>
      </c>
      <c r="D2145" s="390" t="s">
        <v>10</v>
      </c>
      <c r="E2145" s="196"/>
      <c r="F2145" s="405"/>
      <c r="G2145" s="404"/>
      <c r="H2145" s="404"/>
      <c r="I2145" s="405"/>
      <c r="J2145" s="405"/>
      <c r="AX2145" s="117"/>
      <c r="AY2145" s="117"/>
      <c r="AZ2145" s="117"/>
      <c r="BA2145" s="117"/>
      <c r="BB2145" s="117"/>
      <c r="BC2145" s="117"/>
      <c r="BD2145" s="117"/>
    </row>
    <row r="2146" spans="1:56" ht="18">
      <c r="A2146" s="114"/>
      <c r="B2146" s="388" t="s">
        <v>1146</v>
      </c>
      <c r="C2146" s="389">
        <v>0.8</v>
      </c>
      <c r="D2146" s="390" t="s">
        <v>10</v>
      </c>
      <c r="E2146" s="196"/>
      <c r="F2146" s="405"/>
      <c r="G2146" s="406" t="s">
        <v>1142</v>
      </c>
      <c r="H2146" s="407">
        <f>C2143*C2144</f>
        <v>0.21600000000000003</v>
      </c>
      <c r="I2146" s="405" t="s">
        <v>1143</v>
      </c>
      <c r="J2146" s="405"/>
      <c r="AX2146" s="117"/>
      <c r="AY2146" s="117"/>
      <c r="AZ2146" s="117"/>
      <c r="BA2146" s="117"/>
      <c r="BB2146" s="117"/>
      <c r="BC2146" s="117"/>
      <c r="BD2146" s="117"/>
    </row>
    <row r="2147" spans="1:56" ht="18">
      <c r="A2147" s="114"/>
      <c r="B2147" s="388" t="s">
        <v>1112</v>
      </c>
      <c r="C2147" s="389">
        <v>1.85</v>
      </c>
      <c r="D2147" s="390" t="s">
        <v>10</v>
      </c>
      <c r="E2147" s="196"/>
      <c r="F2147" s="405"/>
      <c r="G2147" s="406" t="e">
        <f>TEXT(C2151,"tg 0°=")</f>
        <v>#VALUE!</v>
      </c>
      <c r="H2147" s="408">
        <f>TAN(3.14159265359*C2151/180)</f>
        <v>1.732050807569153</v>
      </c>
      <c r="I2147" s="405" t="s">
        <v>1143</v>
      </c>
      <c r="J2147" s="405"/>
      <c r="AX2147" s="117"/>
      <c r="AY2147" s="117"/>
      <c r="AZ2147" s="117"/>
      <c r="BA2147" s="117"/>
      <c r="BB2147" s="117"/>
      <c r="BC2147" s="117"/>
      <c r="BD2147" s="117"/>
    </row>
    <row r="2148" spans="1:56" ht="15">
      <c r="A2148" s="114"/>
      <c r="B2148" s="388" t="s">
        <v>1113</v>
      </c>
      <c r="C2148" s="389">
        <v>1</v>
      </c>
      <c r="D2148" s="390" t="s">
        <v>10</v>
      </c>
      <c r="E2148" s="196"/>
      <c r="F2148" s="405"/>
      <c r="G2148" s="406"/>
      <c r="H2148" s="407"/>
      <c r="I2148" s="405"/>
      <c r="J2148" s="405"/>
      <c r="AX2148" s="117"/>
      <c r="AY2148" s="117"/>
      <c r="AZ2148" s="117"/>
      <c r="BA2148" s="117"/>
      <c r="BB2148" s="117"/>
      <c r="BC2148" s="117"/>
      <c r="BD2148" s="117"/>
    </row>
    <row r="2149" spans="1:56" ht="15">
      <c r="A2149" s="114"/>
      <c r="B2149" s="388" t="s">
        <v>1117</v>
      </c>
      <c r="C2149" s="391">
        <v>1</v>
      </c>
      <c r="D2149" s="390" t="s">
        <v>1118</v>
      </c>
      <c r="E2149" s="196"/>
      <c r="F2149" s="405"/>
      <c r="G2149" s="406" t="s">
        <v>1142</v>
      </c>
      <c r="H2149" s="409">
        <f>(C2145+2*C2153+((C2147+C2148+0.05)/H2147)*2)*(C2146+2*C2153+((C2147+C2148+0.05)/H2147)*2)</f>
        <v>26.508406954007235</v>
      </c>
      <c r="I2149" s="405"/>
      <c r="J2149" s="405"/>
      <c r="AX2149" s="117"/>
      <c r="AY2149" s="117"/>
      <c r="AZ2149" s="117"/>
      <c r="BA2149" s="117"/>
      <c r="BB2149" s="117"/>
      <c r="BC2149" s="117"/>
      <c r="BD2149" s="117"/>
    </row>
    <row r="2150" spans="1:56" ht="15">
      <c r="A2150" s="114"/>
      <c r="B2150" s="196" t="s">
        <v>1148</v>
      </c>
      <c r="C2150" s="393"/>
      <c r="D2150" s="196"/>
      <c r="E2150" s="196"/>
      <c r="F2150" s="405"/>
      <c r="G2150" s="406" t="s">
        <v>1147</v>
      </c>
      <c r="H2150" s="409">
        <f>(C2145+2*C2153)*(C2146+2*C2153)</f>
        <v>3.24</v>
      </c>
      <c r="I2150" s="405"/>
      <c r="J2150" s="405"/>
      <c r="AX2150" s="117"/>
      <c r="AY2150" s="117"/>
      <c r="AZ2150" s="117"/>
      <c r="BA2150" s="117"/>
      <c r="BB2150" s="117"/>
      <c r="BC2150" s="117"/>
      <c r="BD2150" s="117"/>
    </row>
    <row r="2151" spans="1:56" ht="15">
      <c r="A2151" s="114"/>
      <c r="B2151" s="388" t="s">
        <v>1149</v>
      </c>
      <c r="C2151" s="389">
        <v>60</v>
      </c>
      <c r="D2151" s="390" t="s">
        <v>1150</v>
      </c>
      <c r="E2151" s="196"/>
      <c r="F2151" s="196"/>
      <c r="G2151" s="406"/>
      <c r="H2151" s="407"/>
      <c r="I2151" s="196"/>
      <c r="J2151" s="196"/>
      <c r="AX2151" s="117"/>
      <c r="AY2151" s="117"/>
      <c r="AZ2151" s="117"/>
      <c r="BA2151" s="117"/>
      <c r="BB2151" s="117"/>
      <c r="BC2151" s="117"/>
      <c r="BD2151" s="117"/>
    </row>
    <row r="2152" spans="1:56" ht="15">
      <c r="A2152" s="114"/>
      <c r="B2152" s="362"/>
      <c r="C2152" s="196"/>
      <c r="D2152" s="196"/>
      <c r="E2152" s="196"/>
      <c r="F2152" s="196"/>
      <c r="G2152" s="406"/>
      <c r="H2152" s="407"/>
      <c r="I2152" s="362"/>
      <c r="J2152" s="196"/>
      <c r="AX2152" s="117"/>
      <c r="AY2152" s="117"/>
      <c r="AZ2152" s="117"/>
      <c r="BA2152" s="117"/>
      <c r="BB2152" s="117"/>
      <c r="BC2152" s="117"/>
      <c r="BD2152" s="117"/>
    </row>
    <row r="2153" spans="1:56" ht="15">
      <c r="A2153" s="114"/>
      <c r="B2153" s="388" t="s">
        <v>1114</v>
      </c>
      <c r="C2153" s="389">
        <v>0.5</v>
      </c>
      <c r="D2153" s="390" t="s">
        <v>10</v>
      </c>
      <c r="E2153" s="288" t="s">
        <v>1120</v>
      </c>
      <c r="F2153" s="196"/>
      <c r="G2153" s="406"/>
      <c r="H2153" s="407"/>
      <c r="I2153" s="114"/>
      <c r="J2153" s="196"/>
      <c r="AX2153" s="117"/>
      <c r="AY2153" s="117"/>
      <c r="AZ2153" s="117"/>
      <c r="BA2153" s="117"/>
      <c r="BB2153" s="117"/>
      <c r="BC2153" s="117"/>
      <c r="BD2153" s="117"/>
    </row>
    <row r="2154" spans="1:56" ht="15">
      <c r="A2154" s="114"/>
      <c r="B2154" s="388" t="s">
        <v>1114</v>
      </c>
      <c r="C2154" s="389">
        <v>0.1</v>
      </c>
      <c r="D2154" s="390" t="s">
        <v>10</v>
      </c>
      <c r="E2154" s="288" t="s">
        <v>1121</v>
      </c>
      <c r="F2154" s="196"/>
      <c r="G2154" s="392"/>
      <c r="H2154" s="393"/>
      <c r="I2154" s="196"/>
      <c r="J2154" s="196"/>
      <c r="AX2154" s="117"/>
      <c r="AY2154" s="117"/>
      <c r="AZ2154" s="117"/>
      <c r="BA2154" s="117"/>
      <c r="BB2154" s="117"/>
      <c r="BC2154" s="117"/>
      <c r="BD2154" s="117"/>
    </row>
    <row r="2155" spans="1:56" ht="15">
      <c r="A2155" s="114"/>
      <c r="B2155" s="362"/>
      <c r="C2155" s="362"/>
      <c r="D2155" s="362"/>
      <c r="E2155" s="362"/>
      <c r="F2155" s="362"/>
      <c r="G2155" s="362"/>
      <c r="H2155" s="362"/>
      <c r="I2155" s="196"/>
      <c r="J2155" s="196"/>
      <c r="AX2155" s="117"/>
      <c r="AY2155" s="117"/>
      <c r="AZ2155" s="117"/>
      <c r="BA2155" s="117"/>
      <c r="BB2155" s="117"/>
      <c r="BC2155" s="117"/>
      <c r="BD2155" s="117"/>
    </row>
    <row r="2156" spans="1:56" ht="15">
      <c r="A2156" s="114"/>
      <c r="B2156" s="303" t="s">
        <v>1122</v>
      </c>
      <c r="C2156" s="362"/>
      <c r="D2156" s="362"/>
      <c r="E2156" s="362"/>
      <c r="F2156" s="362"/>
      <c r="G2156" s="196" t="s">
        <v>1131</v>
      </c>
      <c r="H2156" s="114"/>
      <c r="I2156" s="196"/>
      <c r="J2156" s="196"/>
      <c r="AX2156" s="117"/>
      <c r="AY2156" s="117"/>
      <c r="AZ2156" s="117"/>
      <c r="BA2156" s="117"/>
      <c r="BB2156" s="117"/>
      <c r="BC2156" s="117"/>
      <c r="BD2156" s="117"/>
    </row>
    <row r="2157" spans="1:56" ht="18">
      <c r="A2157" s="114"/>
      <c r="B2157" s="398" t="s">
        <v>1123</v>
      </c>
      <c r="C2157" s="172"/>
      <c r="D2157" s="173"/>
      <c r="E2157" s="397">
        <f>C2149*((H2150+H2149)/2)*(C2147+C2148+0.05)</f>
        <v>43.135190083310491</v>
      </c>
      <c r="F2157" s="390" t="s">
        <v>1124</v>
      </c>
      <c r="G2157" s="196"/>
      <c r="H2157" s="196"/>
      <c r="I2157" s="362"/>
      <c r="J2157" s="362"/>
      <c r="AX2157" s="117"/>
      <c r="AY2157" s="117"/>
      <c r="AZ2157" s="117"/>
      <c r="BA2157" s="117"/>
      <c r="BB2157" s="117"/>
      <c r="BC2157" s="117"/>
      <c r="BD2157" s="117"/>
    </row>
    <row r="2158" spans="1:56" ht="18">
      <c r="A2158" s="114"/>
      <c r="B2158" s="398" t="s">
        <v>1125</v>
      </c>
      <c r="C2158" s="172"/>
      <c r="D2158" s="173"/>
      <c r="E2158" s="400">
        <f>E2157-(E2169+E2171)</f>
        <v>42.445190083310493</v>
      </c>
      <c r="F2158" s="390" t="s">
        <v>1124</v>
      </c>
      <c r="G2158" s="196"/>
      <c r="H2158" s="196"/>
      <c r="I2158" s="196"/>
      <c r="J2158" s="196"/>
      <c r="AX2158" s="117"/>
      <c r="AY2158" s="117"/>
      <c r="AZ2158" s="117"/>
      <c r="BA2158" s="117"/>
      <c r="BB2158" s="117"/>
      <c r="BC2158" s="117"/>
      <c r="BD2158" s="117"/>
    </row>
    <row r="2159" spans="1:56" ht="15">
      <c r="A2159" s="114"/>
      <c r="B2159" s="398" t="s">
        <v>1126</v>
      </c>
      <c r="C2159" s="172"/>
      <c r="D2159" s="173"/>
      <c r="E2159" s="400">
        <f>((C2145+2*C2154)*(C2146+2*C2154))*C2149</f>
        <v>1</v>
      </c>
      <c r="F2159" s="390" t="s">
        <v>13</v>
      </c>
      <c r="G2159" s="362"/>
      <c r="H2159" s="362"/>
      <c r="I2159" s="362"/>
      <c r="J2159" s="362"/>
      <c r="AX2159" s="117"/>
      <c r="AY2159" s="117"/>
      <c r="AZ2159" s="117"/>
      <c r="BA2159" s="117"/>
      <c r="BB2159" s="117"/>
      <c r="BC2159" s="117"/>
      <c r="BD2159" s="117"/>
    </row>
    <row r="2160" spans="1:56" ht="15">
      <c r="A2160" s="114"/>
      <c r="B2160" s="362"/>
      <c r="C2160" s="362"/>
      <c r="D2160" s="362"/>
      <c r="E2160" s="401"/>
      <c r="F2160" s="196"/>
      <c r="G2160" s="362"/>
      <c r="H2160" s="362"/>
      <c r="I2160" s="362"/>
      <c r="J2160" s="362"/>
      <c r="AX2160" s="117"/>
      <c r="AY2160" s="117"/>
      <c r="AZ2160" s="117"/>
      <c r="BA2160" s="117"/>
      <c r="BB2160" s="117"/>
      <c r="BC2160" s="117"/>
      <c r="BD2160" s="117"/>
    </row>
    <row r="2161" spans="1:56" ht="15">
      <c r="A2161" s="114"/>
      <c r="B2161" s="303" t="s">
        <v>1162</v>
      </c>
      <c r="C2161" s="362"/>
      <c r="D2161" s="362"/>
      <c r="E2161" s="410"/>
      <c r="F2161" s="362"/>
      <c r="G2161" s="362"/>
      <c r="H2161" s="362"/>
      <c r="I2161" s="362"/>
      <c r="J2161" s="362"/>
      <c r="AX2161" s="117"/>
      <c r="AY2161" s="117"/>
      <c r="AZ2161" s="117"/>
      <c r="BA2161" s="117"/>
      <c r="BB2161" s="117"/>
      <c r="BC2161" s="117"/>
      <c r="BD2161" s="117"/>
    </row>
    <row r="2162" spans="1:56" ht="15">
      <c r="A2162" s="114"/>
      <c r="B2162" s="398" t="s">
        <v>1152</v>
      </c>
      <c r="C2162" s="398"/>
      <c r="D2162" s="366"/>
      <c r="E2162" s="411">
        <v>1</v>
      </c>
      <c r="F2162" s="390" t="s">
        <v>1153</v>
      </c>
      <c r="G2162" s="362"/>
      <c r="H2162" s="362"/>
      <c r="I2162" s="362"/>
      <c r="J2162" s="362"/>
      <c r="AX2162" s="117"/>
      <c r="AY2162" s="117"/>
      <c r="AZ2162" s="117"/>
      <c r="BA2162" s="117"/>
      <c r="BB2162" s="117"/>
      <c r="BC2162" s="117"/>
      <c r="BD2162" s="117"/>
    </row>
    <row r="2163" spans="1:56" ht="15">
      <c r="A2163" s="114"/>
      <c r="B2163" s="399" t="s">
        <v>1154</v>
      </c>
      <c r="C2163" s="31"/>
      <c r="D2163" s="32"/>
      <c r="E2163" s="412">
        <f>C2149*E2162</f>
        <v>1</v>
      </c>
      <c r="F2163" s="390" t="s">
        <v>1153</v>
      </c>
      <c r="G2163" s="362"/>
      <c r="H2163" s="362"/>
      <c r="I2163" s="362"/>
      <c r="J2163" s="362"/>
      <c r="AX2163" s="117"/>
      <c r="AY2163" s="117"/>
      <c r="AZ2163" s="117"/>
      <c r="BA2163" s="117"/>
      <c r="BB2163" s="117"/>
      <c r="BC2163" s="117"/>
      <c r="BD2163" s="117"/>
    </row>
    <row r="2164" spans="1:56" ht="15">
      <c r="A2164" s="114"/>
      <c r="B2164" s="398" t="s">
        <v>1155</v>
      </c>
      <c r="C2164" s="21"/>
      <c r="D2164" s="413"/>
      <c r="E2164" s="411">
        <v>250</v>
      </c>
      <c r="F2164" s="390" t="s">
        <v>1156</v>
      </c>
      <c r="G2164" s="362"/>
      <c r="H2164" s="414"/>
      <c r="I2164" s="362"/>
      <c r="J2164" s="415"/>
      <c r="AX2164" s="117"/>
      <c r="AY2164" s="117"/>
      <c r="AZ2164" s="117"/>
      <c r="BA2164" s="117"/>
      <c r="BB2164" s="117"/>
      <c r="BC2164" s="117"/>
      <c r="BD2164" s="117"/>
    </row>
    <row r="2165" spans="1:56" ht="15">
      <c r="A2165" s="114"/>
      <c r="B2165" s="398" t="s">
        <v>1157</v>
      </c>
      <c r="C2165" s="21"/>
      <c r="D2165" s="413"/>
      <c r="E2165" s="418">
        <v>12</v>
      </c>
      <c r="F2165" s="390" t="s">
        <v>10</v>
      </c>
      <c r="G2165" s="362"/>
      <c r="H2165" s="6"/>
      <c r="I2165" s="362"/>
      <c r="J2165" s="362"/>
      <c r="AX2165" s="117"/>
      <c r="AY2165" s="117"/>
      <c r="AZ2165" s="117"/>
      <c r="BA2165" s="117"/>
      <c r="BB2165" s="117"/>
      <c r="BC2165" s="117"/>
      <c r="BD2165" s="117"/>
    </row>
    <row r="2166" spans="1:56" ht="15">
      <c r="A2166" s="114"/>
      <c r="B2166" s="398" t="s">
        <v>1158</v>
      </c>
      <c r="C2166" s="21"/>
      <c r="D2166" s="413"/>
      <c r="E2166" s="412">
        <f>E2163*E2165</f>
        <v>12</v>
      </c>
      <c r="F2166" s="390" t="s">
        <v>10</v>
      </c>
      <c r="G2166" s="362"/>
      <c r="H2166" s="362"/>
      <c r="I2166" s="362"/>
      <c r="J2166" s="362"/>
      <c r="AX2166" s="117"/>
      <c r="AY2166" s="117"/>
      <c r="AZ2166" s="117"/>
      <c r="BA2166" s="117"/>
      <c r="BB2166" s="117"/>
      <c r="BC2166" s="117"/>
      <c r="BD2166" s="117"/>
    </row>
    <row r="2167" spans="1:56" ht="15">
      <c r="A2167" s="114"/>
      <c r="B2167" s="362"/>
      <c r="C2167" s="362"/>
      <c r="D2167" s="362"/>
      <c r="E2167" s="410"/>
      <c r="F2167" s="362"/>
      <c r="G2167" s="362"/>
      <c r="H2167" s="362"/>
      <c r="I2167" s="362"/>
      <c r="J2167" s="362"/>
      <c r="AX2167" s="117"/>
      <c r="AY2167" s="117"/>
      <c r="AZ2167" s="117"/>
      <c r="BA2167" s="117"/>
      <c r="BB2167" s="117"/>
      <c r="BC2167" s="117"/>
      <c r="BD2167" s="117"/>
    </row>
    <row r="2168" spans="1:56" ht="15">
      <c r="A2168" s="114"/>
      <c r="B2168" s="303" t="s">
        <v>1160</v>
      </c>
      <c r="C2168" s="362"/>
      <c r="D2168" s="362"/>
      <c r="E2168" s="410"/>
      <c r="F2168" s="362"/>
      <c r="G2168" s="362"/>
      <c r="H2168" s="362"/>
      <c r="I2168" s="362"/>
      <c r="J2168" s="362"/>
      <c r="AX2168" s="117"/>
      <c r="AY2168" s="117"/>
      <c r="AZ2168" s="117"/>
      <c r="BA2168" s="117"/>
      <c r="BB2168" s="117"/>
      <c r="BC2168" s="117"/>
      <c r="BD2168" s="117"/>
    </row>
    <row r="2169" spans="1:56" ht="18">
      <c r="A2169" s="114"/>
      <c r="B2169" s="398" t="s">
        <v>1128</v>
      </c>
      <c r="C2169" s="172"/>
      <c r="D2169" s="173"/>
      <c r="E2169" s="402">
        <f>E2159*0.05</f>
        <v>0.05</v>
      </c>
      <c r="F2169" s="390" t="s">
        <v>1124</v>
      </c>
      <c r="G2169" s="362"/>
      <c r="H2169" s="362"/>
      <c r="I2169" s="362"/>
      <c r="J2169" s="362"/>
      <c r="AX2169" s="117"/>
      <c r="AY2169" s="117"/>
      <c r="AZ2169" s="117"/>
      <c r="BA2169" s="117"/>
      <c r="BB2169" s="117"/>
      <c r="BC2169" s="117"/>
      <c r="BD2169" s="117"/>
    </row>
    <row r="2170" spans="1:56" ht="15">
      <c r="A2170" s="114"/>
      <c r="B2170" s="398" t="s">
        <v>1129</v>
      </c>
      <c r="C2170" s="172"/>
      <c r="D2170" s="173"/>
      <c r="E2170" s="397">
        <f>(2*(C2145+C2146)*C2148)*C2149</f>
        <v>3.2</v>
      </c>
      <c r="F2170" s="390" t="s">
        <v>13</v>
      </c>
      <c r="G2170" s="362"/>
      <c r="H2170" s="362"/>
      <c r="I2170" s="362"/>
      <c r="J2170" s="362"/>
      <c r="AX2170" s="117"/>
      <c r="AY2170" s="117"/>
      <c r="AZ2170" s="117"/>
      <c r="BA2170" s="117"/>
      <c r="BB2170" s="117"/>
      <c r="BC2170" s="117"/>
      <c r="BD2170" s="117"/>
    </row>
    <row r="2171" spans="1:56" ht="18">
      <c r="A2171" s="114"/>
      <c r="B2171" s="398" t="s">
        <v>1130</v>
      </c>
      <c r="C2171" s="172"/>
      <c r="D2171" s="173"/>
      <c r="E2171" s="402">
        <f>(C2145*C2146*C2148)*C2149</f>
        <v>0.64000000000000012</v>
      </c>
      <c r="F2171" s="390" t="s">
        <v>1124</v>
      </c>
      <c r="G2171" s="362"/>
      <c r="H2171" s="362"/>
      <c r="I2171" s="362"/>
      <c r="J2171" s="362"/>
      <c r="AX2171" s="117"/>
      <c r="AY2171" s="117"/>
      <c r="AZ2171" s="117"/>
      <c r="BA2171" s="117"/>
      <c r="BB2171" s="117"/>
      <c r="BC2171" s="117"/>
      <c r="BD2171" s="117"/>
    </row>
    <row r="2172" spans="1:56">
      <c r="A2172" s="114"/>
      <c r="B2172" s="115"/>
      <c r="C2172" s="115"/>
      <c r="D2172" s="115"/>
      <c r="E2172" s="115"/>
      <c r="F2172" s="115"/>
      <c r="G2172" s="115"/>
      <c r="H2172" s="115"/>
      <c r="I2172" s="115"/>
      <c r="J2172" s="114"/>
      <c r="AW2172" s="117"/>
      <c r="AX2172" s="117"/>
      <c r="AY2172" s="117"/>
      <c r="AZ2172" s="117"/>
      <c r="BA2172" s="117"/>
      <c r="BB2172" s="117"/>
      <c r="BC2172" s="117"/>
      <c r="BD2172" s="117"/>
    </row>
    <row r="2173" spans="1:56" ht="16.5" thickBot="1">
      <c r="A2173" s="114"/>
      <c r="B2173" s="115"/>
      <c r="C2173" s="115"/>
      <c r="D2173" s="115"/>
      <c r="E2173" s="115"/>
      <c r="F2173" s="115"/>
      <c r="G2173" s="115"/>
      <c r="H2173" s="115"/>
      <c r="I2173" s="115"/>
      <c r="J2173" s="114"/>
      <c r="AW2173" s="117"/>
      <c r="AX2173" s="117"/>
      <c r="AY2173" s="117"/>
      <c r="AZ2173" s="117"/>
      <c r="BA2173" s="117"/>
      <c r="BB2173" s="117"/>
      <c r="BC2173" s="117"/>
      <c r="BD2173" s="117"/>
    </row>
    <row r="2174" spans="1:56">
      <c r="A2174" s="114"/>
      <c r="B2174" s="702" t="s">
        <v>1189</v>
      </c>
      <c r="C2174" s="282"/>
      <c r="D2174" s="282"/>
      <c r="E2174" s="282"/>
      <c r="F2174" s="283"/>
      <c r="G2174" s="362"/>
      <c r="H2174" s="362"/>
      <c r="I2174" s="362"/>
      <c r="J2174" s="114"/>
      <c r="AU2174" s="117"/>
      <c r="AV2174" s="117"/>
      <c r="AW2174" s="117"/>
      <c r="AX2174" s="117"/>
      <c r="AY2174" s="117"/>
      <c r="AZ2174" s="117"/>
      <c r="BA2174" s="117"/>
      <c r="BB2174" s="117"/>
      <c r="BC2174" s="117"/>
      <c r="BD2174" s="117"/>
    </row>
    <row r="2175" spans="1:56" ht="15">
      <c r="A2175" s="114"/>
      <c r="B2175" s="693"/>
      <c r="C2175" s="196"/>
      <c r="D2175" s="196"/>
      <c r="E2175" s="196"/>
      <c r="F2175" s="284"/>
      <c r="G2175" s="362"/>
      <c r="H2175" s="362"/>
      <c r="I2175" s="362"/>
      <c r="J2175" s="114"/>
      <c r="AU2175" s="117"/>
      <c r="AV2175" s="117"/>
      <c r="AW2175" s="117"/>
      <c r="AX2175" s="117"/>
      <c r="AY2175" s="117"/>
      <c r="AZ2175" s="117"/>
      <c r="BA2175" s="117"/>
      <c r="BB2175" s="117"/>
      <c r="BC2175" s="117"/>
      <c r="BD2175" s="117"/>
    </row>
    <row r="2176" spans="1:56" ht="15">
      <c r="A2176" s="114"/>
      <c r="B2176" s="691" t="s">
        <v>1122</v>
      </c>
      <c r="C2176" s="410"/>
      <c r="D2176" s="1008"/>
      <c r="E2176" s="1008"/>
      <c r="F2176" s="424"/>
      <c r="G2176" s="362"/>
      <c r="H2176" s="362"/>
      <c r="I2176" s="362"/>
      <c r="J2176" s="114"/>
      <c r="AU2176" s="117"/>
      <c r="AV2176" s="117"/>
      <c r="AW2176" s="117"/>
      <c r="AX2176" s="117"/>
      <c r="AY2176" s="117"/>
      <c r="AZ2176" s="117"/>
      <c r="BA2176" s="117"/>
      <c r="BB2176" s="117"/>
      <c r="BC2176" s="117"/>
      <c r="BD2176" s="117"/>
    </row>
    <row r="2177" spans="1:56" ht="18">
      <c r="A2177" s="114"/>
      <c r="B2177" s="1011" t="s">
        <v>1123</v>
      </c>
      <c r="C2177" s="172"/>
      <c r="D2177" s="173"/>
      <c r="E2177" s="425">
        <f>E1859+E1825+E1789+E1753+E1721+E1689+E1650+E1618+E1584+E1550+E1509+E1435+E1469+E1394+E1366+E1343+E1320+E1297+E1274+E1251+E1228+E1204+E1180+E1156+E2021+E1987+E1959+E1936+E1913+E1890+E2051+E2074+E2096+E2123+E2157</f>
        <v>3820.9317133806503</v>
      </c>
      <c r="F2177" s="139" t="s">
        <v>1124</v>
      </c>
      <c r="G2177" s="362"/>
      <c r="H2177" s="362"/>
      <c r="I2177" s="362"/>
      <c r="J2177" s="114"/>
      <c r="AU2177" s="117"/>
      <c r="AV2177" s="117"/>
      <c r="AW2177" s="117"/>
      <c r="AX2177" s="117"/>
      <c r="AY2177" s="117"/>
      <c r="AZ2177" s="117"/>
      <c r="BA2177" s="117"/>
      <c r="BB2177" s="117"/>
      <c r="BC2177" s="117"/>
      <c r="BD2177" s="117"/>
    </row>
    <row r="2178" spans="1:56" ht="18">
      <c r="A2178" s="114"/>
      <c r="B2178" s="1011" t="s">
        <v>1190</v>
      </c>
      <c r="C2178" s="172"/>
      <c r="D2178" s="173"/>
      <c r="E2178" s="425">
        <f>E1860+E1826+E1790+E1754+E1722+E1690+E1651+E1619+E1585+E1551+E1510+E1436+E1470+E1395+E1367+E1344+E1321+E1298+E1275+E1252+E1229+E1205+E1181+E1157+E2022+E1988+E1960+E1937+E1914+E1891+E2052+E2075+E2097+E2124+E2158</f>
        <v>3564.2690503806502</v>
      </c>
      <c r="F2178" s="139" t="s">
        <v>1124</v>
      </c>
      <c r="G2178" s="362"/>
      <c r="H2178" s="362"/>
      <c r="I2178" s="362"/>
      <c r="J2178" s="114"/>
      <c r="AU2178" s="117"/>
      <c r="AV2178" s="117"/>
      <c r="AW2178" s="117"/>
      <c r="AX2178" s="117"/>
      <c r="AY2178" s="117"/>
      <c r="AZ2178" s="117"/>
      <c r="BA2178" s="117"/>
      <c r="BB2178" s="117"/>
      <c r="BC2178" s="117"/>
      <c r="BD2178" s="117"/>
    </row>
    <row r="2179" spans="1:56" ht="15">
      <c r="A2179" s="114"/>
      <c r="B2179" s="1011" t="s">
        <v>1191</v>
      </c>
      <c r="C2179" s="172"/>
      <c r="D2179" s="173"/>
      <c r="E2179" s="425">
        <f>E1861+E1827+E1791+E1755+E1723+E1691+E1652+E1620+E1586+E1552+E1511+E1437+E1471+E1396+E1368+E1345+E1322+E1299+E1276+E1253+E1230+E1206+E1182+E1158+E2023+E1989+E1961+E1938+E1915+E1892+E2053+E2076+E2098+E2125+E2159</f>
        <v>405.75799999999992</v>
      </c>
      <c r="F2179" s="139" t="s">
        <v>13</v>
      </c>
      <c r="G2179" s="362"/>
      <c r="H2179" s="362"/>
      <c r="I2179" s="362"/>
      <c r="J2179" s="114"/>
      <c r="AU2179" s="117"/>
      <c r="AV2179" s="117"/>
      <c r="AW2179" s="117"/>
      <c r="AX2179" s="117"/>
      <c r="AY2179" s="117"/>
      <c r="AZ2179" s="117"/>
      <c r="BA2179" s="117"/>
      <c r="BB2179" s="117"/>
      <c r="BC2179" s="117"/>
      <c r="BD2179" s="117"/>
    </row>
    <row r="2180" spans="1:56" ht="15">
      <c r="A2180" s="114"/>
      <c r="B2180" s="40"/>
      <c r="C2180" s="1008"/>
      <c r="D2180" s="1008"/>
      <c r="E2180" s="401"/>
      <c r="F2180" s="284"/>
      <c r="G2180" s="362"/>
      <c r="H2180" s="362"/>
      <c r="I2180" s="362"/>
      <c r="J2180" s="114"/>
      <c r="AU2180" s="117"/>
      <c r="AV2180" s="117"/>
      <c r="AW2180" s="117"/>
      <c r="AX2180" s="117"/>
      <c r="AY2180" s="117"/>
      <c r="AZ2180" s="117"/>
      <c r="BA2180" s="117"/>
      <c r="BB2180" s="117"/>
      <c r="BC2180" s="117"/>
      <c r="BD2180" s="117"/>
    </row>
    <row r="2181" spans="1:56" ht="18">
      <c r="A2181" s="114"/>
      <c r="B2181" s="1011" t="s">
        <v>317</v>
      </c>
      <c r="C2181" s="172"/>
      <c r="D2181" s="173"/>
      <c r="E2181" s="425">
        <f>E1871+E1837+E1802+E1765+E1733+E1701+E1669+E1630+E1596+E1562+E1528+E1488+E1447+E1413+E1371+E1348+E1325+E1302+E1279+E1256+E1233+E1209+E1185+E1161+E2033+E1999+E1964+E1941+E1918+E1895+E2056+E2079+E2101+E2135+E2169</f>
        <v>20.287899999999997</v>
      </c>
      <c r="F2181" s="139" t="s">
        <v>1124</v>
      </c>
      <c r="G2181" s="196"/>
      <c r="H2181" s="196"/>
      <c r="I2181" s="196"/>
      <c r="J2181" s="114"/>
      <c r="AU2181" s="117"/>
      <c r="AV2181" s="117"/>
      <c r="AW2181" s="117"/>
      <c r="AX2181" s="117"/>
      <c r="AY2181" s="117"/>
      <c r="AZ2181" s="117"/>
      <c r="BA2181" s="117"/>
      <c r="BB2181" s="117"/>
      <c r="BC2181" s="117"/>
      <c r="BD2181" s="117"/>
    </row>
    <row r="2182" spans="1:56" ht="15">
      <c r="A2182" s="114"/>
      <c r="B2182" s="1011" t="s">
        <v>1192</v>
      </c>
      <c r="C2182" s="172"/>
      <c r="D2182" s="173"/>
      <c r="E2182" s="425">
        <f>E1872+E1838+E1803+E1766+E1734+E1702+E1670+E1631+E1597+E1563+E1529+E1489+E1448+E1414+E1372+E1349+E1326+E1303+E1280+E1257+E1234+E1210+E1186+E1162+E2034+E2000+E1965+E1942+E1919+E1896+E2057+E2080+E2102+E2136+E2170</f>
        <v>1296.9710299999997</v>
      </c>
      <c r="F2182" s="139" t="s">
        <v>13</v>
      </c>
      <c r="G2182" s="196"/>
      <c r="H2182" s="196"/>
      <c r="I2182" s="196"/>
      <c r="J2182" s="114"/>
      <c r="AU2182" s="117"/>
      <c r="AV2182" s="117"/>
      <c r="AW2182" s="117"/>
      <c r="AX2182" s="117"/>
      <c r="AY2182" s="117"/>
      <c r="AZ2182" s="117"/>
      <c r="BA2182" s="117"/>
      <c r="BB2182" s="117"/>
      <c r="BC2182" s="117"/>
      <c r="BD2182" s="117"/>
    </row>
    <row r="2183" spans="1:56" ht="18">
      <c r="A2183" s="114"/>
      <c r="B2183" s="1011" t="s">
        <v>316</v>
      </c>
      <c r="C2183" s="172"/>
      <c r="D2183" s="173"/>
      <c r="E2183" s="425">
        <f>E1873+E1839+E1804+E1767+E1735+E1703+E1671+E1632+E1598+E1564+E1530+E1490+E1449+E1415+E1373+E1350+E1327+E1304+E1281+E1258+E1235+E1211+E1187+E1163+E2035+E2001+E1966+E1943+E1920+E1897+E2058+E2081+E2103+E2137+E2171</f>
        <v>250.69016300000004</v>
      </c>
      <c r="F2183" s="139" t="s">
        <v>1124</v>
      </c>
      <c r="G2183" s="196"/>
      <c r="H2183" s="196"/>
      <c r="I2183" s="196"/>
      <c r="J2183" s="114"/>
      <c r="AU2183" s="117"/>
      <c r="AV2183" s="117"/>
      <c r="AW2183" s="117"/>
      <c r="AX2183" s="117"/>
      <c r="AY2183" s="117"/>
      <c r="AZ2183" s="117"/>
      <c r="BA2183" s="117"/>
      <c r="BB2183" s="117"/>
      <c r="BC2183" s="117"/>
      <c r="BD2183" s="117"/>
    </row>
    <row r="2184" spans="1:56">
      <c r="A2184" s="114"/>
      <c r="B2184" s="690"/>
      <c r="C2184" s="115"/>
      <c r="D2184" s="115"/>
      <c r="E2184" s="115"/>
      <c r="F2184" s="182"/>
      <c r="G2184" s="362"/>
      <c r="H2184" s="362"/>
      <c r="I2184" s="362"/>
      <c r="J2184" s="114"/>
      <c r="AU2184" s="117"/>
      <c r="AV2184" s="117"/>
      <c r="AW2184" s="117"/>
      <c r="AX2184" s="117"/>
      <c r="AY2184" s="117"/>
      <c r="AZ2184" s="117"/>
      <c r="BA2184" s="117"/>
      <c r="BB2184" s="117"/>
      <c r="BC2184" s="117"/>
      <c r="BD2184" s="117"/>
    </row>
    <row r="2185" spans="1:56">
      <c r="A2185" s="114"/>
      <c r="B2185" s="691" t="s">
        <v>1193</v>
      </c>
      <c r="C2185" s="1008"/>
      <c r="D2185" s="426" t="s">
        <v>1194</v>
      </c>
      <c r="E2185" s="426" t="s">
        <v>67</v>
      </c>
      <c r="F2185" s="182"/>
      <c r="G2185" s="362"/>
      <c r="H2185" s="362"/>
      <c r="I2185" s="362"/>
      <c r="J2185" s="114"/>
      <c r="AU2185" s="117"/>
      <c r="AV2185" s="117"/>
      <c r="AW2185" s="117"/>
      <c r="AX2185" s="117"/>
      <c r="AY2185" s="117"/>
      <c r="AZ2185" s="117"/>
      <c r="BA2185" s="117"/>
      <c r="BB2185" s="117"/>
      <c r="BC2185" s="117"/>
      <c r="BD2185" s="117"/>
    </row>
    <row r="2186" spans="1:56">
      <c r="A2186" s="114"/>
      <c r="B2186" s="718" t="s">
        <v>1195</v>
      </c>
      <c r="C2186" s="34"/>
      <c r="D2186" s="291">
        <f>E2030+E1996+E2132+E2166</f>
        <v>204</v>
      </c>
      <c r="E2186" s="427">
        <f>E2027+E1993+E2129+E2163</f>
        <v>17</v>
      </c>
      <c r="F2186" s="182"/>
      <c r="G2186" s="362"/>
      <c r="H2186" s="362"/>
      <c r="I2186" s="362"/>
      <c r="J2186" s="114"/>
      <c r="AU2186" s="117"/>
      <c r="AV2186" s="117"/>
      <c r="AW2186" s="117"/>
      <c r="AX2186" s="117"/>
      <c r="AY2186" s="117"/>
      <c r="AZ2186" s="117"/>
      <c r="BA2186" s="117"/>
      <c r="BB2186" s="117"/>
      <c r="BC2186" s="117"/>
      <c r="BD2186" s="117"/>
    </row>
    <row r="2187" spans="1:56">
      <c r="A2187" s="114"/>
      <c r="B2187" s="1011" t="s">
        <v>1196</v>
      </c>
      <c r="C2187" s="413"/>
      <c r="D2187" s="291">
        <f>E1834+E1762+E1730+E1698+E1659+E1559+E1518+E1485+E1403</f>
        <v>624</v>
      </c>
      <c r="E2187" s="427">
        <f>E1831+E1759+E1727+E1695+E1656+E1556+E1515+E1482+E1400</f>
        <v>48</v>
      </c>
      <c r="F2187" s="182"/>
      <c r="G2187" s="362"/>
      <c r="H2187" s="362"/>
      <c r="I2187" s="362"/>
      <c r="J2187" s="114"/>
      <c r="AU2187" s="117"/>
      <c r="AV2187" s="117"/>
      <c r="AW2187" s="117"/>
      <c r="AX2187" s="117"/>
      <c r="AY2187" s="117"/>
      <c r="AZ2187" s="117"/>
      <c r="BA2187" s="117"/>
      <c r="BB2187" s="117"/>
      <c r="BC2187" s="117"/>
      <c r="BD2187" s="117"/>
    </row>
    <row r="2188" spans="1:56">
      <c r="A2188" s="114"/>
      <c r="B2188" s="1011" t="s">
        <v>1197</v>
      </c>
      <c r="C2188" s="413"/>
      <c r="D2188" s="291">
        <f>E1868+E1799+E1627+E1593+E1525+E1478+E1444+E1410+E1666</f>
        <v>714</v>
      </c>
      <c r="E2188" s="427">
        <f>E1865+E1796+E1624+E1590+E1522+E1475+E1441+E1407+E1663</f>
        <v>51</v>
      </c>
      <c r="F2188" s="182"/>
      <c r="G2188" s="362"/>
      <c r="H2188" s="362"/>
      <c r="I2188" s="362"/>
      <c r="J2188" s="114"/>
      <c r="AU2188" s="117"/>
      <c r="AV2188" s="117"/>
      <c r="AW2188" s="117"/>
      <c r="AX2188" s="117"/>
      <c r="AY2188" s="117"/>
      <c r="AZ2188" s="117"/>
      <c r="BA2188" s="117"/>
      <c r="BB2188" s="117"/>
      <c r="BC2188" s="117"/>
      <c r="BD2188" s="117"/>
    </row>
    <row r="2189" spans="1:56">
      <c r="A2189" s="114"/>
      <c r="B2189" s="1014" t="s">
        <v>2354</v>
      </c>
      <c r="C2189" s="285">
        <v>868</v>
      </c>
      <c r="D2189" s="431" t="s">
        <v>12</v>
      </c>
      <c r="E2189" s="432"/>
      <c r="F2189" s="433"/>
      <c r="G2189" s="1008"/>
      <c r="H2189" s="1008"/>
      <c r="I2189" s="1008"/>
      <c r="J2189" s="114"/>
      <c r="AU2189" s="117"/>
      <c r="AV2189" s="117"/>
      <c r="AW2189" s="117"/>
      <c r="AX2189" s="117"/>
      <c r="AY2189" s="117"/>
      <c r="AZ2189" s="117"/>
      <c r="BA2189" s="117"/>
      <c r="BB2189" s="117"/>
      <c r="BC2189" s="117"/>
      <c r="BD2189" s="117"/>
    </row>
    <row r="2190" spans="1:56" ht="15">
      <c r="A2190" s="114"/>
      <c r="B2190" s="717" t="s">
        <v>2389</v>
      </c>
      <c r="C2190" s="285">
        <v>4415</v>
      </c>
      <c r="D2190" s="434" t="s">
        <v>12</v>
      </c>
      <c r="E2190" s="1009" t="s">
        <v>1199</v>
      </c>
      <c r="F2190" s="284"/>
      <c r="G2190" s="1008"/>
      <c r="H2190" s="1008"/>
      <c r="I2190" s="1008"/>
      <c r="J2190" s="114"/>
      <c r="AU2190" s="117"/>
      <c r="AV2190" s="117"/>
      <c r="AW2190" s="117"/>
      <c r="AX2190" s="117"/>
      <c r="AY2190" s="117"/>
      <c r="AZ2190" s="117"/>
      <c r="BA2190" s="117"/>
      <c r="BB2190" s="117"/>
      <c r="BC2190" s="117"/>
      <c r="BD2190" s="117"/>
    </row>
    <row r="2191" spans="1:56" thickBot="1">
      <c r="A2191" s="114"/>
      <c r="B2191" s="1015" t="s">
        <v>2355</v>
      </c>
      <c r="C2191" s="1016">
        <v>6196</v>
      </c>
      <c r="D2191" s="1017" t="s">
        <v>12</v>
      </c>
      <c r="E2191" s="1018"/>
      <c r="F2191" s="1019"/>
      <c r="G2191" s="1008"/>
      <c r="H2191" s="1008"/>
      <c r="I2191" s="1008"/>
      <c r="J2191" s="114"/>
      <c r="AU2191" s="117"/>
      <c r="AV2191" s="117"/>
      <c r="AW2191" s="117"/>
      <c r="AX2191" s="117"/>
      <c r="AY2191" s="117"/>
      <c r="AZ2191" s="117"/>
      <c r="BA2191" s="117"/>
      <c r="BB2191" s="117"/>
      <c r="BC2191" s="117"/>
      <c r="BD2191" s="117"/>
    </row>
    <row r="2192" spans="1:56" ht="15">
      <c r="A2192" s="114"/>
      <c r="B2192" s="288"/>
      <c r="C2192" s="6"/>
      <c r="D2192" s="6"/>
      <c r="E2192" s="6"/>
      <c r="F2192" s="6"/>
      <c r="G2192" s="362"/>
      <c r="H2192" s="362"/>
      <c r="I2192" s="362"/>
      <c r="J2192" s="114"/>
      <c r="AU2192" s="117"/>
      <c r="AV2192" s="117"/>
      <c r="AW2192" s="117"/>
      <c r="AX2192" s="117"/>
      <c r="AY2192" s="117"/>
      <c r="AZ2192" s="117"/>
      <c r="BA2192" s="117"/>
      <c r="BB2192" s="117"/>
      <c r="BC2192" s="117"/>
      <c r="BD2192" s="117"/>
    </row>
    <row r="2193" spans="1:56" thickBot="1">
      <c r="A2193" s="114"/>
      <c r="B2193" s="196"/>
      <c r="C2193" s="196"/>
      <c r="D2193" s="196"/>
      <c r="E2193" s="196"/>
      <c r="F2193" s="196"/>
      <c r="G2193" s="196"/>
      <c r="H2193" s="196"/>
      <c r="I2193" s="196"/>
      <c r="J2193" s="114"/>
      <c r="AW2193" s="117"/>
      <c r="AX2193" s="117"/>
      <c r="AY2193" s="117"/>
      <c r="AZ2193" s="117"/>
      <c r="BA2193" s="117"/>
      <c r="BB2193" s="117"/>
      <c r="BC2193" s="117"/>
      <c r="BD2193" s="117"/>
    </row>
    <row r="2194" spans="1:56">
      <c r="A2194" s="114"/>
      <c r="B2194" s="702" t="s">
        <v>320</v>
      </c>
      <c r="C2194" s="282"/>
      <c r="D2194" s="282"/>
      <c r="E2194" s="282"/>
      <c r="F2194" s="283"/>
      <c r="G2194" s="196"/>
      <c r="H2194" s="196"/>
      <c r="I2194" s="196"/>
      <c r="J2194" s="114"/>
      <c r="AW2194" s="117"/>
      <c r="AX2194" s="117"/>
      <c r="AY2194" s="117"/>
      <c r="AZ2194" s="117"/>
      <c r="BA2194" s="117"/>
      <c r="BB2194" s="117"/>
      <c r="BC2194" s="117"/>
      <c r="BD2194" s="117"/>
    </row>
    <row r="2195" spans="1:56" ht="15">
      <c r="A2195" s="114"/>
      <c r="B2195" s="693"/>
      <c r="C2195" s="196"/>
      <c r="D2195" s="196"/>
      <c r="E2195" s="196"/>
      <c r="F2195" s="284"/>
      <c r="G2195" s="196"/>
      <c r="H2195" s="196"/>
      <c r="I2195" s="196"/>
      <c r="J2195" s="114"/>
      <c r="AW2195" s="117"/>
      <c r="AX2195" s="117"/>
      <c r="AY2195" s="117"/>
      <c r="AZ2195" s="117"/>
      <c r="BA2195" s="117"/>
      <c r="BB2195" s="117"/>
      <c r="BC2195" s="117"/>
      <c r="BD2195" s="117"/>
    </row>
    <row r="2196" spans="1:56" ht="15">
      <c r="A2196" s="114"/>
      <c r="B2196" s="693"/>
      <c r="C2196" s="196"/>
      <c r="D2196" s="196"/>
      <c r="E2196" s="196"/>
      <c r="F2196" s="284"/>
      <c r="G2196" s="196"/>
      <c r="H2196" s="196"/>
      <c r="I2196" s="196"/>
      <c r="J2196" s="114"/>
      <c r="AW2196" s="117"/>
      <c r="AX2196" s="117"/>
      <c r="AY2196" s="117"/>
      <c r="AZ2196" s="117"/>
      <c r="BA2196" s="117"/>
      <c r="BB2196" s="117"/>
      <c r="BC2196" s="117"/>
      <c r="BD2196" s="117"/>
    </row>
    <row r="2197" spans="1:56" ht="15">
      <c r="A2197" s="114"/>
      <c r="B2197" s="691" t="s">
        <v>1200</v>
      </c>
      <c r="C2197" s="196"/>
      <c r="D2197" s="196"/>
      <c r="E2197" s="196"/>
      <c r="F2197" s="284"/>
      <c r="G2197" s="196"/>
      <c r="H2197" s="196"/>
      <c r="I2197" s="196"/>
      <c r="J2197" s="114"/>
      <c r="AW2197" s="117"/>
      <c r="AX2197" s="117"/>
      <c r="AY2197" s="117"/>
      <c r="AZ2197" s="117"/>
      <c r="BA2197" s="117"/>
      <c r="BB2197" s="117"/>
      <c r="BC2197" s="117"/>
      <c r="BD2197" s="117"/>
    </row>
    <row r="2198" spans="1:56" ht="15">
      <c r="A2198" s="114"/>
      <c r="B2198" s="716" t="s">
        <v>102</v>
      </c>
      <c r="C2198" s="285">
        <v>5801</v>
      </c>
      <c r="D2198" s="431" t="s">
        <v>12</v>
      </c>
      <c r="E2198" s="764" t="s">
        <v>1201</v>
      </c>
      <c r="F2198" s="437"/>
      <c r="G2198" s="196"/>
      <c r="H2198" s="196"/>
      <c r="I2198" s="196"/>
      <c r="J2198" s="114"/>
      <c r="AW2198" s="117"/>
      <c r="AX2198" s="117"/>
      <c r="AY2198" s="117"/>
      <c r="AZ2198" s="117"/>
      <c r="BA2198" s="117"/>
      <c r="BB2198" s="117"/>
      <c r="BC2198" s="117"/>
      <c r="BD2198" s="117"/>
    </row>
    <row r="2199" spans="1:56" ht="15">
      <c r="A2199" s="114"/>
      <c r="B2199" s="717"/>
      <c r="C2199" s="285">
        <v>1756</v>
      </c>
      <c r="D2199" s="434" t="s">
        <v>12</v>
      </c>
      <c r="E2199" s="766" t="s">
        <v>1202</v>
      </c>
      <c r="F2199" s="284"/>
      <c r="G2199" s="196"/>
      <c r="H2199" s="438"/>
      <c r="I2199" s="196"/>
      <c r="J2199" s="114"/>
      <c r="AW2199" s="117"/>
      <c r="AX2199" s="117"/>
      <c r="AY2199" s="117"/>
      <c r="AZ2199" s="117"/>
      <c r="BA2199" s="117"/>
      <c r="BB2199" s="117"/>
      <c r="BC2199" s="117"/>
      <c r="BD2199" s="117"/>
    </row>
    <row r="2200" spans="1:56" ht="15">
      <c r="A2200" s="114"/>
      <c r="B2200" s="717"/>
      <c r="C2200" s="285">
        <v>1399</v>
      </c>
      <c r="D2200" s="434" t="s">
        <v>12</v>
      </c>
      <c r="E2200" s="766" t="s">
        <v>1203</v>
      </c>
      <c r="F2200" s="284"/>
      <c r="G2200" s="196"/>
      <c r="H2200" s="196"/>
      <c r="I2200" s="196"/>
      <c r="J2200" s="114"/>
      <c r="AW2200" s="117"/>
      <c r="AX2200" s="117"/>
      <c r="AY2200" s="117"/>
      <c r="AZ2200" s="117"/>
      <c r="BA2200" s="117"/>
      <c r="BB2200" s="117"/>
      <c r="BC2200" s="117"/>
      <c r="BD2200" s="117"/>
    </row>
    <row r="2201" spans="1:56" ht="15">
      <c r="A2201" s="114"/>
      <c r="B2201" s="717"/>
      <c r="C2201" s="285">
        <v>3442</v>
      </c>
      <c r="D2201" s="434" t="s">
        <v>12</v>
      </c>
      <c r="E2201" s="766" t="s">
        <v>1204</v>
      </c>
      <c r="F2201" s="284"/>
      <c r="G2201" s="196"/>
      <c r="H2201" s="196"/>
      <c r="I2201" s="196"/>
      <c r="J2201" s="114"/>
      <c r="AW2201" s="117"/>
      <c r="AX2201" s="117"/>
      <c r="AY2201" s="117"/>
      <c r="AZ2201" s="117"/>
      <c r="BA2201" s="117"/>
      <c r="BB2201" s="117"/>
      <c r="BC2201" s="117"/>
      <c r="BD2201" s="117"/>
    </row>
    <row r="2202" spans="1:56" ht="15">
      <c r="A2202" s="114"/>
      <c r="B2202" s="718" t="s">
        <v>329</v>
      </c>
      <c r="C2202" s="285">
        <v>22</v>
      </c>
      <c r="D2202" s="431" t="s">
        <v>12</v>
      </c>
      <c r="E2202" s="764" t="s">
        <v>1202</v>
      </c>
      <c r="F2202" s="437"/>
      <c r="G2202" s="196"/>
      <c r="H2202" s="196"/>
      <c r="I2202" s="196"/>
      <c r="J2202" s="114"/>
      <c r="AW2202" s="117"/>
      <c r="AX2202" s="117"/>
      <c r="AY2202" s="117"/>
      <c r="AZ2202" s="117"/>
      <c r="BA2202" s="117"/>
      <c r="BB2202" s="117"/>
      <c r="BC2202" s="117"/>
      <c r="BD2202" s="117"/>
    </row>
    <row r="2203" spans="1:56" ht="15">
      <c r="A2203" s="114"/>
      <c r="B2203" s="719"/>
      <c r="C2203" s="285">
        <v>4</v>
      </c>
      <c r="D2203" s="435" t="s">
        <v>12</v>
      </c>
      <c r="E2203" s="765" t="s">
        <v>1203</v>
      </c>
      <c r="F2203" s="436"/>
      <c r="G2203" s="196"/>
      <c r="H2203" s="196"/>
      <c r="I2203" s="196"/>
      <c r="J2203" s="114"/>
      <c r="AW2203" s="117"/>
      <c r="AX2203" s="117"/>
      <c r="AY2203" s="117"/>
      <c r="AZ2203" s="117"/>
      <c r="BA2203" s="117"/>
      <c r="BB2203" s="117"/>
      <c r="BC2203" s="117"/>
      <c r="BD2203" s="117"/>
    </row>
    <row r="2204" spans="1:56">
      <c r="A2204" s="114"/>
      <c r="B2204" s="690"/>
      <c r="C2204" s="115"/>
      <c r="D2204" s="115"/>
      <c r="E2204" s="115"/>
      <c r="F2204" s="182"/>
      <c r="G2204" s="115"/>
      <c r="H2204" s="115"/>
      <c r="I2204" s="115"/>
      <c r="J2204" s="114"/>
      <c r="AW2204" s="117"/>
      <c r="AX2204" s="117"/>
      <c r="AY2204" s="117"/>
      <c r="AZ2204" s="117"/>
      <c r="BA2204" s="117"/>
      <c r="BB2204" s="117"/>
      <c r="BC2204" s="117"/>
      <c r="BD2204" s="117"/>
    </row>
    <row r="2205" spans="1:56" ht="15">
      <c r="A2205" s="114"/>
      <c r="B2205" s="691" t="s">
        <v>1802</v>
      </c>
      <c r="C2205" s="196"/>
      <c r="D2205" s="196"/>
      <c r="E2205" s="196"/>
      <c r="F2205" s="284"/>
      <c r="G2205" s="196"/>
      <c r="H2205" s="196"/>
      <c r="I2205" s="196"/>
      <c r="J2205" s="114"/>
      <c r="AW2205" s="117"/>
      <c r="AX2205" s="117"/>
      <c r="AY2205" s="117"/>
      <c r="AZ2205" s="117"/>
      <c r="BA2205" s="117"/>
      <c r="BB2205" s="117"/>
      <c r="BC2205" s="117"/>
      <c r="BD2205" s="117"/>
    </row>
    <row r="2206" spans="1:56" ht="15">
      <c r="A2206" s="114"/>
      <c r="B2206" s="716" t="s">
        <v>329</v>
      </c>
      <c r="C2206" s="285">
        <v>12</v>
      </c>
      <c r="D2206" s="390" t="s">
        <v>12</v>
      </c>
      <c r="E2206" s="764" t="s">
        <v>1205</v>
      </c>
      <c r="F2206" s="437"/>
      <c r="G2206" s="196"/>
      <c r="H2206" s="196"/>
      <c r="I2206" s="196"/>
      <c r="J2206" s="114"/>
      <c r="AW2206" s="117"/>
      <c r="AX2206" s="117"/>
      <c r="AY2206" s="117"/>
      <c r="AZ2206" s="117"/>
      <c r="BA2206" s="117"/>
      <c r="BB2206" s="117"/>
      <c r="BC2206" s="117"/>
      <c r="BD2206" s="117"/>
    </row>
    <row r="2207" spans="1:56" ht="15">
      <c r="A2207" s="114"/>
      <c r="B2207" s="716" t="s">
        <v>102</v>
      </c>
      <c r="C2207" s="285">
        <v>815</v>
      </c>
      <c r="D2207" s="286" t="s">
        <v>12</v>
      </c>
      <c r="E2207" s="766"/>
      <c r="F2207" s="284"/>
      <c r="G2207" s="196"/>
      <c r="H2207" s="196"/>
      <c r="I2207" s="196"/>
      <c r="J2207" s="114"/>
      <c r="AW2207" s="117"/>
      <c r="AX2207" s="117"/>
      <c r="AY2207" s="117"/>
      <c r="AZ2207" s="117"/>
      <c r="BA2207" s="117"/>
      <c r="BB2207" s="117"/>
      <c r="BC2207" s="117"/>
      <c r="BD2207" s="117"/>
    </row>
    <row r="2208" spans="1:56" ht="15">
      <c r="A2208" s="114"/>
      <c r="B2208" s="694"/>
      <c r="C2208" s="287"/>
      <c r="D2208" s="196"/>
      <c r="E2208" s="288"/>
      <c r="F2208" s="284"/>
      <c r="G2208" s="196"/>
      <c r="H2208" s="196"/>
      <c r="I2208" s="196"/>
      <c r="J2208" s="114"/>
      <c r="AW2208" s="117"/>
      <c r="AX2208" s="117"/>
      <c r="AY2208" s="117"/>
      <c r="AZ2208" s="117"/>
      <c r="BA2208" s="117"/>
      <c r="BB2208" s="117"/>
      <c r="BC2208" s="117"/>
      <c r="BD2208" s="117"/>
    </row>
    <row r="2209" spans="1:56" ht="15">
      <c r="A2209" s="114"/>
      <c r="B2209" s="691" t="s">
        <v>351</v>
      </c>
      <c r="C2209" s="287"/>
      <c r="D2209" s="196"/>
      <c r="E2209" s="288"/>
      <c r="F2209" s="284"/>
      <c r="G2209" s="196"/>
      <c r="H2209" s="196"/>
      <c r="I2209" s="196"/>
      <c r="J2209" s="114"/>
      <c r="AW2209" s="117"/>
      <c r="AX2209" s="117"/>
      <c r="AY2209" s="117"/>
      <c r="AZ2209" s="117"/>
      <c r="BA2209" s="117"/>
      <c r="BB2209" s="117"/>
      <c r="BC2209" s="117"/>
      <c r="BD2209" s="117"/>
    </row>
    <row r="2210" spans="1:56" ht="15">
      <c r="A2210" s="114"/>
      <c r="B2210" s="703" t="s">
        <v>352</v>
      </c>
      <c r="C2210" s="172"/>
      <c r="D2210" s="173"/>
      <c r="E2210" s="291">
        <f>SUM(C2189:C2191,C2198:C2201,C2207:C2207)</f>
        <v>24692</v>
      </c>
      <c r="F2210" s="139" t="s">
        <v>12</v>
      </c>
      <c r="G2210" s="362"/>
      <c r="H2210" s="362"/>
      <c r="I2210" s="362"/>
      <c r="J2210" s="114"/>
      <c r="AU2210" s="117"/>
      <c r="AV2210" s="117"/>
      <c r="AW2210" s="117"/>
      <c r="AX2210" s="117"/>
      <c r="AY2210" s="117"/>
      <c r="AZ2210" s="117"/>
      <c r="BA2210" s="117"/>
      <c r="BB2210" s="117"/>
      <c r="BC2210" s="117"/>
      <c r="BD2210" s="117"/>
    </row>
    <row r="2211" spans="1:56" thickBot="1">
      <c r="A2211" s="114"/>
      <c r="B2211" s="720" t="s">
        <v>353</v>
      </c>
      <c r="C2211" s="174"/>
      <c r="D2211" s="176"/>
      <c r="E2211" s="428">
        <f>SUM(C2202:C2203,C2206:C2206)</f>
        <v>38</v>
      </c>
      <c r="F2211" s="440" t="s">
        <v>12</v>
      </c>
      <c r="G2211" s="362"/>
      <c r="H2211" s="362"/>
      <c r="I2211" s="362"/>
      <c r="J2211" s="114"/>
      <c r="AU2211" s="117"/>
      <c r="AV2211" s="117"/>
      <c r="AW2211" s="117"/>
      <c r="AX2211" s="117"/>
      <c r="AY2211" s="117"/>
      <c r="AZ2211" s="117"/>
      <c r="BA2211" s="117"/>
      <c r="BB2211" s="117"/>
      <c r="BC2211" s="117"/>
      <c r="BD2211" s="117"/>
    </row>
    <row r="2212" spans="1:56" ht="16.5" thickBot="1">
      <c r="A2212" s="114"/>
      <c r="B2212" s="115"/>
      <c r="C2212" s="115"/>
      <c r="D2212" s="115"/>
      <c r="E2212" s="115"/>
      <c r="F2212" s="115"/>
      <c r="G2212" s="115"/>
      <c r="H2212" s="115"/>
      <c r="I2212" s="115"/>
      <c r="J2212" s="114"/>
      <c r="AW2212" s="117"/>
      <c r="AX2212" s="117"/>
      <c r="AY2212" s="117"/>
      <c r="AZ2212" s="117"/>
      <c r="BA2212" s="117"/>
      <c r="BB2212" s="117"/>
      <c r="BC2212" s="117"/>
      <c r="BD2212" s="117"/>
    </row>
    <row r="2213" spans="1:56" ht="24.75" thickTop="1" thickBot="1">
      <c r="A2213" s="114"/>
      <c r="B2213" s="563" t="s">
        <v>91</v>
      </c>
      <c r="C2213" s="381"/>
      <c r="D2213" s="381"/>
      <c r="E2213" s="381"/>
      <c r="F2213" s="381"/>
      <c r="G2213" s="381"/>
      <c r="H2213" s="381"/>
      <c r="I2213" s="381"/>
      <c r="J2213" s="381"/>
    </row>
    <row r="2214" spans="1:56" thickTop="1">
      <c r="A2214" s="114"/>
      <c r="B2214" s="564"/>
      <c r="C2214" s="180"/>
      <c r="D2214" s="180"/>
      <c r="E2214" s="180"/>
      <c r="F2214" s="180"/>
      <c r="G2214" s="180"/>
      <c r="H2214" s="234"/>
      <c r="I2214" s="234"/>
      <c r="J2214" s="234"/>
    </row>
    <row r="2215" spans="1:56" ht="15">
      <c r="A2215" s="114"/>
      <c r="B2215" s="760" t="s">
        <v>2271</v>
      </c>
      <c r="C2215" s="382"/>
      <c r="D2215" s="382"/>
      <c r="E2215" s="382"/>
      <c r="F2215" s="382"/>
      <c r="G2215" s="382"/>
      <c r="H2215" s="383"/>
      <c r="I2215" s="383"/>
      <c r="J2215" s="351"/>
      <c r="AW2215" s="117"/>
      <c r="AX2215" s="117"/>
      <c r="AY2215" s="117"/>
      <c r="AZ2215" s="117"/>
      <c r="BA2215" s="117"/>
      <c r="BB2215" s="117"/>
      <c r="BC2215" s="117"/>
      <c r="BD2215" s="117"/>
    </row>
    <row r="2216" spans="1:56" ht="15">
      <c r="A2216" s="114"/>
      <c r="B2216" s="293"/>
      <c r="C2216" s="387"/>
      <c r="D2216" s="387"/>
      <c r="E2216" s="387"/>
      <c r="F2216" s="387"/>
      <c r="G2216" s="387"/>
      <c r="H2216" s="386"/>
      <c r="I2216" s="386"/>
      <c r="J2216" s="114"/>
      <c r="AW2216" s="117"/>
      <c r="AX2216" s="117"/>
      <c r="AY2216" s="117"/>
      <c r="AZ2216" s="117"/>
      <c r="BA2216" s="117"/>
      <c r="BB2216" s="117"/>
      <c r="BC2216" s="117"/>
      <c r="BD2216" s="117"/>
    </row>
    <row r="2217" spans="1:56" ht="15">
      <c r="A2217" s="114"/>
      <c r="B2217" s="288" t="s">
        <v>1788</v>
      </c>
      <c r="C2217" s="230"/>
      <c r="D2217" s="230"/>
      <c r="E2217" s="384"/>
      <c r="F2217" s="196"/>
      <c r="G2217" s="196"/>
      <c r="H2217" s="196"/>
      <c r="I2217" s="196"/>
      <c r="J2217" s="114"/>
      <c r="AW2217" s="117"/>
      <c r="AX2217" s="117"/>
      <c r="AY2217" s="117"/>
      <c r="AZ2217" s="117"/>
      <c r="BA2217" s="117"/>
      <c r="BB2217" s="117"/>
      <c r="BC2217" s="117"/>
      <c r="BD2217" s="117"/>
    </row>
    <row r="2218" spans="1:56" ht="15">
      <c r="A2218" s="114"/>
      <c r="B2218" s="293"/>
      <c r="C2218" s="387"/>
      <c r="D2218" s="387"/>
      <c r="E2218" s="387"/>
      <c r="F2218" s="387"/>
      <c r="G2218" s="387"/>
      <c r="H2218" s="386"/>
      <c r="I2218" s="386"/>
      <c r="J2218" s="114"/>
      <c r="AW2218" s="117"/>
      <c r="AX2218" s="117"/>
      <c r="AY2218" s="117"/>
      <c r="AZ2218" s="117"/>
      <c r="BA2218" s="117"/>
      <c r="BB2218" s="117"/>
      <c r="BC2218" s="117"/>
      <c r="BD2218" s="117"/>
    </row>
    <row r="2219" spans="1:56">
      <c r="A2219" s="114"/>
      <c r="B2219" s="385" t="s">
        <v>1206</v>
      </c>
      <c r="C2219" s="196"/>
      <c r="D2219" s="196"/>
      <c r="E2219" s="196"/>
      <c r="F2219" s="196"/>
      <c r="G2219" s="196"/>
      <c r="H2219" s="196"/>
      <c r="I2219" s="196"/>
      <c r="J2219" s="196"/>
      <c r="AX2219" s="117"/>
      <c r="AY2219" s="117"/>
      <c r="AZ2219" s="117"/>
      <c r="BA2219" s="117"/>
      <c r="BB2219" s="117"/>
      <c r="BC2219" s="117"/>
      <c r="BD2219" s="117"/>
    </row>
    <row r="2220" spans="1:56" ht="16.5" customHeight="1">
      <c r="A2220" s="114"/>
      <c r="B2220" s="362"/>
      <c r="C2220" s="362"/>
      <c r="D2220" s="362"/>
      <c r="E2220" s="362"/>
      <c r="F2220" s="404"/>
      <c r="G2220" s="404"/>
      <c r="H2220" s="404"/>
      <c r="I2220" s="404"/>
      <c r="J2220" s="404"/>
      <c r="AX2220" s="117"/>
      <c r="AY2220" s="117"/>
      <c r="AZ2220" s="117"/>
      <c r="BA2220" s="117"/>
      <c r="BB2220" s="117"/>
      <c r="BC2220" s="117"/>
      <c r="BD2220" s="117"/>
    </row>
    <row r="2221" spans="1:56" ht="15" customHeight="1">
      <c r="A2221" s="114"/>
      <c r="B2221" s="388" t="s">
        <v>1207</v>
      </c>
      <c r="C2221" s="389">
        <v>0</v>
      </c>
      <c r="D2221" s="390" t="s">
        <v>10</v>
      </c>
      <c r="E2221" s="196"/>
      <c r="F2221" s="405"/>
      <c r="G2221" s="441" t="s">
        <v>1142</v>
      </c>
      <c r="H2221" s="442">
        <f>C2221*C2222</f>
        <v>0</v>
      </c>
      <c r="I2221" s="443" t="s">
        <v>1208</v>
      </c>
      <c r="J2221" s="405"/>
      <c r="AX2221" s="117"/>
      <c r="AY2221" s="117"/>
      <c r="AZ2221" s="117"/>
      <c r="BA2221" s="117"/>
      <c r="BB2221" s="117"/>
      <c r="BC2221" s="117"/>
      <c r="BD2221" s="117"/>
    </row>
    <row r="2222" spans="1:56" ht="15">
      <c r="A2222" s="114"/>
      <c r="B2222" s="388" t="s">
        <v>1207</v>
      </c>
      <c r="C2222" s="389">
        <v>0</v>
      </c>
      <c r="D2222" s="390" t="s">
        <v>10</v>
      </c>
      <c r="E2222" s="196"/>
      <c r="F2222" s="405"/>
      <c r="G2222" s="441" t="e">
        <f>TEXT(C2230,"tg 0°=")</f>
        <v>#VALUE!</v>
      </c>
      <c r="H2222" s="444">
        <f>TAN(3.14159265359*C2230/180)</f>
        <v>1.732050807569153</v>
      </c>
      <c r="I2222" s="443"/>
      <c r="J2222" s="405"/>
      <c r="AX2222" s="117"/>
      <c r="AY2222" s="117"/>
      <c r="AZ2222" s="117"/>
      <c r="BA2222" s="117"/>
      <c r="BB2222" s="117"/>
      <c r="BC2222" s="117"/>
      <c r="BD2222" s="117"/>
    </row>
    <row r="2223" spans="1:56" ht="15">
      <c r="A2223" s="114"/>
      <c r="B2223" s="388" t="s">
        <v>1110</v>
      </c>
      <c r="C2223" s="389">
        <v>6</v>
      </c>
      <c r="D2223" s="390" t="s">
        <v>10</v>
      </c>
      <c r="E2223" s="196"/>
      <c r="F2223" s="405"/>
      <c r="G2223" s="441"/>
      <c r="H2223" s="442"/>
      <c r="I2223" s="443"/>
      <c r="J2223" s="405"/>
      <c r="AX2223" s="117"/>
      <c r="AY2223" s="117"/>
      <c r="AZ2223" s="117"/>
      <c r="BA2223" s="117"/>
      <c r="BB2223" s="117"/>
      <c r="BC2223" s="117"/>
      <c r="BD2223" s="117"/>
    </row>
    <row r="2224" spans="1:56" ht="18">
      <c r="A2224" s="114"/>
      <c r="B2224" s="388" t="s">
        <v>1111</v>
      </c>
      <c r="C2224" s="389">
        <v>6</v>
      </c>
      <c r="D2224" s="390" t="s">
        <v>10</v>
      </c>
      <c r="E2224" s="196"/>
      <c r="F2224" s="405"/>
      <c r="G2224" s="441" t="s">
        <v>1142</v>
      </c>
      <c r="H2224" s="445">
        <f>(C2224+2*C2232+2*(C2227+0.05)/H2222)*(C2223+2*C2232+2*(C2227+0.05)/H2222)</f>
        <v>60.071108232582667</v>
      </c>
      <c r="I2224" s="443" t="s">
        <v>1208</v>
      </c>
      <c r="J2224" s="405"/>
      <c r="AX2224" s="117"/>
      <c r="AY2224" s="117"/>
      <c r="AZ2224" s="117"/>
      <c r="BA2224" s="117"/>
      <c r="BB2224" s="117"/>
      <c r="BC2224" s="117"/>
      <c r="BD2224" s="117"/>
    </row>
    <row r="2225" spans="1:56" ht="18">
      <c r="A2225" s="114"/>
      <c r="B2225" s="388" t="s">
        <v>1112</v>
      </c>
      <c r="C2225" s="389">
        <v>1.2</v>
      </c>
      <c r="D2225" s="390" t="s">
        <v>10</v>
      </c>
      <c r="E2225" s="196"/>
      <c r="F2225" s="405"/>
      <c r="G2225" s="441" t="s">
        <v>1147</v>
      </c>
      <c r="H2225" s="445">
        <f>(C2223+2*C2232)*(C2224+2*C2232)</f>
        <v>49</v>
      </c>
      <c r="I2225" s="443" t="s">
        <v>1208</v>
      </c>
      <c r="J2225" s="405"/>
      <c r="AX2225" s="117"/>
      <c r="AY2225" s="117"/>
      <c r="AZ2225" s="117"/>
      <c r="BA2225" s="117"/>
      <c r="BB2225" s="117"/>
      <c r="BC2225" s="117"/>
      <c r="BD2225" s="117"/>
    </row>
    <row r="2226" spans="1:56" ht="15">
      <c r="A2226" s="114"/>
      <c r="B2226" s="388" t="s">
        <v>1113</v>
      </c>
      <c r="C2226" s="389">
        <v>0.6</v>
      </c>
      <c r="D2226" s="390" t="s">
        <v>10</v>
      </c>
      <c r="E2226" s="196"/>
      <c r="F2226" s="405"/>
      <c r="G2226" s="441"/>
      <c r="H2226" s="442"/>
      <c r="I2226" s="443"/>
      <c r="J2226" s="405"/>
      <c r="AX2226" s="117"/>
      <c r="AY2226" s="117"/>
      <c r="AZ2226" s="117"/>
      <c r="BA2226" s="117"/>
      <c r="BB2226" s="117"/>
      <c r="BC2226" s="117"/>
      <c r="BD2226" s="117"/>
    </row>
    <row r="2227" spans="1:56" ht="15">
      <c r="A2227" s="114"/>
      <c r="B2227" s="388" t="s">
        <v>1114</v>
      </c>
      <c r="C2227" s="389">
        <v>0.6</v>
      </c>
      <c r="D2227" s="390" t="s">
        <v>10</v>
      </c>
      <c r="E2227" s="196"/>
      <c r="F2227" s="405"/>
      <c r="G2227" s="441"/>
      <c r="H2227" s="442"/>
      <c r="I2227" s="443"/>
      <c r="J2227" s="405"/>
      <c r="AX2227" s="117"/>
      <c r="AY2227" s="117"/>
      <c r="AZ2227" s="117"/>
      <c r="BA2227" s="117"/>
      <c r="BB2227" s="117"/>
      <c r="BC2227" s="117"/>
      <c r="BD2227" s="117"/>
    </row>
    <row r="2228" spans="1:56" ht="15">
      <c r="A2228" s="114"/>
      <c r="B2228" s="388" t="s">
        <v>1117</v>
      </c>
      <c r="C2228" s="391">
        <v>3</v>
      </c>
      <c r="D2228" s="390" t="s">
        <v>1118</v>
      </c>
      <c r="E2228" s="196"/>
      <c r="F2228" s="405"/>
      <c r="G2228" s="406"/>
      <c r="H2228" s="407"/>
      <c r="I2228" s="405"/>
      <c r="J2228" s="405"/>
      <c r="AX2228" s="117"/>
      <c r="AY2228" s="117"/>
      <c r="AZ2228" s="117"/>
      <c r="BA2228" s="117"/>
      <c r="BB2228" s="117"/>
      <c r="BC2228" s="117"/>
      <c r="BD2228" s="117"/>
    </row>
    <row r="2229" spans="1:56" ht="15">
      <c r="A2229" s="114"/>
      <c r="B2229" s="196" t="s">
        <v>1148</v>
      </c>
      <c r="C2229" s="393"/>
      <c r="D2229" s="196"/>
      <c r="E2229" s="196"/>
      <c r="F2229" s="405"/>
      <c r="G2229" s="406"/>
      <c r="H2229" s="407"/>
      <c r="I2229" s="405"/>
      <c r="J2229" s="405"/>
      <c r="AX2229" s="117"/>
      <c r="AY2229" s="117"/>
      <c r="AZ2229" s="117"/>
      <c r="BA2229" s="117"/>
      <c r="BB2229" s="117"/>
      <c r="BC2229" s="117"/>
      <c r="BD2229" s="117"/>
    </row>
    <row r="2230" spans="1:56" ht="15">
      <c r="A2230" s="114"/>
      <c r="B2230" s="388" t="s">
        <v>1149</v>
      </c>
      <c r="C2230" s="389">
        <v>60</v>
      </c>
      <c r="D2230" s="390" t="s">
        <v>1150</v>
      </c>
      <c r="E2230" s="196"/>
      <c r="F2230" s="196"/>
      <c r="G2230" s="392"/>
      <c r="H2230" s="393"/>
      <c r="I2230" s="196"/>
      <c r="J2230" s="196"/>
      <c r="AX2230" s="117"/>
      <c r="AY2230" s="117"/>
      <c r="AZ2230" s="117"/>
      <c r="BA2230" s="117"/>
      <c r="BB2230" s="117"/>
      <c r="BC2230" s="117"/>
      <c r="BD2230" s="117"/>
    </row>
    <row r="2231" spans="1:56" ht="15">
      <c r="A2231" s="114"/>
      <c r="B2231" s="362"/>
      <c r="C2231" s="196"/>
      <c r="D2231" s="196"/>
      <c r="E2231" s="196"/>
      <c r="F2231" s="196"/>
      <c r="G2231" s="362"/>
      <c r="H2231" s="362"/>
      <c r="I2231" s="362"/>
      <c r="J2231" s="196"/>
      <c r="AX2231" s="117"/>
      <c r="AY2231" s="117"/>
      <c r="AZ2231" s="117"/>
      <c r="BA2231" s="117"/>
      <c r="BB2231" s="117"/>
      <c r="BC2231" s="117"/>
      <c r="BD2231" s="117"/>
    </row>
    <row r="2232" spans="1:56">
      <c r="A2232" s="114"/>
      <c r="B2232" s="388" t="s">
        <v>1115</v>
      </c>
      <c r="C2232" s="389">
        <v>0.5</v>
      </c>
      <c r="D2232" s="390" t="s">
        <v>10</v>
      </c>
      <c r="E2232" s="288" t="s">
        <v>1120</v>
      </c>
      <c r="F2232" s="196"/>
      <c r="G2232" s="362"/>
      <c r="H2232" s="115"/>
      <c r="I2232" s="362"/>
      <c r="J2232" s="196"/>
      <c r="AX2232" s="117"/>
      <c r="AY2232" s="117"/>
      <c r="AZ2232" s="117"/>
      <c r="BA2232" s="117"/>
      <c r="BB2232" s="117"/>
      <c r="BC2232" s="117"/>
      <c r="BD2232" s="117"/>
    </row>
    <row r="2233" spans="1:56" ht="15">
      <c r="A2233" s="114"/>
      <c r="B2233" s="388" t="s">
        <v>1115</v>
      </c>
      <c r="C2233" s="389">
        <v>0.1</v>
      </c>
      <c r="D2233" s="390" t="s">
        <v>10</v>
      </c>
      <c r="E2233" s="288" t="s">
        <v>1121</v>
      </c>
      <c r="F2233" s="196"/>
      <c r="G2233" s="196"/>
      <c r="H2233" s="196"/>
      <c r="I2233" s="196"/>
      <c r="J2233" s="196"/>
      <c r="AX2233" s="117"/>
      <c r="AY2233" s="117"/>
      <c r="AZ2233" s="117"/>
      <c r="BA2233" s="117"/>
      <c r="BB2233" s="117"/>
      <c r="BC2233" s="117"/>
      <c r="BD2233" s="117"/>
    </row>
    <row r="2234" spans="1:56" ht="15">
      <c r="A2234" s="114"/>
      <c r="B2234" s="362"/>
      <c r="C2234" s="362"/>
      <c r="D2234" s="362"/>
      <c r="E2234" s="362"/>
      <c r="F2234" s="362"/>
      <c r="G2234" s="114"/>
      <c r="H2234" s="362"/>
      <c r="I2234" s="196"/>
      <c r="J2234" s="196"/>
      <c r="AX2234" s="117"/>
      <c r="AY2234" s="117"/>
      <c r="AZ2234" s="117"/>
      <c r="BA2234" s="117"/>
      <c r="BB2234" s="117"/>
      <c r="BC2234" s="117"/>
      <c r="BD2234" s="117"/>
    </row>
    <row r="2235" spans="1:56" ht="15">
      <c r="A2235" s="114"/>
      <c r="B2235" s="303" t="s">
        <v>1122</v>
      </c>
      <c r="C2235" s="362"/>
      <c r="D2235" s="362"/>
      <c r="E2235" s="362"/>
      <c r="F2235" s="362"/>
      <c r="G2235" s="196"/>
      <c r="H2235" s="196"/>
      <c r="I2235" s="196"/>
      <c r="J2235" s="196"/>
      <c r="AX2235" s="117"/>
      <c r="AY2235" s="117"/>
      <c r="AZ2235" s="117"/>
      <c r="BA2235" s="117"/>
      <c r="BB2235" s="117"/>
      <c r="BC2235" s="117"/>
      <c r="BD2235" s="117"/>
    </row>
    <row r="2236" spans="1:56" ht="18">
      <c r="A2236" s="114"/>
      <c r="B2236" s="398" t="s">
        <v>1123</v>
      </c>
      <c r="C2236" s="172"/>
      <c r="D2236" s="173"/>
      <c r="E2236" s="397">
        <f>(((H2224+H2225)/2)*(C2227+0.05))*C2228</f>
        <v>106.34433052676812</v>
      </c>
      <c r="F2236" s="390" t="s">
        <v>1124</v>
      </c>
      <c r="G2236" s="196"/>
      <c r="H2236" s="115"/>
      <c r="I2236" s="362"/>
      <c r="J2236" s="362"/>
      <c r="AX2236" s="117"/>
      <c r="AY2236" s="117"/>
      <c r="AZ2236" s="117"/>
      <c r="BA2236" s="117"/>
      <c r="BB2236" s="117"/>
      <c r="BC2236" s="117"/>
      <c r="BD2236" s="117"/>
    </row>
    <row r="2237" spans="1:56" ht="18">
      <c r="A2237" s="114"/>
      <c r="B2237" s="398" t="s">
        <v>1125</v>
      </c>
      <c r="C2237" s="172"/>
      <c r="D2237" s="173"/>
      <c r="E2237" s="400">
        <f>E2236-(E2242+E2244-(C2223*C2224*C2226*C2228))</f>
        <v>35.77833052676813</v>
      </c>
      <c r="F2237" s="390" t="s">
        <v>1124</v>
      </c>
      <c r="G2237" s="196"/>
      <c r="H2237" s="196"/>
      <c r="I2237" s="196"/>
      <c r="J2237" s="196"/>
      <c r="AX2237" s="117"/>
      <c r="AY2237" s="117"/>
      <c r="AZ2237" s="117"/>
      <c r="BA2237" s="117"/>
      <c r="BB2237" s="117"/>
      <c r="BC2237" s="117"/>
      <c r="BD2237" s="117"/>
    </row>
    <row r="2238" spans="1:56" ht="15">
      <c r="A2238" s="114"/>
      <c r="B2238" s="398" t="s">
        <v>1126</v>
      </c>
      <c r="C2238" s="172"/>
      <c r="D2238" s="173"/>
      <c r="E2238" s="400">
        <f>((C2223+2*C2233)*(C2224+2*C2233))*C2228</f>
        <v>115.32000000000002</v>
      </c>
      <c r="F2238" s="390" t="s">
        <v>13</v>
      </c>
      <c r="G2238" s="362"/>
      <c r="H2238" s="362"/>
      <c r="I2238" s="362"/>
      <c r="J2238" s="362"/>
      <c r="AX2238" s="117"/>
      <c r="AY2238" s="117"/>
      <c r="AZ2238" s="117"/>
      <c r="BA2238" s="117"/>
      <c r="BB2238" s="117"/>
      <c r="BC2238" s="117"/>
      <c r="BD2238" s="117"/>
    </row>
    <row r="2239" spans="1:56" ht="15">
      <c r="A2239" s="114"/>
      <c r="B2239" s="362"/>
      <c r="C2239" s="362"/>
      <c r="D2239" s="362"/>
      <c r="E2239" s="401"/>
      <c r="F2239" s="196"/>
      <c r="G2239" s="362"/>
      <c r="H2239" s="362"/>
      <c r="I2239" s="362"/>
      <c r="J2239" s="362"/>
      <c r="AX2239" s="117"/>
      <c r="AY2239" s="117"/>
      <c r="AZ2239" s="117"/>
      <c r="BA2239" s="117"/>
      <c r="BB2239" s="117"/>
      <c r="BC2239" s="117"/>
      <c r="BD2239" s="117"/>
    </row>
    <row r="2240" spans="1:56" ht="15">
      <c r="A2240" s="114"/>
      <c r="B2240" s="362"/>
      <c r="C2240" s="362"/>
      <c r="D2240" s="362"/>
      <c r="E2240" s="410"/>
      <c r="F2240" s="362"/>
      <c r="G2240" s="362"/>
      <c r="H2240" s="362"/>
      <c r="I2240" s="362"/>
      <c r="J2240" s="362"/>
      <c r="AX2240" s="117"/>
      <c r="AY2240" s="117"/>
      <c r="AZ2240" s="117"/>
      <c r="BA2240" s="117"/>
      <c r="BB2240" s="117"/>
      <c r="BC2240" s="117"/>
      <c r="BD2240" s="117"/>
    </row>
    <row r="2241" spans="1:56" ht="15">
      <c r="A2241" s="114"/>
      <c r="B2241" s="303" t="s">
        <v>1209</v>
      </c>
      <c r="C2241" s="362"/>
      <c r="D2241" s="362"/>
      <c r="E2241" s="410"/>
      <c r="F2241" s="362"/>
      <c r="G2241" s="362"/>
      <c r="H2241" s="196" t="s">
        <v>1131</v>
      </c>
      <c r="I2241" s="362"/>
      <c r="J2241" s="362"/>
      <c r="AX2241" s="117"/>
      <c r="AY2241" s="117"/>
      <c r="AZ2241" s="117"/>
      <c r="BA2241" s="117"/>
      <c r="BB2241" s="117"/>
      <c r="BC2241" s="117"/>
      <c r="BD2241" s="117"/>
    </row>
    <row r="2242" spans="1:56" ht="18">
      <c r="A2242" s="114"/>
      <c r="B2242" s="398" t="s">
        <v>1128</v>
      </c>
      <c r="C2242" s="172"/>
      <c r="D2242" s="173"/>
      <c r="E2242" s="402">
        <f>E2238*0.05</f>
        <v>5.7660000000000018</v>
      </c>
      <c r="F2242" s="390" t="s">
        <v>1124</v>
      </c>
      <c r="G2242" s="362"/>
      <c r="H2242" s="362"/>
      <c r="I2242" s="362"/>
      <c r="J2242" s="362"/>
      <c r="AX2242" s="117"/>
      <c r="AY2242" s="117"/>
      <c r="AZ2242" s="117"/>
      <c r="BA2242" s="117"/>
      <c r="BB2242" s="117"/>
      <c r="BC2242" s="117"/>
      <c r="BD2242" s="117"/>
    </row>
    <row r="2243" spans="1:56" ht="15">
      <c r="A2243" s="114"/>
      <c r="B2243" s="398" t="s">
        <v>1129</v>
      </c>
      <c r="C2243" s="172"/>
      <c r="D2243" s="173"/>
      <c r="E2243" s="397">
        <f>(2*(C2223+C2224)*C2225)*C2228</f>
        <v>86.399999999999991</v>
      </c>
      <c r="F2243" s="390" t="s">
        <v>13</v>
      </c>
      <c r="G2243" s="362"/>
      <c r="H2243" s="362"/>
      <c r="I2243" s="362"/>
      <c r="J2243" s="362"/>
      <c r="AX2243" s="117"/>
      <c r="AY2243" s="117"/>
      <c r="AZ2243" s="117"/>
      <c r="BA2243" s="117"/>
      <c r="BB2243" s="117"/>
      <c r="BC2243" s="117"/>
      <c r="BD2243" s="117"/>
    </row>
    <row r="2244" spans="1:56" ht="18">
      <c r="A2244" s="114"/>
      <c r="B2244" s="398" t="s">
        <v>1130</v>
      </c>
      <c r="C2244" s="172"/>
      <c r="D2244" s="173"/>
      <c r="E2244" s="402">
        <f>(C2223*C2224*C2225)*C2228</f>
        <v>129.6</v>
      </c>
      <c r="F2244" s="390" t="s">
        <v>1124</v>
      </c>
      <c r="G2244" s="362"/>
      <c r="H2244" s="362"/>
      <c r="I2244" s="362"/>
      <c r="J2244" s="362"/>
      <c r="AX2244" s="117"/>
      <c r="AY2244" s="117"/>
      <c r="AZ2244" s="117"/>
      <c r="BA2244" s="117"/>
      <c r="BB2244" s="117"/>
      <c r="BC2244" s="117"/>
      <c r="BD2244" s="117"/>
    </row>
    <row r="2245" spans="1:56" ht="15">
      <c r="A2245" s="114"/>
      <c r="B2245" s="293"/>
      <c r="C2245" s="387"/>
      <c r="D2245" s="387"/>
      <c r="E2245" s="387"/>
      <c r="F2245" s="387"/>
      <c r="G2245" s="387"/>
      <c r="H2245" s="386"/>
      <c r="I2245" s="386"/>
      <c r="J2245" s="114"/>
      <c r="AW2245" s="117"/>
      <c r="AX2245" s="117"/>
      <c r="AY2245" s="117"/>
      <c r="AZ2245" s="117"/>
      <c r="BA2245" s="117"/>
      <c r="BB2245" s="117"/>
      <c r="BC2245" s="117"/>
      <c r="BD2245" s="117"/>
    </row>
    <row r="2246" spans="1:56" ht="15">
      <c r="A2246" s="114"/>
      <c r="B2246" s="293"/>
      <c r="C2246" s="387"/>
      <c r="D2246" s="387"/>
      <c r="E2246" s="387"/>
      <c r="F2246" s="387"/>
      <c r="G2246" s="387"/>
      <c r="H2246" s="386"/>
      <c r="I2246" s="386"/>
      <c r="J2246" s="114"/>
      <c r="AW2246" s="117"/>
      <c r="AX2246" s="117"/>
      <c r="AY2246" s="117"/>
      <c r="AZ2246" s="117"/>
      <c r="BA2246" s="117"/>
      <c r="BB2246" s="117"/>
      <c r="BC2246" s="117"/>
      <c r="BD2246" s="117"/>
    </row>
    <row r="2247" spans="1:56">
      <c r="A2247" s="114"/>
      <c r="B2247" s="385" t="s">
        <v>1210</v>
      </c>
      <c r="C2247" s="196"/>
      <c r="D2247" s="196"/>
      <c r="E2247" s="196"/>
      <c r="F2247" s="196"/>
      <c r="G2247" s="196"/>
      <c r="H2247" s="196"/>
      <c r="I2247" s="196"/>
      <c r="J2247" s="196"/>
      <c r="AX2247" s="117"/>
      <c r="AY2247" s="117"/>
      <c r="AZ2247" s="117"/>
      <c r="BA2247" s="117"/>
      <c r="BB2247" s="117"/>
      <c r="BC2247" s="117"/>
      <c r="BD2247" s="117"/>
    </row>
    <row r="2248" spans="1:56" ht="15">
      <c r="A2248" s="114"/>
      <c r="B2248" s="362"/>
      <c r="C2248" s="362"/>
      <c r="D2248" s="362"/>
      <c r="E2248" s="362"/>
      <c r="F2248" s="404"/>
      <c r="G2248" s="404"/>
      <c r="H2248" s="404"/>
      <c r="I2248" s="404"/>
      <c r="J2248" s="404"/>
      <c r="AX2248" s="117"/>
      <c r="AY2248" s="117"/>
      <c r="AZ2248" s="117"/>
      <c r="BA2248" s="117"/>
      <c r="BB2248" s="117"/>
      <c r="BC2248" s="117"/>
      <c r="BD2248" s="117"/>
    </row>
    <row r="2249" spans="1:56" ht="18">
      <c r="A2249" s="114"/>
      <c r="B2249" s="388" t="s">
        <v>1207</v>
      </c>
      <c r="C2249" s="389">
        <v>0</v>
      </c>
      <c r="D2249" s="390" t="s">
        <v>10</v>
      </c>
      <c r="E2249" s="196"/>
      <c r="F2249" s="405"/>
      <c r="G2249" s="441" t="s">
        <v>1142</v>
      </c>
      <c r="H2249" s="442">
        <f>C2249*C2250</f>
        <v>0</v>
      </c>
      <c r="I2249" s="443" t="s">
        <v>1208</v>
      </c>
      <c r="J2249" s="405"/>
      <c r="AX2249" s="117"/>
      <c r="AY2249" s="117"/>
      <c r="AZ2249" s="117"/>
      <c r="BA2249" s="117"/>
      <c r="BB2249" s="117"/>
      <c r="BC2249" s="117"/>
      <c r="BD2249" s="117"/>
    </row>
    <row r="2250" spans="1:56" ht="15">
      <c r="A2250" s="114"/>
      <c r="B2250" s="388" t="s">
        <v>1207</v>
      </c>
      <c r="C2250" s="389">
        <v>0</v>
      </c>
      <c r="D2250" s="390" t="s">
        <v>10</v>
      </c>
      <c r="E2250" s="196"/>
      <c r="F2250" s="405"/>
      <c r="G2250" s="441" t="e">
        <f>TEXT(C2258,"tg 0°=")</f>
        <v>#VALUE!</v>
      </c>
      <c r="H2250" s="444">
        <f>TAN(3.14159265359*C2258/180)</f>
        <v>1.732050807569153</v>
      </c>
      <c r="I2250" s="443"/>
      <c r="J2250" s="405"/>
      <c r="AX2250" s="117"/>
      <c r="AY2250" s="117"/>
      <c r="AZ2250" s="117"/>
      <c r="BA2250" s="117"/>
      <c r="BB2250" s="117"/>
      <c r="BC2250" s="117"/>
      <c r="BD2250" s="117"/>
    </row>
    <row r="2251" spans="1:56" ht="15">
      <c r="A2251" s="114"/>
      <c r="B2251" s="388" t="s">
        <v>1110</v>
      </c>
      <c r="C2251" s="389">
        <v>4.2</v>
      </c>
      <c r="D2251" s="390" t="s">
        <v>10</v>
      </c>
      <c r="E2251" s="196"/>
      <c r="F2251" s="405"/>
      <c r="G2251" s="441"/>
      <c r="H2251" s="442"/>
      <c r="I2251" s="443"/>
      <c r="J2251" s="405"/>
      <c r="AX2251" s="117"/>
      <c r="AY2251" s="117"/>
      <c r="AZ2251" s="117"/>
      <c r="BA2251" s="117"/>
      <c r="BB2251" s="117"/>
      <c r="BC2251" s="117"/>
      <c r="BD2251" s="117"/>
    </row>
    <row r="2252" spans="1:56" ht="18">
      <c r="A2252" s="114"/>
      <c r="B2252" s="388" t="s">
        <v>1111</v>
      </c>
      <c r="C2252" s="389">
        <v>1.9</v>
      </c>
      <c r="D2252" s="390" t="s">
        <v>10</v>
      </c>
      <c r="E2252" s="196"/>
      <c r="F2252" s="405"/>
      <c r="G2252" s="441" t="s">
        <v>1142</v>
      </c>
      <c r="H2252" s="445">
        <f>(C2252+2*C2260+2*(C2255+0.05)/H2250)*(C2251+2*C2260+2*(C2255+0.05)/H2250)</f>
        <v>19.558883462391616</v>
      </c>
      <c r="I2252" s="443" t="s">
        <v>1208</v>
      </c>
      <c r="J2252" s="405"/>
      <c r="AX2252" s="117"/>
      <c r="AY2252" s="117"/>
      <c r="AZ2252" s="117"/>
      <c r="BA2252" s="117"/>
      <c r="BB2252" s="117"/>
      <c r="BC2252" s="117"/>
      <c r="BD2252" s="117"/>
    </row>
    <row r="2253" spans="1:56" ht="18">
      <c r="A2253" s="114"/>
      <c r="B2253" s="388" t="s">
        <v>1112</v>
      </c>
      <c r="C2253" s="389">
        <v>0.6</v>
      </c>
      <c r="D2253" s="390" t="s">
        <v>10</v>
      </c>
      <c r="E2253" s="196"/>
      <c r="F2253" s="405"/>
      <c r="G2253" s="441" t="s">
        <v>1147</v>
      </c>
      <c r="H2253" s="445">
        <f>(C2251+2*C2260)*(C2252+2*C2260)</f>
        <v>15.08</v>
      </c>
      <c r="I2253" s="443" t="s">
        <v>1208</v>
      </c>
      <c r="J2253" s="405"/>
      <c r="AX2253" s="117"/>
      <c r="AY2253" s="117"/>
      <c r="AZ2253" s="117"/>
      <c r="BA2253" s="117"/>
      <c r="BB2253" s="117"/>
      <c r="BC2253" s="117"/>
      <c r="BD2253" s="117"/>
    </row>
    <row r="2254" spans="1:56" ht="15">
      <c r="A2254" s="114"/>
      <c r="B2254" s="388" t="s">
        <v>1113</v>
      </c>
      <c r="C2254" s="389">
        <v>0.2</v>
      </c>
      <c r="D2254" s="390" t="s">
        <v>10</v>
      </c>
      <c r="E2254" s="196"/>
      <c r="F2254" s="405"/>
      <c r="G2254" s="441"/>
      <c r="H2254" s="442"/>
      <c r="I2254" s="443"/>
      <c r="J2254" s="405"/>
      <c r="AX2254" s="117"/>
      <c r="AY2254" s="117"/>
      <c r="AZ2254" s="117"/>
      <c r="BA2254" s="117"/>
      <c r="BB2254" s="117"/>
      <c r="BC2254" s="117"/>
      <c r="BD2254" s="117"/>
    </row>
    <row r="2255" spans="1:56" ht="15">
      <c r="A2255" s="114"/>
      <c r="B2255" s="388" t="s">
        <v>1114</v>
      </c>
      <c r="C2255" s="389">
        <v>0.4</v>
      </c>
      <c r="D2255" s="390" t="s">
        <v>10</v>
      </c>
      <c r="E2255" s="196"/>
      <c r="F2255" s="405"/>
      <c r="G2255" s="441"/>
      <c r="H2255" s="442"/>
      <c r="I2255" s="443"/>
      <c r="J2255" s="405"/>
      <c r="AX2255" s="117"/>
      <c r="AY2255" s="117"/>
      <c r="AZ2255" s="117"/>
      <c r="BA2255" s="117"/>
      <c r="BB2255" s="117"/>
      <c r="BC2255" s="117"/>
      <c r="BD2255" s="117"/>
    </row>
    <row r="2256" spans="1:56" ht="15">
      <c r="A2256" s="114"/>
      <c r="B2256" s="388" t="s">
        <v>1117</v>
      </c>
      <c r="C2256" s="391">
        <v>1</v>
      </c>
      <c r="D2256" s="390" t="s">
        <v>1118</v>
      </c>
      <c r="E2256" s="196"/>
      <c r="F2256" s="405"/>
      <c r="G2256" s="406"/>
      <c r="H2256" s="407"/>
      <c r="I2256" s="405"/>
      <c r="J2256" s="405"/>
      <c r="AX2256" s="117"/>
      <c r="AY2256" s="117"/>
      <c r="AZ2256" s="117"/>
      <c r="BA2256" s="117"/>
      <c r="BB2256" s="117"/>
      <c r="BC2256" s="117"/>
      <c r="BD2256" s="117"/>
    </row>
    <row r="2257" spans="1:56" ht="15">
      <c r="A2257" s="114"/>
      <c r="B2257" s="196" t="s">
        <v>1148</v>
      </c>
      <c r="C2257" s="393"/>
      <c r="D2257" s="196"/>
      <c r="E2257" s="196"/>
      <c r="F2257" s="405"/>
      <c r="G2257" s="406"/>
      <c r="H2257" s="407"/>
      <c r="I2257" s="405"/>
      <c r="J2257" s="405"/>
      <c r="AX2257" s="117"/>
      <c r="AY2257" s="117"/>
      <c r="AZ2257" s="117"/>
      <c r="BA2257" s="117"/>
      <c r="BB2257" s="117"/>
      <c r="BC2257" s="117"/>
      <c r="BD2257" s="117"/>
    </row>
    <row r="2258" spans="1:56" ht="15">
      <c r="A2258" s="114"/>
      <c r="B2258" s="388" t="s">
        <v>1149</v>
      </c>
      <c r="C2258" s="389">
        <v>60</v>
      </c>
      <c r="D2258" s="390" t="s">
        <v>1150</v>
      </c>
      <c r="E2258" s="196"/>
      <c r="F2258" s="196"/>
      <c r="G2258" s="392"/>
      <c r="H2258" s="393"/>
      <c r="I2258" s="196"/>
      <c r="J2258" s="196"/>
      <c r="AX2258" s="117"/>
      <c r="AY2258" s="117"/>
      <c r="AZ2258" s="117"/>
      <c r="BA2258" s="117"/>
      <c r="BB2258" s="117"/>
      <c r="BC2258" s="117"/>
      <c r="BD2258" s="117"/>
    </row>
    <row r="2259" spans="1:56" ht="15">
      <c r="A2259" s="114"/>
      <c r="B2259" s="362"/>
      <c r="C2259" s="196"/>
      <c r="D2259" s="196"/>
      <c r="E2259" s="196"/>
      <c r="F2259" s="196"/>
      <c r="G2259" s="362"/>
      <c r="H2259" s="362"/>
      <c r="I2259" s="362"/>
      <c r="J2259" s="196"/>
      <c r="AX2259" s="117"/>
      <c r="AY2259" s="117"/>
      <c r="AZ2259" s="117"/>
      <c r="BA2259" s="117"/>
      <c r="BB2259" s="117"/>
      <c r="BC2259" s="117"/>
      <c r="BD2259" s="117"/>
    </row>
    <row r="2260" spans="1:56">
      <c r="A2260" s="114"/>
      <c r="B2260" s="388" t="s">
        <v>1115</v>
      </c>
      <c r="C2260" s="389">
        <v>0.5</v>
      </c>
      <c r="D2260" s="390" t="s">
        <v>10</v>
      </c>
      <c r="E2260" s="288" t="s">
        <v>1120</v>
      </c>
      <c r="F2260" s="196"/>
      <c r="G2260" s="362"/>
      <c r="H2260" s="115"/>
      <c r="I2260" s="362"/>
      <c r="J2260" s="196"/>
      <c r="AX2260" s="117"/>
      <c r="AY2260" s="117"/>
      <c r="AZ2260" s="117"/>
      <c r="BA2260" s="117"/>
      <c r="BB2260" s="117"/>
      <c r="BC2260" s="117"/>
      <c r="BD2260" s="117"/>
    </row>
    <row r="2261" spans="1:56" ht="15">
      <c r="A2261" s="114"/>
      <c r="B2261" s="388" t="s">
        <v>1115</v>
      </c>
      <c r="C2261" s="389">
        <v>0.1</v>
      </c>
      <c r="D2261" s="390" t="s">
        <v>10</v>
      </c>
      <c r="E2261" s="288" t="s">
        <v>1121</v>
      </c>
      <c r="F2261" s="196"/>
      <c r="G2261" s="196"/>
      <c r="H2261" s="196"/>
      <c r="I2261" s="196"/>
      <c r="J2261" s="196"/>
      <c r="AX2261" s="117"/>
      <c r="AY2261" s="117"/>
      <c r="AZ2261" s="117"/>
      <c r="BA2261" s="117"/>
      <c r="BB2261" s="117"/>
      <c r="BC2261" s="117"/>
      <c r="BD2261" s="117"/>
    </row>
    <row r="2262" spans="1:56" ht="15">
      <c r="A2262" s="114"/>
      <c r="B2262" s="362"/>
      <c r="C2262" s="362"/>
      <c r="D2262" s="362"/>
      <c r="E2262" s="362"/>
      <c r="F2262" s="362"/>
      <c r="G2262" s="114"/>
      <c r="H2262" s="362"/>
      <c r="I2262" s="196"/>
      <c r="J2262" s="196"/>
      <c r="AX2262" s="117"/>
      <c r="AY2262" s="117"/>
      <c r="AZ2262" s="117"/>
      <c r="BA2262" s="117"/>
      <c r="BB2262" s="117"/>
      <c r="BC2262" s="117"/>
      <c r="BD2262" s="117"/>
    </row>
    <row r="2263" spans="1:56" ht="15">
      <c r="A2263" s="114"/>
      <c r="B2263" s="303" t="s">
        <v>1122</v>
      </c>
      <c r="C2263" s="362"/>
      <c r="D2263" s="362"/>
      <c r="E2263" s="362"/>
      <c r="F2263" s="362"/>
      <c r="G2263" s="196"/>
      <c r="H2263" s="196"/>
      <c r="I2263" s="196"/>
      <c r="J2263" s="196"/>
      <c r="AX2263" s="117"/>
      <c r="AY2263" s="117"/>
      <c r="AZ2263" s="117"/>
      <c r="BA2263" s="117"/>
      <c r="BB2263" s="117"/>
      <c r="BC2263" s="117"/>
      <c r="BD2263" s="117"/>
    </row>
    <row r="2264" spans="1:56" ht="18">
      <c r="A2264" s="114"/>
      <c r="B2264" s="398" t="s">
        <v>1123</v>
      </c>
      <c r="C2264" s="172"/>
      <c r="D2264" s="173"/>
      <c r="E2264" s="397">
        <f>(((H2252+H2253)/2)*(C2255+0.05))*C2256</f>
        <v>7.7937487790381139</v>
      </c>
      <c r="F2264" s="390" t="s">
        <v>1124</v>
      </c>
      <c r="G2264" s="196"/>
      <c r="H2264" s="115"/>
      <c r="I2264" s="362"/>
      <c r="J2264" s="362"/>
      <c r="AX2264" s="117"/>
      <c r="AY2264" s="117"/>
      <c r="AZ2264" s="117"/>
      <c r="BA2264" s="117"/>
      <c r="BB2264" s="117"/>
      <c r="BC2264" s="117"/>
      <c r="BD2264" s="117"/>
    </row>
    <row r="2265" spans="1:56" ht="18">
      <c r="A2265" s="114"/>
      <c r="B2265" s="398" t="s">
        <v>1125</v>
      </c>
      <c r="C2265" s="172"/>
      <c r="D2265" s="173"/>
      <c r="E2265" s="400">
        <f>E2264-(E2272-(C2251*C2252*C2254))</f>
        <v>4.6017487790381146</v>
      </c>
      <c r="F2265" s="390" t="s">
        <v>1124</v>
      </c>
      <c r="G2265" s="196"/>
      <c r="H2265" s="196"/>
      <c r="I2265" s="196"/>
      <c r="J2265" s="196"/>
      <c r="AX2265" s="117"/>
      <c r="AY2265" s="117"/>
      <c r="AZ2265" s="117"/>
      <c r="BA2265" s="117"/>
      <c r="BB2265" s="117"/>
      <c r="BC2265" s="117"/>
      <c r="BD2265" s="117"/>
    </row>
    <row r="2266" spans="1:56" ht="15">
      <c r="A2266" s="114"/>
      <c r="B2266" s="398" t="s">
        <v>1126</v>
      </c>
      <c r="C2266" s="172"/>
      <c r="D2266" s="173"/>
      <c r="E2266" s="400">
        <f>((C2251+2*C2261)*(C2252+2*C2261))*C2256</f>
        <v>9.240000000000002</v>
      </c>
      <c r="F2266" s="390" t="s">
        <v>13</v>
      </c>
      <c r="G2266" s="362"/>
      <c r="H2266" s="362"/>
      <c r="I2266" s="362"/>
      <c r="J2266" s="362"/>
      <c r="AX2266" s="117"/>
      <c r="AY2266" s="117"/>
      <c r="AZ2266" s="117"/>
      <c r="BA2266" s="117"/>
      <c r="BB2266" s="117"/>
      <c r="BC2266" s="117"/>
      <c r="BD2266" s="117"/>
    </row>
    <row r="2267" spans="1:56" ht="15">
      <c r="A2267" s="114"/>
      <c r="B2267" s="362"/>
      <c r="C2267" s="362"/>
      <c r="D2267" s="362"/>
      <c r="E2267" s="401"/>
      <c r="F2267" s="196"/>
      <c r="G2267" s="362"/>
      <c r="H2267" s="362"/>
      <c r="I2267" s="362"/>
      <c r="J2267" s="362"/>
      <c r="AX2267" s="117"/>
      <c r="AY2267" s="117"/>
      <c r="AZ2267" s="117"/>
      <c r="BA2267" s="117"/>
      <c r="BB2267" s="117"/>
      <c r="BC2267" s="117"/>
      <c r="BD2267" s="117"/>
    </row>
    <row r="2268" spans="1:56" ht="15">
      <c r="A2268" s="114"/>
      <c r="B2268" s="362"/>
      <c r="C2268" s="362"/>
      <c r="D2268" s="362"/>
      <c r="E2268" s="410"/>
      <c r="F2268" s="362"/>
      <c r="G2268" s="362"/>
      <c r="H2268" s="362"/>
      <c r="I2268" s="362"/>
      <c r="J2268" s="362"/>
      <c r="AX2268" s="117"/>
      <c r="AY2268" s="117"/>
      <c r="AZ2268" s="117"/>
      <c r="BA2268" s="117"/>
      <c r="BB2268" s="117"/>
      <c r="BC2268" s="117"/>
      <c r="BD2268" s="117"/>
    </row>
    <row r="2269" spans="1:56" ht="15">
      <c r="A2269" s="114"/>
      <c r="B2269" s="303" t="s">
        <v>1209</v>
      </c>
      <c r="C2269" s="362"/>
      <c r="D2269" s="362"/>
      <c r="E2269" s="410"/>
      <c r="F2269" s="362"/>
      <c r="G2269" s="362"/>
      <c r="H2269" s="196" t="s">
        <v>1131</v>
      </c>
      <c r="I2269" s="362"/>
      <c r="J2269" s="362"/>
      <c r="AX2269" s="117"/>
      <c r="AY2269" s="117"/>
      <c r="AZ2269" s="117"/>
      <c r="BA2269" s="117"/>
      <c r="BB2269" s="117"/>
      <c r="BC2269" s="117"/>
      <c r="BD2269" s="117"/>
    </row>
    <row r="2270" spans="1:56" ht="18">
      <c r="A2270" s="114"/>
      <c r="B2270" s="398" t="s">
        <v>1128</v>
      </c>
      <c r="C2270" s="172"/>
      <c r="D2270" s="173"/>
      <c r="E2270" s="402">
        <f>E2266*0.05</f>
        <v>0.46200000000000013</v>
      </c>
      <c r="F2270" s="390" t="s">
        <v>1124</v>
      </c>
      <c r="G2270" s="362"/>
      <c r="H2270" s="362"/>
      <c r="I2270" s="362"/>
      <c r="J2270" s="362"/>
      <c r="AX2270" s="117"/>
      <c r="AY2270" s="117"/>
      <c r="AZ2270" s="117"/>
      <c r="BA2270" s="117"/>
      <c r="BB2270" s="117"/>
      <c r="BC2270" s="117"/>
      <c r="BD2270" s="117"/>
    </row>
    <row r="2271" spans="1:56" ht="15">
      <c r="A2271" s="114"/>
      <c r="B2271" s="398" t="s">
        <v>1129</v>
      </c>
      <c r="C2271" s="172"/>
      <c r="D2271" s="173"/>
      <c r="E2271" s="397">
        <f>(2*(C2251+C2252)*C2253)*C2256</f>
        <v>7.3199999999999994</v>
      </c>
      <c r="F2271" s="390" t="s">
        <v>13</v>
      </c>
      <c r="G2271" s="362"/>
      <c r="H2271" s="362"/>
      <c r="I2271" s="362"/>
      <c r="J2271" s="362"/>
      <c r="AX2271" s="117"/>
      <c r="AY2271" s="117"/>
      <c r="AZ2271" s="117"/>
      <c r="BA2271" s="117"/>
      <c r="BB2271" s="117"/>
      <c r="BC2271" s="117"/>
      <c r="BD2271" s="117"/>
    </row>
    <row r="2272" spans="1:56" ht="18">
      <c r="A2272" s="114"/>
      <c r="B2272" s="398" t="s">
        <v>1130</v>
      </c>
      <c r="C2272" s="172"/>
      <c r="D2272" s="173"/>
      <c r="E2272" s="402">
        <f>(C2251*C2252*C2253)*C2256</f>
        <v>4.7879999999999994</v>
      </c>
      <c r="F2272" s="390" t="s">
        <v>1124</v>
      </c>
      <c r="G2272" s="362"/>
      <c r="H2272" s="362"/>
      <c r="I2272" s="362"/>
      <c r="J2272" s="362"/>
      <c r="AX2272" s="117"/>
      <c r="AY2272" s="117"/>
      <c r="AZ2272" s="117"/>
      <c r="BA2272" s="117"/>
      <c r="BB2272" s="117"/>
      <c r="BC2272" s="117"/>
      <c r="BD2272" s="117"/>
    </row>
    <row r="2273" spans="1:56" ht="15">
      <c r="A2273" s="114"/>
      <c r="B2273" s="293"/>
      <c r="C2273" s="387"/>
      <c r="D2273" s="387"/>
      <c r="E2273" s="387"/>
      <c r="F2273" s="387"/>
      <c r="G2273" s="387"/>
      <c r="H2273" s="386"/>
      <c r="I2273" s="386"/>
      <c r="J2273" s="114"/>
      <c r="AW2273" s="117"/>
      <c r="AX2273" s="117"/>
      <c r="AY2273" s="117"/>
      <c r="AZ2273" s="117"/>
      <c r="BA2273" s="117"/>
      <c r="BB2273" s="117"/>
      <c r="BC2273" s="117"/>
      <c r="BD2273" s="117"/>
    </row>
    <row r="2274" spans="1:56" customFormat="1" ht="13.5" thickBot="1">
      <c r="B2274" s="362"/>
      <c r="C2274" s="362"/>
      <c r="D2274" s="362"/>
      <c r="E2274" s="362"/>
      <c r="F2274" s="362"/>
      <c r="G2274" s="362"/>
      <c r="H2274" s="362"/>
      <c r="I2274" s="362"/>
      <c r="J2274" s="362"/>
    </row>
    <row r="2275" spans="1:56">
      <c r="A2275" s="114"/>
      <c r="B2275" s="702" t="s">
        <v>1189</v>
      </c>
      <c r="C2275" s="282"/>
      <c r="D2275" s="282"/>
      <c r="E2275" s="282"/>
      <c r="F2275" s="283"/>
      <c r="G2275" s="362"/>
      <c r="H2275" s="362"/>
      <c r="I2275" s="362"/>
      <c r="J2275" s="114"/>
      <c r="AU2275" s="117"/>
      <c r="AV2275" s="117"/>
      <c r="AW2275" s="117"/>
      <c r="AX2275" s="117"/>
      <c r="AY2275" s="117"/>
      <c r="AZ2275" s="117"/>
      <c r="BA2275" s="117"/>
      <c r="BB2275" s="117"/>
      <c r="BC2275" s="117"/>
      <c r="BD2275" s="117"/>
    </row>
    <row r="2276" spans="1:56" ht="15">
      <c r="A2276" s="114"/>
      <c r="B2276" s="693"/>
      <c r="C2276" s="196"/>
      <c r="D2276" s="196"/>
      <c r="E2276" s="196"/>
      <c r="F2276" s="284"/>
      <c r="G2276" s="362"/>
      <c r="H2276" s="362"/>
      <c r="I2276" s="362"/>
      <c r="J2276" s="114"/>
      <c r="AU2276" s="117"/>
      <c r="AV2276" s="117"/>
      <c r="AW2276" s="117"/>
      <c r="AX2276" s="117"/>
      <c r="AY2276" s="117"/>
      <c r="AZ2276" s="117"/>
      <c r="BA2276" s="117"/>
      <c r="BB2276" s="117"/>
      <c r="BC2276" s="117"/>
      <c r="BD2276" s="117"/>
    </row>
    <row r="2277" spans="1:56" ht="15">
      <c r="A2277" s="114"/>
      <c r="B2277" s="691" t="s">
        <v>1122</v>
      </c>
      <c r="C2277" s="410"/>
      <c r="D2277" s="763"/>
      <c r="E2277" s="763"/>
      <c r="F2277" s="424"/>
      <c r="G2277" s="362"/>
      <c r="H2277" s="362"/>
      <c r="I2277" s="362"/>
      <c r="J2277" s="114"/>
      <c r="AU2277" s="117"/>
      <c r="AV2277" s="117"/>
      <c r="AW2277" s="117"/>
      <c r="AX2277" s="117"/>
      <c r="AY2277" s="117"/>
      <c r="AZ2277" s="117"/>
      <c r="BA2277" s="117"/>
      <c r="BB2277" s="117"/>
      <c r="BC2277" s="117"/>
      <c r="BD2277" s="117"/>
    </row>
    <row r="2278" spans="1:56" ht="18">
      <c r="A2278" s="114"/>
      <c r="B2278" s="703" t="s">
        <v>1123</v>
      </c>
      <c r="C2278" s="172"/>
      <c r="D2278" s="173"/>
      <c r="E2278" s="425">
        <f>E2264+E2236</f>
        <v>114.13807930580623</v>
      </c>
      <c r="F2278" s="139" t="s">
        <v>1124</v>
      </c>
      <c r="G2278" s="362"/>
      <c r="H2278" s="362"/>
      <c r="I2278" s="362"/>
      <c r="J2278" s="114"/>
      <c r="AU2278" s="117"/>
      <c r="AV2278" s="117"/>
      <c r="AW2278" s="117"/>
      <c r="AX2278" s="117"/>
      <c r="AY2278" s="117"/>
      <c r="AZ2278" s="117"/>
      <c r="BA2278" s="117"/>
      <c r="BB2278" s="117"/>
      <c r="BC2278" s="117"/>
      <c r="BD2278" s="117"/>
    </row>
    <row r="2279" spans="1:56" ht="18">
      <c r="A2279" s="114"/>
      <c r="B2279" s="703" t="s">
        <v>1190</v>
      </c>
      <c r="C2279" s="172"/>
      <c r="D2279" s="173"/>
      <c r="E2279" s="446">
        <f>E2265+E2237</f>
        <v>40.380079305806248</v>
      </c>
      <c r="F2279" s="139" t="s">
        <v>1124</v>
      </c>
      <c r="G2279" s="362"/>
      <c r="H2279" s="362"/>
      <c r="I2279" s="362"/>
      <c r="J2279" s="114"/>
      <c r="AU2279" s="117"/>
      <c r="AV2279" s="117"/>
      <c r="AW2279" s="117"/>
      <c r="AX2279" s="117"/>
      <c r="AY2279" s="117"/>
      <c r="AZ2279" s="117"/>
      <c r="BA2279" s="117"/>
      <c r="BB2279" s="117"/>
      <c r="BC2279" s="117"/>
      <c r="BD2279" s="117"/>
    </row>
    <row r="2280" spans="1:56" ht="15">
      <c r="A2280" s="114"/>
      <c r="B2280" s="703" t="s">
        <v>1191</v>
      </c>
      <c r="C2280" s="172"/>
      <c r="D2280" s="173"/>
      <c r="E2280" s="446">
        <f>E2266+E2238</f>
        <v>124.56000000000003</v>
      </c>
      <c r="F2280" s="139" t="s">
        <v>13</v>
      </c>
      <c r="G2280" s="362"/>
      <c r="H2280" s="362"/>
      <c r="I2280" s="362"/>
      <c r="J2280" s="114"/>
      <c r="AU2280" s="117"/>
      <c r="AV2280" s="117"/>
      <c r="AW2280" s="117"/>
      <c r="AX2280" s="117"/>
      <c r="AY2280" s="117"/>
      <c r="AZ2280" s="117"/>
      <c r="BA2280" s="117"/>
      <c r="BB2280" s="117"/>
      <c r="BC2280" s="117"/>
      <c r="BD2280" s="117"/>
    </row>
    <row r="2281" spans="1:56" ht="15">
      <c r="A2281" s="114"/>
      <c r="B2281" s="40"/>
      <c r="C2281" s="763"/>
      <c r="D2281" s="763"/>
      <c r="E2281" s="401"/>
      <c r="F2281" s="284"/>
      <c r="G2281" s="362"/>
      <c r="H2281" s="362"/>
      <c r="I2281" s="362"/>
      <c r="J2281" s="114"/>
      <c r="AU2281" s="117"/>
      <c r="AV2281" s="117"/>
      <c r="AW2281" s="117"/>
      <c r="AX2281" s="117"/>
      <c r="AY2281" s="117"/>
      <c r="AZ2281" s="117"/>
      <c r="BA2281" s="117"/>
      <c r="BB2281" s="117"/>
      <c r="BC2281" s="117"/>
      <c r="BD2281" s="117"/>
    </row>
    <row r="2282" spans="1:56" ht="18">
      <c r="A2282" s="114"/>
      <c r="B2282" s="703" t="s">
        <v>317</v>
      </c>
      <c r="C2282" s="172"/>
      <c r="D2282" s="173"/>
      <c r="E2282" s="425">
        <f>E2270+E2242</f>
        <v>6.2280000000000015</v>
      </c>
      <c r="F2282" s="139" t="s">
        <v>1124</v>
      </c>
      <c r="G2282" s="196"/>
      <c r="H2282" s="196"/>
      <c r="I2282" s="196"/>
      <c r="J2282" s="114"/>
      <c r="AU2282" s="117"/>
      <c r="AV2282" s="117"/>
      <c r="AW2282" s="117"/>
      <c r="AX2282" s="117"/>
      <c r="AY2282" s="117"/>
      <c r="AZ2282" s="117"/>
      <c r="BA2282" s="117"/>
      <c r="BB2282" s="117"/>
      <c r="BC2282" s="117"/>
      <c r="BD2282" s="117"/>
    </row>
    <row r="2283" spans="1:56" ht="15">
      <c r="A2283" s="114"/>
      <c r="B2283" s="703" t="s">
        <v>1192</v>
      </c>
      <c r="C2283" s="172"/>
      <c r="D2283" s="173"/>
      <c r="E2283" s="425">
        <f>E2271+E2243</f>
        <v>93.719999999999985</v>
      </c>
      <c r="F2283" s="139" t="s">
        <v>13</v>
      </c>
      <c r="G2283" s="196"/>
      <c r="H2283" s="196"/>
      <c r="I2283" s="196"/>
      <c r="J2283" s="114"/>
      <c r="AU2283" s="117"/>
      <c r="AV2283" s="117"/>
      <c r="AW2283" s="117"/>
      <c r="AX2283" s="117"/>
      <c r="AY2283" s="117"/>
      <c r="AZ2283" s="117"/>
      <c r="BA2283" s="117"/>
      <c r="BB2283" s="117"/>
      <c r="BC2283" s="117"/>
      <c r="BD2283" s="117"/>
    </row>
    <row r="2284" spans="1:56" ht="18">
      <c r="A2284" s="114"/>
      <c r="B2284" s="703" t="s">
        <v>316</v>
      </c>
      <c r="C2284" s="172"/>
      <c r="D2284" s="173"/>
      <c r="E2284" s="425">
        <f>E2272+E2244</f>
        <v>134.38800000000001</v>
      </c>
      <c r="F2284" s="139" t="s">
        <v>1124</v>
      </c>
      <c r="G2284" s="196"/>
      <c r="H2284" s="196"/>
      <c r="I2284" s="196"/>
      <c r="J2284" s="114"/>
      <c r="AU2284" s="117"/>
      <c r="AV2284" s="117"/>
      <c r="AW2284" s="117"/>
      <c r="AX2284" s="117"/>
      <c r="AY2284" s="117"/>
      <c r="AZ2284" s="117"/>
      <c r="BA2284" s="117"/>
      <c r="BB2284" s="117"/>
      <c r="BC2284" s="117"/>
      <c r="BD2284" s="117"/>
    </row>
    <row r="2285" spans="1:56" ht="16.5" thickBot="1">
      <c r="A2285" s="114"/>
      <c r="B2285" s="775"/>
      <c r="C2285" s="447"/>
      <c r="D2285" s="447"/>
      <c r="E2285" s="447"/>
      <c r="F2285" s="429"/>
      <c r="G2285" s="362"/>
      <c r="H2285" s="362"/>
      <c r="I2285" s="362"/>
      <c r="J2285" s="114"/>
      <c r="AU2285" s="117"/>
      <c r="AV2285" s="117"/>
      <c r="AW2285" s="117"/>
      <c r="AX2285" s="117"/>
      <c r="AY2285" s="117"/>
      <c r="AZ2285" s="117"/>
      <c r="BA2285" s="117"/>
      <c r="BB2285" s="117"/>
      <c r="BC2285" s="117"/>
      <c r="BD2285" s="117"/>
    </row>
    <row r="2286" spans="1:56">
      <c r="A2286" s="114"/>
      <c r="B2286" s="288"/>
      <c r="C2286" s="6"/>
      <c r="D2286" s="430"/>
      <c r="E2286" s="430"/>
      <c r="F2286" s="331"/>
      <c r="G2286" s="362"/>
      <c r="H2286" s="362"/>
      <c r="I2286" s="362"/>
      <c r="J2286" s="114"/>
      <c r="AU2286" s="117"/>
      <c r="AV2286" s="117"/>
      <c r="AW2286" s="117"/>
      <c r="AX2286" s="117"/>
      <c r="AY2286" s="117"/>
      <c r="AZ2286" s="117"/>
      <c r="BA2286" s="117"/>
      <c r="BB2286" s="117"/>
      <c r="BC2286" s="117"/>
      <c r="BD2286" s="117"/>
    </row>
    <row r="2287" spans="1:56">
      <c r="A2287" s="114"/>
      <c r="B2287" s="115"/>
      <c r="C2287" s="115"/>
      <c r="D2287" s="115"/>
      <c r="E2287" s="115"/>
      <c r="F2287" s="115"/>
      <c r="G2287" s="115"/>
      <c r="H2287" s="115"/>
      <c r="I2287" s="115"/>
      <c r="J2287" s="114"/>
      <c r="AW2287" s="117"/>
      <c r="AX2287" s="117"/>
      <c r="AY2287" s="117"/>
      <c r="AZ2287" s="117"/>
      <c r="BA2287" s="117"/>
      <c r="BB2287" s="117"/>
      <c r="BC2287" s="117"/>
      <c r="BD2287" s="117"/>
    </row>
    <row r="2288" spans="1:56" ht="15">
      <c r="A2288" s="114"/>
      <c r="B2288" s="760" t="s">
        <v>2272</v>
      </c>
      <c r="C2288" s="382"/>
      <c r="D2288" s="382"/>
      <c r="E2288" s="382"/>
      <c r="F2288" s="382"/>
      <c r="G2288" s="382"/>
      <c r="H2288" s="383"/>
      <c r="I2288" s="383"/>
      <c r="J2288" s="351"/>
      <c r="AW2288" s="117"/>
      <c r="AX2288" s="117"/>
      <c r="AY2288" s="117"/>
      <c r="AZ2288" s="117"/>
      <c r="BA2288" s="117"/>
      <c r="BB2288" s="117"/>
      <c r="BC2288" s="117"/>
      <c r="BD2288" s="117"/>
    </row>
    <row r="2289" spans="1:56" ht="15">
      <c r="A2289" s="114"/>
      <c r="B2289" s="293"/>
      <c r="C2289" s="387"/>
      <c r="D2289" s="387"/>
      <c r="E2289" s="387"/>
      <c r="F2289" s="387"/>
      <c r="G2289" s="387"/>
      <c r="H2289" s="386"/>
      <c r="I2289" s="386"/>
      <c r="J2289" s="114"/>
      <c r="AW2289" s="117"/>
      <c r="AX2289" s="117"/>
      <c r="AY2289" s="117"/>
      <c r="AZ2289" s="117"/>
      <c r="BA2289" s="117"/>
      <c r="BB2289" s="117"/>
      <c r="BC2289" s="117"/>
      <c r="BD2289" s="117"/>
    </row>
    <row r="2290" spans="1:56" ht="15">
      <c r="A2290" s="114"/>
      <c r="B2290" s="288" t="s">
        <v>1787</v>
      </c>
      <c r="C2290" s="230"/>
      <c r="D2290" s="230"/>
      <c r="E2290" s="384"/>
      <c r="F2290" s="196"/>
      <c r="G2290" s="196"/>
      <c r="H2290" s="196"/>
      <c r="I2290" s="196"/>
      <c r="J2290" s="114"/>
      <c r="AW2290" s="117"/>
      <c r="AX2290" s="117"/>
      <c r="AY2290" s="117"/>
      <c r="AZ2290" s="117"/>
      <c r="BA2290" s="117"/>
      <c r="BB2290" s="117"/>
      <c r="BC2290" s="117"/>
      <c r="BD2290" s="117"/>
    </row>
    <row r="2291" spans="1:56" ht="15">
      <c r="A2291" s="114"/>
      <c r="B2291" s="293"/>
      <c r="C2291" s="387"/>
      <c r="D2291" s="387"/>
      <c r="E2291" s="387"/>
      <c r="F2291" s="387"/>
      <c r="G2291" s="387"/>
      <c r="H2291" s="386"/>
      <c r="I2291" s="386"/>
      <c r="J2291" s="114"/>
      <c r="AW2291" s="117"/>
      <c r="AX2291" s="117"/>
      <c r="AY2291" s="117"/>
      <c r="AZ2291" s="117"/>
      <c r="BA2291" s="117"/>
      <c r="BB2291" s="117"/>
      <c r="BC2291" s="117"/>
      <c r="BD2291" s="117"/>
    </row>
    <row r="2292" spans="1:56" ht="15">
      <c r="A2292" s="114"/>
      <c r="B2292" s="288"/>
      <c r="C2292" s="230"/>
      <c r="D2292" s="230"/>
      <c r="E2292" s="384"/>
      <c r="F2292" s="196"/>
      <c r="G2292" s="196"/>
      <c r="H2292" s="196"/>
      <c r="I2292" s="196"/>
      <c r="J2292" s="114"/>
      <c r="AW2292" s="117"/>
      <c r="AX2292" s="117"/>
      <c r="AY2292" s="117"/>
      <c r="AZ2292" s="117"/>
      <c r="BA2292" s="117"/>
      <c r="BB2292" s="117"/>
      <c r="BC2292" s="117"/>
      <c r="BD2292" s="117"/>
    </row>
    <row r="2293" spans="1:56" customFormat="1" ht="12.75">
      <c r="B2293" s="362"/>
      <c r="C2293" s="362"/>
      <c r="D2293" s="362"/>
      <c r="E2293" s="362"/>
      <c r="F2293" s="362"/>
      <c r="G2293" s="362"/>
      <c r="H2293" s="362"/>
      <c r="I2293" s="362"/>
      <c r="J2293" s="362"/>
    </row>
    <row r="2294" spans="1:56">
      <c r="A2294" s="114"/>
      <c r="B2294" s="385" t="s">
        <v>1211</v>
      </c>
      <c r="C2294" s="196"/>
      <c r="D2294" s="196"/>
      <c r="E2294" s="196"/>
      <c r="F2294" s="196"/>
      <c r="G2294" s="196"/>
      <c r="H2294" s="196"/>
      <c r="I2294" s="196"/>
      <c r="J2294" s="196"/>
      <c r="AX2294" s="117"/>
      <c r="AY2294" s="117"/>
      <c r="AZ2294" s="117"/>
      <c r="BA2294" s="117"/>
      <c r="BB2294" s="117"/>
      <c r="BC2294" s="117"/>
      <c r="BD2294" s="117"/>
    </row>
    <row r="2295" spans="1:56">
      <c r="A2295" s="114"/>
      <c r="B2295" s="362"/>
      <c r="C2295" s="362"/>
      <c r="D2295" s="362"/>
      <c r="E2295" s="362"/>
      <c r="F2295" s="404"/>
      <c r="G2295" s="115"/>
      <c r="H2295" s="115"/>
      <c r="I2295" s="115"/>
      <c r="J2295" s="404"/>
      <c r="AX2295" s="117"/>
      <c r="AY2295" s="117"/>
      <c r="AZ2295" s="117"/>
      <c r="BA2295" s="117"/>
      <c r="BB2295" s="117"/>
      <c r="BC2295" s="117"/>
      <c r="BD2295" s="117"/>
    </row>
    <row r="2296" spans="1:56" ht="15">
      <c r="A2296" s="114"/>
      <c r="B2296" s="388" t="s">
        <v>1110</v>
      </c>
      <c r="C2296" s="448">
        <f>(PI()*5.5^2)/4</f>
        <v>23.758294442772812</v>
      </c>
      <c r="D2296" s="390" t="s">
        <v>1212</v>
      </c>
      <c r="E2296" s="196"/>
      <c r="F2296" s="405"/>
      <c r="G2296" s="449"/>
      <c r="H2296" s="449"/>
      <c r="I2296" s="449"/>
      <c r="J2296" s="405"/>
      <c r="AX2296" s="117"/>
      <c r="AY2296" s="117"/>
      <c r="AZ2296" s="117"/>
      <c r="BA2296" s="117"/>
      <c r="BB2296" s="117"/>
      <c r="BC2296" s="117"/>
      <c r="BD2296" s="117"/>
    </row>
    <row r="2297" spans="1:56" ht="15">
      <c r="A2297" s="114"/>
      <c r="B2297" s="388" t="s">
        <v>1111</v>
      </c>
      <c r="C2297" s="389">
        <v>0.2</v>
      </c>
      <c r="D2297" s="390" t="s">
        <v>10</v>
      </c>
      <c r="E2297" s="196"/>
      <c r="F2297" s="405"/>
      <c r="G2297" s="196"/>
      <c r="H2297" s="196"/>
      <c r="I2297" s="401"/>
      <c r="J2297" s="405"/>
      <c r="AX2297" s="117"/>
      <c r="AY2297" s="117"/>
      <c r="AZ2297" s="117"/>
      <c r="BA2297" s="117"/>
      <c r="BB2297" s="117"/>
      <c r="BC2297" s="117"/>
      <c r="BD2297" s="117"/>
    </row>
    <row r="2298" spans="1:56" ht="15">
      <c r="A2298" s="114"/>
      <c r="B2298" s="388" t="s">
        <v>1112</v>
      </c>
      <c r="C2298" s="389">
        <v>0.8</v>
      </c>
      <c r="D2298" s="390" t="s">
        <v>10</v>
      </c>
      <c r="E2298" s="196"/>
      <c r="F2298" s="405"/>
      <c r="G2298" s="392" t="e">
        <f>TEXT(C2301,"tg 0°=")</f>
        <v>#VALUE!</v>
      </c>
      <c r="H2298" s="394">
        <f>TAN(3.14159265359*C2301/180)</f>
        <v>1.732050807569153</v>
      </c>
      <c r="I2298" s="196"/>
      <c r="J2298" s="405"/>
      <c r="AX2298" s="117"/>
      <c r="AY2298" s="117"/>
      <c r="AZ2298" s="117"/>
      <c r="BA2298" s="117"/>
      <c r="BB2298" s="117"/>
      <c r="BC2298" s="117"/>
      <c r="BD2298" s="117"/>
    </row>
    <row r="2299" spans="1:56" ht="15">
      <c r="A2299" s="114"/>
      <c r="B2299" s="388" t="s">
        <v>1117</v>
      </c>
      <c r="C2299" s="391">
        <v>4</v>
      </c>
      <c r="D2299" s="390" t="s">
        <v>1118</v>
      </c>
      <c r="E2299" s="196"/>
      <c r="F2299" s="405"/>
      <c r="G2299" s="392"/>
      <c r="H2299" s="393"/>
      <c r="I2299" s="196"/>
      <c r="J2299" s="405"/>
      <c r="AX2299" s="117"/>
      <c r="AY2299" s="117"/>
      <c r="AZ2299" s="117"/>
      <c r="BA2299" s="117"/>
      <c r="BB2299" s="117"/>
      <c r="BC2299" s="117"/>
      <c r="BD2299" s="117"/>
    </row>
    <row r="2300" spans="1:56" ht="18">
      <c r="A2300" s="114"/>
      <c r="B2300" s="196" t="s">
        <v>1148</v>
      </c>
      <c r="C2300" s="393"/>
      <c r="D2300" s="196"/>
      <c r="E2300" s="196"/>
      <c r="F2300" s="405"/>
      <c r="G2300" s="392" t="s">
        <v>1142</v>
      </c>
      <c r="H2300" s="450">
        <f>((PI()*(5.5+2*C2303+2*(C2298-C2297+0.05)/H2298)^2)/4)</f>
        <v>41.288815682810963</v>
      </c>
      <c r="I2300" s="196" t="s">
        <v>1213</v>
      </c>
      <c r="J2300" s="405"/>
      <c r="AX2300" s="117"/>
      <c r="AY2300" s="117"/>
      <c r="AZ2300" s="117"/>
      <c r="BA2300" s="117"/>
      <c r="BB2300" s="117"/>
      <c r="BC2300" s="117"/>
      <c r="BD2300" s="117"/>
    </row>
    <row r="2301" spans="1:56" ht="18">
      <c r="A2301" s="114"/>
      <c r="B2301" s="388" t="s">
        <v>1149</v>
      </c>
      <c r="C2301" s="389">
        <v>60</v>
      </c>
      <c r="D2301" s="390" t="s">
        <v>1150</v>
      </c>
      <c r="E2301" s="196"/>
      <c r="F2301" s="196"/>
      <c r="G2301" s="392" t="s">
        <v>1147</v>
      </c>
      <c r="H2301" s="450">
        <f>((PI()*(5.5+2*C2303)^2)/4)</f>
        <v>33.183072403542191</v>
      </c>
      <c r="I2301" s="196" t="s">
        <v>1213</v>
      </c>
      <c r="J2301" s="196"/>
      <c r="AX2301" s="117"/>
      <c r="AY2301" s="117"/>
      <c r="AZ2301" s="117"/>
      <c r="BA2301" s="117"/>
      <c r="BB2301" s="117"/>
      <c r="BC2301" s="117"/>
      <c r="BD2301" s="117"/>
    </row>
    <row r="2302" spans="1:56" ht="15">
      <c r="A2302" s="114"/>
      <c r="B2302" s="362"/>
      <c r="C2302" s="196"/>
      <c r="D2302" s="196"/>
      <c r="E2302" s="196"/>
      <c r="F2302" s="196"/>
      <c r="G2302" s="392"/>
      <c r="H2302" s="393"/>
      <c r="I2302" s="196"/>
      <c r="J2302" s="196"/>
      <c r="AX2302" s="117"/>
      <c r="AY2302" s="117"/>
      <c r="AZ2302" s="117"/>
      <c r="BA2302" s="117"/>
      <c r="BB2302" s="117"/>
      <c r="BC2302" s="117"/>
      <c r="BD2302" s="117"/>
    </row>
    <row r="2303" spans="1:56" ht="15">
      <c r="A2303" s="114"/>
      <c r="B2303" s="388" t="s">
        <v>1113</v>
      </c>
      <c r="C2303" s="389">
        <v>0.5</v>
      </c>
      <c r="D2303" s="390" t="s">
        <v>10</v>
      </c>
      <c r="E2303" s="288" t="s">
        <v>1120</v>
      </c>
      <c r="F2303" s="196"/>
      <c r="G2303" s="406"/>
      <c r="H2303" s="407"/>
      <c r="I2303" s="405"/>
      <c r="J2303" s="196"/>
      <c r="AX2303" s="117"/>
      <c r="AY2303" s="117"/>
      <c r="AZ2303" s="117"/>
      <c r="BA2303" s="117"/>
      <c r="BB2303" s="117"/>
      <c r="BC2303" s="117"/>
      <c r="BD2303" s="117"/>
    </row>
    <row r="2304" spans="1:56" ht="15">
      <c r="A2304" s="114"/>
      <c r="B2304" s="388" t="s">
        <v>1113</v>
      </c>
      <c r="C2304" s="389">
        <v>0.1</v>
      </c>
      <c r="D2304" s="390" t="s">
        <v>10</v>
      </c>
      <c r="E2304" s="288" t="s">
        <v>1121</v>
      </c>
      <c r="F2304" s="196"/>
      <c r="G2304" s="406"/>
      <c r="H2304" s="407"/>
      <c r="I2304" s="405"/>
      <c r="J2304" s="196"/>
      <c r="AX2304" s="117"/>
      <c r="AY2304" s="117"/>
      <c r="AZ2304" s="117"/>
      <c r="BA2304" s="117"/>
      <c r="BB2304" s="117"/>
      <c r="BC2304" s="117"/>
      <c r="BD2304" s="117"/>
    </row>
    <row r="2305" spans="1:56" ht="15">
      <c r="A2305" s="114"/>
      <c r="B2305" s="362"/>
      <c r="C2305" s="362"/>
      <c r="D2305" s="362"/>
      <c r="E2305" s="362"/>
      <c r="F2305" s="362"/>
      <c r="G2305" s="392"/>
      <c r="H2305" s="393"/>
      <c r="I2305" s="196"/>
      <c r="J2305" s="196"/>
      <c r="AX2305" s="117"/>
      <c r="AY2305" s="117"/>
      <c r="AZ2305" s="117"/>
      <c r="BA2305" s="117"/>
      <c r="BB2305" s="117"/>
      <c r="BC2305" s="117"/>
      <c r="BD2305" s="117"/>
    </row>
    <row r="2306" spans="1:56">
      <c r="A2306" s="114"/>
      <c r="B2306" s="303" t="s">
        <v>1122</v>
      </c>
      <c r="C2306" s="362"/>
      <c r="D2306" s="362"/>
      <c r="E2306" s="362"/>
      <c r="F2306" s="362"/>
      <c r="G2306" s="114"/>
      <c r="H2306" s="115"/>
      <c r="I2306" s="362"/>
      <c r="J2306" s="196"/>
      <c r="AX2306" s="117"/>
      <c r="AY2306" s="117"/>
      <c r="AZ2306" s="117"/>
      <c r="BA2306" s="117"/>
      <c r="BB2306" s="117"/>
      <c r="BC2306" s="117"/>
      <c r="BD2306" s="117"/>
    </row>
    <row r="2307" spans="1:56" ht="18">
      <c r="A2307" s="114"/>
      <c r="B2307" s="398" t="s">
        <v>1123</v>
      </c>
      <c r="C2307" s="172"/>
      <c r="D2307" s="173"/>
      <c r="E2307" s="397">
        <f>(((H2300+H2301)/2)*(C2298-C2297+0.05))*C2299</f>
        <v>96.813454512259113</v>
      </c>
      <c r="F2307" s="390" t="s">
        <v>1124</v>
      </c>
      <c r="G2307" s="196"/>
      <c r="H2307" s="362"/>
      <c r="I2307" s="362"/>
      <c r="J2307" s="362"/>
      <c r="AX2307" s="117"/>
      <c r="AY2307" s="117"/>
      <c r="AZ2307" s="117"/>
      <c r="BA2307" s="117"/>
      <c r="BB2307" s="117"/>
      <c r="BC2307" s="117"/>
      <c r="BD2307" s="117"/>
    </row>
    <row r="2308" spans="1:56" ht="18">
      <c r="A2308" s="114"/>
      <c r="B2308" s="398" t="s">
        <v>1125</v>
      </c>
      <c r="C2308" s="172"/>
      <c r="D2308" s="173"/>
      <c r="E2308" s="400">
        <f>E2307-(E2319+E2321-C2296*C2297*C2299)</f>
        <v>34.690030583847744</v>
      </c>
      <c r="F2308" s="390" t="s">
        <v>1124</v>
      </c>
      <c r="G2308" s="196"/>
      <c r="H2308" s="196"/>
      <c r="I2308" s="196"/>
      <c r="J2308" s="196"/>
      <c r="AX2308" s="117"/>
      <c r="AY2308" s="117"/>
      <c r="AZ2308" s="117"/>
      <c r="BA2308" s="117"/>
      <c r="BB2308" s="117"/>
      <c r="BC2308" s="117"/>
      <c r="BD2308" s="117"/>
    </row>
    <row r="2309" spans="1:56" ht="15">
      <c r="A2309" s="114"/>
      <c r="B2309" s="398" t="s">
        <v>1126</v>
      </c>
      <c r="C2309" s="172"/>
      <c r="D2309" s="173"/>
      <c r="E2309" s="400">
        <f>(((PI()*(5.5+2*C2304)^2)/4)*C2299)</f>
        <v>102.07034531513239</v>
      </c>
      <c r="F2309" s="390" t="s">
        <v>13</v>
      </c>
      <c r="G2309" s="362"/>
      <c r="H2309" s="362"/>
      <c r="I2309" s="362"/>
      <c r="J2309" s="362"/>
      <c r="AX2309" s="117"/>
      <c r="AY2309" s="117"/>
      <c r="AZ2309" s="117"/>
      <c r="BA2309" s="117"/>
      <c r="BB2309" s="117"/>
      <c r="BC2309" s="117"/>
      <c r="BD2309" s="117"/>
    </row>
    <row r="2310" spans="1:56" ht="15">
      <c r="A2310" s="114"/>
      <c r="B2310" s="362"/>
      <c r="C2310" s="362"/>
      <c r="D2310" s="362"/>
      <c r="E2310" s="401"/>
      <c r="F2310" s="196"/>
      <c r="G2310" s="362"/>
      <c r="H2310" s="362"/>
      <c r="I2310" s="362"/>
      <c r="J2310" s="362"/>
      <c r="AX2310" s="117"/>
      <c r="AY2310" s="117"/>
      <c r="AZ2310" s="117"/>
      <c r="BA2310" s="117"/>
      <c r="BB2310" s="117"/>
      <c r="BC2310" s="117"/>
      <c r="BD2310" s="117"/>
    </row>
    <row r="2311" spans="1:56" ht="15">
      <c r="A2311" s="114"/>
      <c r="B2311" s="303" t="s">
        <v>1162</v>
      </c>
      <c r="C2311" s="362"/>
      <c r="D2311" s="362"/>
      <c r="E2311" s="410"/>
      <c r="F2311" s="362"/>
      <c r="G2311" s="362"/>
      <c r="H2311" s="362"/>
      <c r="I2311" s="362"/>
      <c r="J2311" s="362"/>
      <c r="AX2311" s="117"/>
      <c r="AY2311" s="117"/>
      <c r="AZ2311" s="117"/>
      <c r="BA2311" s="117"/>
      <c r="BB2311" s="117"/>
      <c r="BC2311" s="117"/>
      <c r="BD2311" s="117"/>
    </row>
    <row r="2312" spans="1:56" ht="15">
      <c r="A2312" s="114"/>
      <c r="B2312" s="398" t="s">
        <v>1152</v>
      </c>
      <c r="C2312" s="398"/>
      <c r="D2312" s="366"/>
      <c r="E2312" s="411">
        <v>16</v>
      </c>
      <c r="F2312" s="390" t="s">
        <v>1153</v>
      </c>
      <c r="G2312" s="362"/>
      <c r="H2312" s="362"/>
      <c r="I2312" s="362"/>
      <c r="J2312" s="362"/>
      <c r="AX2312" s="117"/>
      <c r="AY2312" s="117"/>
      <c r="AZ2312" s="117"/>
      <c r="BA2312" s="117"/>
      <c r="BB2312" s="117"/>
      <c r="BC2312" s="117"/>
      <c r="BD2312" s="117"/>
    </row>
    <row r="2313" spans="1:56" ht="15">
      <c r="A2313" s="114"/>
      <c r="B2313" s="399" t="s">
        <v>1154</v>
      </c>
      <c r="C2313" s="31"/>
      <c r="D2313" s="32"/>
      <c r="E2313" s="412">
        <f>C2299*E2312</f>
        <v>64</v>
      </c>
      <c r="F2313" s="390" t="s">
        <v>1153</v>
      </c>
      <c r="G2313" s="362"/>
      <c r="H2313" s="362"/>
      <c r="I2313" s="362"/>
      <c r="J2313" s="362"/>
      <c r="AX2313" s="117"/>
      <c r="AY2313" s="117"/>
      <c r="AZ2313" s="117"/>
      <c r="BA2313" s="117"/>
      <c r="BB2313" s="117"/>
      <c r="BC2313" s="117"/>
      <c r="BD2313" s="117"/>
    </row>
    <row r="2314" spans="1:56" ht="15">
      <c r="A2314" s="114"/>
      <c r="B2314" s="398" t="s">
        <v>1155</v>
      </c>
      <c r="C2314" s="21"/>
      <c r="D2314" s="413"/>
      <c r="E2314" s="411">
        <v>300</v>
      </c>
      <c r="F2314" s="390" t="s">
        <v>1156</v>
      </c>
      <c r="G2314" s="362"/>
      <c r="H2314" s="308"/>
      <c r="I2314" s="362"/>
      <c r="J2314" s="415"/>
      <c r="AX2314" s="117"/>
      <c r="AY2314" s="117"/>
      <c r="AZ2314" s="117"/>
      <c r="BA2314" s="117"/>
      <c r="BB2314" s="117"/>
      <c r="BC2314" s="117"/>
      <c r="BD2314" s="117"/>
    </row>
    <row r="2315" spans="1:56">
      <c r="A2315" s="114"/>
      <c r="B2315" s="398" t="s">
        <v>1157</v>
      </c>
      <c r="C2315" s="21"/>
      <c r="D2315" s="413"/>
      <c r="E2315" s="451">
        <v>7</v>
      </c>
      <c r="F2315" s="390" t="s">
        <v>10</v>
      </c>
      <c r="G2315" s="362"/>
      <c r="H2315" s="115"/>
      <c r="I2315" s="362"/>
      <c r="J2315" s="362"/>
      <c r="AX2315" s="117"/>
      <c r="AY2315" s="117"/>
      <c r="AZ2315" s="117"/>
      <c r="BA2315" s="117"/>
      <c r="BB2315" s="117"/>
      <c r="BC2315" s="117"/>
      <c r="BD2315" s="117"/>
    </row>
    <row r="2316" spans="1:56" ht="15">
      <c r="A2316" s="114"/>
      <c r="B2316" s="398" t="s">
        <v>1158</v>
      </c>
      <c r="C2316" s="21"/>
      <c r="D2316" s="413"/>
      <c r="E2316" s="412">
        <f>E2313*E2315</f>
        <v>448</v>
      </c>
      <c r="F2316" s="390" t="s">
        <v>10</v>
      </c>
      <c r="G2316" s="362"/>
      <c r="H2316" s="362"/>
      <c r="I2316" s="362"/>
      <c r="J2316" s="362"/>
      <c r="AX2316" s="117"/>
      <c r="AY2316" s="117"/>
      <c r="AZ2316" s="117"/>
      <c r="BA2316" s="117"/>
      <c r="BB2316" s="117"/>
      <c r="BC2316" s="117"/>
      <c r="BD2316" s="117"/>
    </row>
    <row r="2317" spans="1:56" ht="15">
      <c r="A2317" s="114"/>
      <c r="B2317" s="362"/>
      <c r="C2317" s="362"/>
      <c r="D2317" s="362"/>
      <c r="E2317" s="410"/>
      <c r="F2317" s="362"/>
      <c r="G2317" s="362"/>
      <c r="H2317" s="196" t="s">
        <v>1131</v>
      </c>
      <c r="I2317" s="362"/>
      <c r="J2317" s="362"/>
      <c r="AX2317" s="117"/>
      <c r="AY2317" s="117"/>
      <c r="AZ2317" s="117"/>
      <c r="BA2317" s="117"/>
      <c r="BB2317" s="117"/>
      <c r="BC2317" s="117"/>
      <c r="BD2317" s="117"/>
    </row>
    <row r="2318" spans="1:56" ht="15">
      <c r="A2318" s="114"/>
      <c r="B2318" s="303" t="s">
        <v>1160</v>
      </c>
      <c r="C2318" s="362"/>
      <c r="D2318" s="362"/>
      <c r="E2318" s="410"/>
      <c r="F2318" s="362"/>
      <c r="G2318" s="362"/>
      <c r="H2318" s="362"/>
      <c r="I2318" s="362"/>
      <c r="J2318" s="362"/>
      <c r="AX2318" s="117"/>
      <c r="AY2318" s="117"/>
      <c r="AZ2318" s="117"/>
      <c r="BA2318" s="117"/>
      <c r="BB2318" s="117"/>
      <c r="BC2318" s="117"/>
      <c r="BD2318" s="117"/>
    </row>
    <row r="2319" spans="1:56" ht="18">
      <c r="A2319" s="114"/>
      <c r="B2319" s="398" t="s">
        <v>1128</v>
      </c>
      <c r="C2319" s="172"/>
      <c r="D2319" s="173"/>
      <c r="E2319" s="402">
        <f>E2309*0.05</f>
        <v>5.1035172657566195</v>
      </c>
      <c r="F2319" s="390" t="s">
        <v>1124</v>
      </c>
      <c r="G2319" s="362"/>
      <c r="H2319" s="362"/>
      <c r="I2319" s="362"/>
      <c r="J2319" s="362"/>
      <c r="AX2319" s="117"/>
      <c r="AY2319" s="117"/>
      <c r="AZ2319" s="117"/>
      <c r="BA2319" s="117"/>
      <c r="BB2319" s="117"/>
      <c r="BC2319" s="117"/>
      <c r="BD2319" s="117"/>
    </row>
    <row r="2320" spans="1:56" ht="15">
      <c r="A2320" s="114"/>
      <c r="B2320" s="398" t="s">
        <v>1129</v>
      </c>
      <c r="C2320" s="172"/>
      <c r="D2320" s="173"/>
      <c r="E2320" s="397">
        <f>(PI()*5.5*C2298)*C2299</f>
        <v>55.292030703180359</v>
      </c>
      <c r="F2320" s="390" t="s">
        <v>13</v>
      </c>
      <c r="G2320" s="362"/>
      <c r="H2320" s="362"/>
      <c r="I2320" s="362"/>
      <c r="J2320" s="362"/>
      <c r="AX2320" s="117"/>
      <c r="AY2320" s="117"/>
      <c r="AZ2320" s="117"/>
      <c r="BA2320" s="117"/>
      <c r="BB2320" s="117"/>
      <c r="BC2320" s="117"/>
      <c r="BD2320" s="117"/>
    </row>
    <row r="2321" spans="1:56" ht="18">
      <c r="A2321" s="114"/>
      <c r="B2321" s="398" t="s">
        <v>1130</v>
      </c>
      <c r="C2321" s="172"/>
      <c r="D2321" s="173"/>
      <c r="E2321" s="402">
        <f>(C2296*C2298)*C2299</f>
        <v>76.026542216872997</v>
      </c>
      <c r="F2321" s="390" t="s">
        <v>1124</v>
      </c>
      <c r="G2321" s="362"/>
      <c r="H2321" s="362"/>
      <c r="I2321" s="362"/>
      <c r="J2321" s="362"/>
      <c r="AX2321" s="117"/>
      <c r="AY2321" s="117"/>
      <c r="AZ2321" s="117"/>
      <c r="BA2321" s="117"/>
      <c r="BB2321" s="117"/>
      <c r="BC2321" s="117"/>
      <c r="BD2321" s="117"/>
    </row>
    <row r="2322" spans="1:56" ht="15">
      <c r="A2322" s="114"/>
      <c r="B2322" s="196"/>
      <c r="C2322" s="196"/>
      <c r="D2322" s="196"/>
      <c r="E2322" s="196"/>
      <c r="F2322" s="196"/>
      <c r="G2322" s="196"/>
      <c r="H2322" s="196"/>
      <c r="I2322" s="196"/>
      <c r="J2322" s="114"/>
      <c r="AW2322" s="117"/>
      <c r="AX2322" s="117"/>
      <c r="AY2322" s="117"/>
      <c r="AZ2322" s="117"/>
      <c r="BA2322" s="117"/>
      <c r="BB2322" s="117"/>
      <c r="BC2322" s="117"/>
      <c r="BD2322" s="117"/>
    </row>
    <row r="2323" spans="1:56" customFormat="1" ht="13.5" thickBot="1">
      <c r="B2323" s="362"/>
      <c r="C2323" s="362"/>
      <c r="D2323" s="362"/>
      <c r="E2323" s="362"/>
      <c r="F2323" s="362"/>
      <c r="G2323" s="362"/>
      <c r="H2323" s="362"/>
      <c r="I2323" s="362"/>
      <c r="J2323" s="362"/>
    </row>
    <row r="2324" spans="1:56">
      <c r="A2324" s="114"/>
      <c r="B2324" s="702" t="s">
        <v>1189</v>
      </c>
      <c r="C2324" s="282"/>
      <c r="D2324" s="282"/>
      <c r="E2324" s="282"/>
      <c r="F2324" s="283"/>
      <c r="G2324" s="362"/>
      <c r="H2324" s="362"/>
      <c r="I2324" s="362"/>
      <c r="J2324" s="114"/>
      <c r="AU2324" s="117"/>
      <c r="AV2324" s="117"/>
      <c r="AW2324" s="117"/>
      <c r="AX2324" s="117"/>
      <c r="AY2324" s="117"/>
      <c r="AZ2324" s="117"/>
      <c r="BA2324" s="117"/>
      <c r="BB2324" s="117"/>
      <c r="BC2324" s="117"/>
      <c r="BD2324" s="117"/>
    </row>
    <row r="2325" spans="1:56" ht="15">
      <c r="A2325" s="114"/>
      <c r="B2325" s="693"/>
      <c r="C2325" s="196"/>
      <c r="D2325" s="196"/>
      <c r="E2325" s="196"/>
      <c r="F2325" s="284"/>
      <c r="G2325" s="362"/>
      <c r="H2325" s="362"/>
      <c r="I2325" s="362"/>
      <c r="J2325" s="114"/>
      <c r="AU2325" s="117"/>
      <c r="AV2325" s="117"/>
      <c r="AW2325" s="117"/>
      <c r="AX2325" s="117"/>
      <c r="AY2325" s="117"/>
      <c r="AZ2325" s="117"/>
      <c r="BA2325" s="117"/>
      <c r="BB2325" s="117"/>
      <c r="BC2325" s="117"/>
      <c r="BD2325" s="117"/>
    </row>
    <row r="2326" spans="1:56" ht="15">
      <c r="A2326" s="114"/>
      <c r="B2326" s="691" t="s">
        <v>1122</v>
      </c>
      <c r="C2326" s="410"/>
      <c r="D2326" s="1008"/>
      <c r="E2326" s="1008"/>
      <c r="F2326" s="424"/>
      <c r="G2326" s="362"/>
      <c r="H2326" s="362"/>
      <c r="I2326" s="362"/>
      <c r="J2326" s="114"/>
      <c r="AU2326" s="117"/>
      <c r="AV2326" s="117"/>
      <c r="AW2326" s="117"/>
      <c r="AX2326" s="117"/>
      <c r="AY2326" s="117"/>
      <c r="AZ2326" s="117"/>
      <c r="BA2326" s="117"/>
      <c r="BB2326" s="117"/>
      <c r="BC2326" s="117"/>
      <c r="BD2326" s="117"/>
    </row>
    <row r="2327" spans="1:56" ht="18">
      <c r="A2327" s="114"/>
      <c r="B2327" s="1011" t="s">
        <v>1123</v>
      </c>
      <c r="C2327" s="172"/>
      <c r="D2327" s="173"/>
      <c r="E2327" s="425">
        <f>E2307</f>
        <v>96.813454512259113</v>
      </c>
      <c r="F2327" s="139" t="s">
        <v>1124</v>
      </c>
      <c r="G2327" s="362"/>
      <c r="H2327" s="362"/>
      <c r="I2327" s="362"/>
      <c r="J2327" s="114"/>
      <c r="AU2327" s="117"/>
      <c r="AV2327" s="117"/>
      <c r="AW2327" s="117"/>
      <c r="AX2327" s="117"/>
      <c r="AY2327" s="117"/>
      <c r="AZ2327" s="117"/>
      <c r="BA2327" s="117"/>
      <c r="BB2327" s="117"/>
      <c r="BC2327" s="117"/>
      <c r="BD2327" s="117"/>
    </row>
    <row r="2328" spans="1:56" ht="18">
      <c r="A2328" s="114"/>
      <c r="B2328" s="1011" t="s">
        <v>1190</v>
      </c>
      <c r="C2328" s="172"/>
      <c r="D2328" s="173"/>
      <c r="E2328" s="446">
        <f>E2308</f>
        <v>34.690030583847744</v>
      </c>
      <c r="F2328" s="139" t="s">
        <v>1124</v>
      </c>
      <c r="G2328" s="362"/>
      <c r="H2328" s="362"/>
      <c r="I2328" s="362"/>
      <c r="J2328" s="114"/>
      <c r="AU2328" s="117"/>
      <c r="AV2328" s="117"/>
      <c r="AW2328" s="117"/>
      <c r="AX2328" s="117"/>
      <c r="AY2328" s="117"/>
      <c r="AZ2328" s="117"/>
      <c r="BA2328" s="117"/>
      <c r="BB2328" s="117"/>
      <c r="BC2328" s="117"/>
      <c r="BD2328" s="117"/>
    </row>
    <row r="2329" spans="1:56" ht="18.75" customHeight="1">
      <c r="A2329" s="114"/>
      <c r="B2329" s="1011" t="s">
        <v>1191</v>
      </c>
      <c r="C2329" s="172"/>
      <c r="D2329" s="173"/>
      <c r="E2329" s="446">
        <f>E2309</f>
        <v>102.07034531513239</v>
      </c>
      <c r="F2329" s="139" t="s">
        <v>13</v>
      </c>
      <c r="G2329" s="362"/>
      <c r="H2329" s="362"/>
      <c r="I2329" s="362"/>
      <c r="J2329" s="114"/>
      <c r="AU2329" s="117"/>
      <c r="AV2329" s="117"/>
      <c r="AW2329" s="117"/>
      <c r="AX2329" s="117"/>
      <c r="AY2329" s="117"/>
      <c r="AZ2329" s="117"/>
      <c r="BA2329" s="117"/>
      <c r="BB2329" s="117"/>
      <c r="BC2329" s="117"/>
      <c r="BD2329" s="117"/>
    </row>
    <row r="2330" spans="1:56" ht="15">
      <c r="A2330" s="114"/>
      <c r="B2330" s="40"/>
      <c r="C2330" s="1008"/>
      <c r="D2330" s="1008"/>
      <c r="E2330" s="401"/>
      <c r="F2330" s="284"/>
      <c r="G2330" s="362"/>
      <c r="H2330" s="362"/>
      <c r="I2330" s="362"/>
      <c r="J2330" s="114"/>
      <c r="AU2330" s="117"/>
      <c r="AV2330" s="117"/>
      <c r="AW2330" s="117"/>
      <c r="AX2330" s="117"/>
      <c r="AY2330" s="117"/>
      <c r="AZ2330" s="117"/>
      <c r="BA2330" s="117"/>
      <c r="BB2330" s="117"/>
      <c r="BC2330" s="117"/>
      <c r="BD2330" s="117"/>
    </row>
    <row r="2331" spans="1:56" ht="17.25" customHeight="1">
      <c r="A2331" s="114"/>
      <c r="B2331" s="1011" t="s">
        <v>317</v>
      </c>
      <c r="C2331" s="172"/>
      <c r="D2331" s="173"/>
      <c r="E2331" s="425">
        <f>E2319</f>
        <v>5.1035172657566195</v>
      </c>
      <c r="F2331" s="139" t="s">
        <v>1124</v>
      </c>
      <c r="G2331" s="196"/>
      <c r="H2331" s="196"/>
      <c r="I2331" s="196"/>
      <c r="J2331" s="114"/>
      <c r="AU2331" s="117"/>
      <c r="AV2331" s="117"/>
      <c r="AW2331" s="117"/>
      <c r="AX2331" s="117"/>
      <c r="AY2331" s="117"/>
      <c r="AZ2331" s="117"/>
      <c r="BA2331" s="117"/>
      <c r="BB2331" s="117"/>
      <c r="BC2331" s="117"/>
      <c r="BD2331" s="117"/>
    </row>
    <row r="2332" spans="1:56" ht="15.75" customHeight="1">
      <c r="A2332" s="114"/>
      <c r="B2332" s="1011" t="s">
        <v>1192</v>
      </c>
      <c r="C2332" s="172"/>
      <c r="D2332" s="173"/>
      <c r="E2332" s="425">
        <f>E2320</f>
        <v>55.292030703180359</v>
      </c>
      <c r="F2332" s="139" t="s">
        <v>13</v>
      </c>
      <c r="G2332" s="196"/>
      <c r="H2332" s="196"/>
      <c r="I2332" s="196"/>
      <c r="J2332" s="114"/>
      <c r="AU2332" s="117"/>
      <c r="AV2332" s="117"/>
      <c r="AW2332" s="117"/>
      <c r="AX2332" s="117"/>
      <c r="AY2332" s="117"/>
      <c r="AZ2332" s="117"/>
      <c r="BA2332" s="117"/>
      <c r="BB2332" s="117"/>
      <c r="BC2332" s="117"/>
      <c r="BD2332" s="117"/>
    </row>
    <row r="2333" spans="1:56" ht="18">
      <c r="A2333" s="114"/>
      <c r="B2333" s="1011" t="s">
        <v>316</v>
      </c>
      <c r="C2333" s="172"/>
      <c r="D2333" s="173"/>
      <c r="E2333" s="425">
        <f>E2321</f>
        <v>76.026542216872997</v>
      </c>
      <c r="F2333" s="139" t="s">
        <v>1124</v>
      </c>
      <c r="G2333" s="196"/>
      <c r="H2333" s="196"/>
      <c r="I2333" s="196"/>
      <c r="J2333" s="114"/>
      <c r="AU2333" s="117"/>
      <c r="AV2333" s="117"/>
      <c r="AW2333" s="117"/>
      <c r="AX2333" s="117"/>
      <c r="AY2333" s="117"/>
      <c r="AZ2333" s="117"/>
      <c r="BA2333" s="117"/>
      <c r="BB2333" s="117"/>
      <c r="BC2333" s="117"/>
      <c r="BD2333" s="117"/>
    </row>
    <row r="2334" spans="1:56">
      <c r="A2334" s="114"/>
      <c r="B2334" s="690"/>
      <c r="C2334" s="115"/>
      <c r="D2334" s="115"/>
      <c r="E2334" s="115"/>
      <c r="F2334" s="182"/>
      <c r="G2334" s="362"/>
      <c r="H2334" s="362"/>
      <c r="I2334" s="362"/>
      <c r="J2334" s="114"/>
      <c r="AU2334" s="117"/>
      <c r="AV2334" s="117"/>
      <c r="AW2334" s="117"/>
      <c r="AX2334" s="117"/>
      <c r="AY2334" s="117"/>
      <c r="AZ2334" s="117"/>
      <c r="BA2334" s="117"/>
      <c r="BB2334" s="117"/>
      <c r="BC2334" s="117"/>
      <c r="BD2334" s="117"/>
    </row>
    <row r="2335" spans="1:56">
      <c r="A2335" s="114"/>
      <c r="B2335" s="691" t="s">
        <v>1193</v>
      </c>
      <c r="C2335" s="1008"/>
      <c r="D2335" s="452" t="s">
        <v>1194</v>
      </c>
      <c r="E2335" s="452" t="s">
        <v>67</v>
      </c>
      <c r="F2335" s="182"/>
      <c r="G2335" s="362"/>
      <c r="H2335" s="362"/>
      <c r="I2335" s="362"/>
      <c r="J2335" s="114"/>
      <c r="AU2335" s="117"/>
      <c r="AV2335" s="117"/>
      <c r="AW2335" s="117"/>
      <c r="AX2335" s="117"/>
      <c r="AY2335" s="117"/>
      <c r="AZ2335" s="117"/>
      <c r="BA2335" s="117"/>
      <c r="BB2335" s="117"/>
      <c r="BC2335" s="117"/>
      <c r="BD2335" s="117"/>
    </row>
    <row r="2336" spans="1:56">
      <c r="A2336" s="114"/>
      <c r="B2336" s="1011" t="s">
        <v>1214</v>
      </c>
      <c r="C2336" s="413"/>
      <c r="D2336" s="291">
        <f>E2316</f>
        <v>448</v>
      </c>
      <c r="E2336" s="427">
        <f>E2313</f>
        <v>64</v>
      </c>
      <c r="F2336" s="182"/>
      <c r="G2336" s="362"/>
      <c r="H2336" s="362"/>
      <c r="I2336" s="362"/>
      <c r="J2336" s="114"/>
      <c r="AU2336" s="117"/>
      <c r="AV2336" s="117"/>
      <c r="AW2336" s="117"/>
      <c r="AX2336" s="117"/>
      <c r="AY2336" s="117"/>
      <c r="AZ2336" s="117"/>
      <c r="BA2336" s="117"/>
      <c r="BB2336" s="117"/>
      <c r="BC2336" s="117"/>
      <c r="BD2336" s="117"/>
    </row>
    <row r="2337" spans="1:56">
      <c r="A2337" s="114"/>
      <c r="B2337" s="690"/>
      <c r="C2337" s="115"/>
      <c r="D2337" s="115"/>
      <c r="E2337" s="115"/>
      <c r="F2337" s="182"/>
      <c r="G2337" s="1008"/>
      <c r="H2337" s="1008"/>
      <c r="I2337" s="1008"/>
      <c r="J2337" s="114"/>
      <c r="AU2337" s="117"/>
      <c r="AV2337" s="117"/>
      <c r="AW2337" s="117"/>
      <c r="AX2337" s="117"/>
      <c r="AY2337" s="117"/>
      <c r="AZ2337" s="117"/>
      <c r="BA2337" s="117"/>
      <c r="BB2337" s="117"/>
      <c r="BC2337" s="117"/>
      <c r="BD2337" s="117"/>
    </row>
    <row r="2338" spans="1:56" thickBot="1">
      <c r="A2338" s="114"/>
      <c r="B2338" s="704" t="s">
        <v>102</v>
      </c>
      <c r="C2338" s="1016">
        <v>4180</v>
      </c>
      <c r="D2338" s="1018" t="s">
        <v>12</v>
      </c>
      <c r="E2338" s="1020" t="s">
        <v>1215</v>
      </c>
      <c r="F2338" s="440"/>
      <c r="G2338" s="1008"/>
      <c r="H2338" s="1008"/>
      <c r="I2338" s="1008"/>
      <c r="J2338" s="114"/>
      <c r="AU2338" s="117"/>
      <c r="AV2338" s="117"/>
      <c r="AW2338" s="117"/>
      <c r="AX2338" s="117"/>
      <c r="AY2338" s="117"/>
      <c r="AZ2338" s="117"/>
      <c r="BA2338" s="117"/>
      <c r="BB2338" s="117"/>
      <c r="BC2338" s="117"/>
      <c r="BD2338" s="117"/>
    </row>
    <row r="2339" spans="1:56" ht="15">
      <c r="A2339" s="114"/>
      <c r="B2339" s="196"/>
      <c r="C2339" s="196"/>
      <c r="D2339" s="196"/>
      <c r="E2339" s="196"/>
      <c r="F2339" s="196"/>
      <c r="G2339" s="196"/>
      <c r="H2339" s="196"/>
      <c r="I2339" s="196"/>
      <c r="J2339" s="114"/>
      <c r="AW2339" s="117"/>
      <c r="AX2339" s="117"/>
      <c r="AY2339" s="117"/>
      <c r="AZ2339" s="117"/>
      <c r="BA2339" s="117"/>
      <c r="BB2339" s="117"/>
      <c r="BC2339" s="117"/>
      <c r="BD2339" s="117"/>
    </row>
    <row r="2340" spans="1:56" thickBot="1">
      <c r="A2340" s="114"/>
      <c r="B2340" s="196"/>
      <c r="C2340" s="196"/>
      <c r="D2340" s="196"/>
      <c r="E2340" s="196"/>
      <c r="F2340" s="196"/>
      <c r="G2340" s="196"/>
      <c r="H2340" s="196"/>
      <c r="I2340" s="196"/>
      <c r="J2340" s="114"/>
      <c r="AW2340" s="117"/>
      <c r="AX2340" s="117"/>
      <c r="AY2340" s="117"/>
      <c r="AZ2340" s="117"/>
      <c r="BA2340" s="117"/>
      <c r="BB2340" s="117"/>
      <c r="BC2340" s="117"/>
      <c r="BD2340" s="117"/>
    </row>
    <row r="2341" spans="1:56">
      <c r="A2341" s="114"/>
      <c r="B2341" s="702" t="s">
        <v>320</v>
      </c>
      <c r="C2341" s="282"/>
      <c r="D2341" s="282"/>
      <c r="E2341" s="282"/>
      <c r="F2341" s="283"/>
      <c r="G2341" s="196"/>
      <c r="H2341" s="196"/>
      <c r="I2341" s="196"/>
      <c r="J2341" s="114"/>
      <c r="AW2341" s="117"/>
      <c r="AX2341" s="117"/>
      <c r="AY2341" s="117"/>
      <c r="AZ2341" s="117"/>
      <c r="BA2341" s="117"/>
      <c r="BB2341" s="117"/>
      <c r="BC2341" s="117"/>
      <c r="BD2341" s="117"/>
    </row>
    <row r="2342" spans="1:56" ht="15">
      <c r="A2342" s="114"/>
      <c r="B2342" s="693"/>
      <c r="C2342" s="196"/>
      <c r="D2342" s="196"/>
      <c r="E2342" s="196"/>
      <c r="F2342" s="284"/>
      <c r="G2342" s="196"/>
      <c r="H2342" s="196"/>
      <c r="I2342" s="196"/>
      <c r="J2342" s="114"/>
      <c r="AW2342" s="117"/>
      <c r="AX2342" s="117"/>
      <c r="AY2342" s="117"/>
      <c r="AZ2342" s="117"/>
      <c r="BA2342" s="117"/>
      <c r="BB2342" s="117"/>
      <c r="BC2342" s="117"/>
      <c r="BD2342" s="117"/>
    </row>
    <row r="2343" spans="1:56" ht="15">
      <c r="A2343" s="114"/>
      <c r="B2343" s="691" t="s">
        <v>1216</v>
      </c>
      <c r="C2343" s="196"/>
      <c r="D2343" s="196"/>
      <c r="E2343" s="196"/>
      <c r="F2343" s="284"/>
      <c r="G2343" s="196"/>
      <c r="H2343" s="196"/>
      <c r="I2343" s="196"/>
      <c r="J2343" s="114"/>
      <c r="AW2343" s="117"/>
      <c r="AX2343" s="117"/>
      <c r="AY2343" s="117"/>
      <c r="AZ2343" s="117"/>
      <c r="BA2343" s="117"/>
      <c r="BB2343" s="117"/>
      <c r="BC2343" s="117"/>
      <c r="BD2343" s="117"/>
    </row>
    <row r="2344" spans="1:56" ht="15">
      <c r="A2344" s="114"/>
      <c r="B2344" s="703" t="s">
        <v>102</v>
      </c>
      <c r="C2344" s="285">
        <v>25402</v>
      </c>
      <c r="D2344" s="286" t="s">
        <v>12</v>
      </c>
      <c r="E2344" s="769" t="s">
        <v>1217</v>
      </c>
      <c r="F2344" s="336"/>
      <c r="G2344" s="196"/>
      <c r="H2344" s="196"/>
      <c r="I2344" s="196"/>
      <c r="J2344" s="114"/>
      <c r="AW2344" s="117"/>
      <c r="AX2344" s="117"/>
      <c r="AY2344" s="117"/>
      <c r="AZ2344" s="117"/>
      <c r="BA2344" s="117"/>
      <c r="BB2344" s="117"/>
      <c r="BC2344" s="117"/>
      <c r="BD2344" s="117"/>
    </row>
    <row r="2345" spans="1:56" ht="15">
      <c r="A2345" s="114"/>
      <c r="B2345" s="694"/>
      <c r="C2345" s="287"/>
      <c r="D2345" s="196"/>
      <c r="E2345" s="288"/>
      <c r="F2345" s="284"/>
      <c r="G2345" s="196"/>
      <c r="H2345" s="196"/>
      <c r="I2345" s="196"/>
      <c r="J2345" s="114"/>
      <c r="AW2345" s="117"/>
      <c r="AX2345" s="117"/>
      <c r="AY2345" s="117"/>
      <c r="AZ2345" s="117"/>
      <c r="BA2345" s="117"/>
      <c r="BB2345" s="117"/>
      <c r="BC2345" s="117"/>
      <c r="BD2345" s="117"/>
    </row>
    <row r="2346" spans="1:56" customFormat="1" ht="15">
      <c r="B2346" s="691" t="s">
        <v>351</v>
      </c>
      <c r="C2346" s="6"/>
      <c r="D2346" s="763"/>
      <c r="E2346" s="763"/>
      <c r="F2346" s="424"/>
      <c r="G2346" s="362"/>
      <c r="H2346" s="362"/>
      <c r="I2346" s="362"/>
      <c r="J2346" s="362"/>
    </row>
    <row r="2347" spans="1:56" customFormat="1" thickBot="1">
      <c r="B2347" s="720" t="s">
        <v>1218</v>
      </c>
      <c r="C2347" s="174"/>
      <c r="D2347" s="176"/>
      <c r="E2347" s="428">
        <f>SUM(C2338,C2344)</f>
        <v>29582</v>
      </c>
      <c r="F2347" s="440" t="s">
        <v>12</v>
      </c>
      <c r="G2347" s="362"/>
      <c r="H2347" s="362"/>
      <c r="I2347" s="362"/>
      <c r="J2347" s="362"/>
    </row>
    <row r="2348" spans="1:56" ht="16.5" thickBot="1">
      <c r="A2348" s="114"/>
      <c r="B2348" s="288"/>
      <c r="C2348" s="362"/>
      <c r="D2348" s="430"/>
      <c r="E2348" s="430"/>
      <c r="F2348" s="115"/>
      <c r="G2348" s="362"/>
      <c r="H2348" s="362"/>
      <c r="I2348" s="362"/>
      <c r="J2348" s="114"/>
      <c r="AU2348" s="117"/>
      <c r="AV2348" s="117"/>
      <c r="AW2348" s="117"/>
      <c r="AX2348" s="117"/>
      <c r="AY2348" s="117"/>
      <c r="AZ2348" s="117"/>
      <c r="BA2348" s="117"/>
      <c r="BB2348" s="117"/>
      <c r="BC2348" s="117"/>
      <c r="BD2348" s="117"/>
    </row>
    <row r="2349" spans="1:56" ht="15">
      <c r="A2349" s="114"/>
      <c r="B2349" s="761" t="s">
        <v>2273</v>
      </c>
      <c r="C2349" s="453"/>
      <c r="D2349" s="453"/>
      <c r="E2349" s="453"/>
      <c r="F2349" s="453"/>
      <c r="G2349" s="453"/>
      <c r="H2349" s="454"/>
      <c r="I2349" s="454"/>
      <c r="J2349" s="565"/>
      <c r="AW2349" s="117"/>
      <c r="AX2349" s="117"/>
      <c r="AY2349" s="117"/>
      <c r="AZ2349" s="117"/>
      <c r="BA2349" s="117"/>
      <c r="BB2349" s="117"/>
      <c r="BC2349" s="117"/>
      <c r="BD2349" s="117"/>
    </row>
    <row r="2350" spans="1:56" ht="15">
      <c r="A2350" s="114"/>
      <c r="B2350" s="293"/>
      <c r="C2350" s="387"/>
      <c r="D2350" s="387"/>
      <c r="E2350" s="387"/>
      <c r="F2350" s="387"/>
      <c r="G2350" s="387"/>
      <c r="H2350" s="386"/>
      <c r="I2350" s="386"/>
      <c r="J2350" s="6"/>
      <c r="AW2350" s="117"/>
      <c r="AX2350" s="117"/>
      <c r="AY2350" s="117"/>
      <c r="AZ2350" s="117"/>
      <c r="BA2350" s="117"/>
      <c r="BB2350" s="117"/>
      <c r="BC2350" s="117"/>
      <c r="BD2350" s="117"/>
    </row>
    <row r="2351" spans="1:56" ht="15">
      <c r="A2351" s="114"/>
      <c r="B2351" s="288" t="s">
        <v>1787</v>
      </c>
      <c r="C2351" s="230"/>
      <c r="D2351" s="230"/>
      <c r="E2351" s="384"/>
      <c r="F2351" s="196"/>
      <c r="G2351" s="196"/>
      <c r="H2351" s="196"/>
      <c r="I2351" s="196"/>
      <c r="J2351" s="114"/>
      <c r="AW2351" s="117"/>
      <c r="AX2351" s="117"/>
      <c r="AY2351" s="117"/>
      <c r="AZ2351" s="117"/>
      <c r="BA2351" s="117"/>
      <c r="BB2351" s="117"/>
      <c r="BC2351" s="117"/>
      <c r="BD2351" s="117"/>
    </row>
    <row r="2352" spans="1:56" ht="15">
      <c r="A2352" s="114"/>
      <c r="B2352" s="293"/>
      <c r="C2352" s="387"/>
      <c r="D2352" s="387"/>
      <c r="E2352" s="387"/>
      <c r="F2352" s="387"/>
      <c r="G2352" s="387"/>
      <c r="H2352" s="386"/>
      <c r="I2352" s="386"/>
      <c r="J2352" s="6"/>
      <c r="AW2352" s="117"/>
      <c r="AX2352" s="117"/>
      <c r="AY2352" s="117"/>
      <c r="AZ2352" s="117"/>
      <c r="BA2352" s="117"/>
      <c r="BB2352" s="117"/>
      <c r="BC2352" s="117"/>
      <c r="BD2352" s="117"/>
    </row>
    <row r="2353" spans="1:56">
      <c r="A2353" s="114"/>
      <c r="B2353" s="385" t="s">
        <v>1219</v>
      </c>
      <c r="C2353" s="196"/>
      <c r="D2353" s="196"/>
      <c r="E2353" s="196"/>
      <c r="F2353" s="196"/>
      <c r="G2353" s="196"/>
      <c r="H2353" s="196"/>
      <c r="I2353" s="196"/>
      <c r="J2353" s="114"/>
      <c r="AW2353" s="117"/>
      <c r="AX2353" s="117"/>
      <c r="AY2353" s="117"/>
      <c r="AZ2353" s="117"/>
      <c r="BA2353" s="117"/>
      <c r="BB2353" s="117"/>
      <c r="BC2353" s="117"/>
      <c r="BD2353" s="117"/>
    </row>
    <row r="2354" spans="1:56" ht="15">
      <c r="A2354" s="114"/>
      <c r="B2354" s="196"/>
      <c r="C2354" s="196"/>
      <c r="D2354" s="196"/>
      <c r="E2354" s="196"/>
      <c r="F2354" s="196"/>
      <c r="G2354" s="196"/>
      <c r="H2354" s="196"/>
      <c r="I2354" s="196"/>
      <c r="J2354" s="114"/>
      <c r="AW2354" s="117"/>
      <c r="AX2354" s="117"/>
      <c r="AY2354" s="117"/>
      <c r="AZ2354" s="117"/>
      <c r="BA2354" s="117"/>
      <c r="BB2354" s="117"/>
      <c r="BC2354" s="117"/>
      <c r="BD2354" s="117"/>
    </row>
    <row r="2355" spans="1:56" ht="15">
      <c r="A2355" s="114"/>
      <c r="B2355" s="388" t="s">
        <v>1110</v>
      </c>
      <c r="C2355" s="389">
        <v>0.2</v>
      </c>
      <c r="D2355" s="390" t="s">
        <v>10</v>
      </c>
      <c r="E2355" s="196"/>
      <c r="F2355" s="196"/>
      <c r="G2355" s="392"/>
      <c r="H2355" s="393"/>
      <c r="I2355" s="196"/>
      <c r="J2355" s="114"/>
      <c r="AW2355" s="117"/>
      <c r="AX2355" s="117"/>
      <c r="AY2355" s="117"/>
      <c r="AZ2355" s="117"/>
      <c r="BA2355" s="117"/>
      <c r="BB2355" s="117"/>
      <c r="BC2355" s="117"/>
      <c r="BD2355" s="117"/>
    </row>
    <row r="2356" spans="1:56" ht="15">
      <c r="A2356" s="114"/>
      <c r="B2356" s="388" t="s">
        <v>1111</v>
      </c>
      <c r="C2356" s="391">
        <v>51.25</v>
      </c>
      <c r="D2356" s="390" t="s">
        <v>10</v>
      </c>
      <c r="E2356" s="196"/>
      <c r="F2356" s="196"/>
      <c r="G2356" s="392"/>
      <c r="H2356" s="393"/>
      <c r="I2356" s="196"/>
      <c r="J2356" s="114"/>
      <c r="AW2356" s="117"/>
      <c r="AX2356" s="117"/>
      <c r="AY2356" s="117"/>
      <c r="AZ2356" s="117"/>
      <c r="BA2356" s="117"/>
      <c r="BB2356" s="117"/>
      <c r="BC2356" s="117"/>
      <c r="BD2356" s="117"/>
    </row>
    <row r="2357" spans="1:56" ht="15">
      <c r="A2357" s="114"/>
      <c r="B2357" s="388" t="s">
        <v>1112</v>
      </c>
      <c r="C2357" s="389">
        <v>0.4</v>
      </c>
      <c r="D2357" s="390" t="s">
        <v>10</v>
      </c>
      <c r="E2357" s="196"/>
      <c r="F2357" s="196"/>
      <c r="G2357" s="392"/>
      <c r="H2357" s="393"/>
      <c r="I2357" s="196"/>
      <c r="J2357" s="114"/>
      <c r="AW2357" s="117"/>
      <c r="AX2357" s="117"/>
      <c r="AY2357" s="117"/>
      <c r="AZ2357" s="117"/>
      <c r="BA2357" s="117"/>
      <c r="BB2357" s="117"/>
      <c r="BC2357" s="117"/>
      <c r="BD2357" s="117"/>
    </row>
    <row r="2358" spans="1:56" ht="15">
      <c r="A2358" s="114"/>
      <c r="B2358" s="388" t="s">
        <v>1113</v>
      </c>
      <c r="C2358" s="389">
        <v>0.7</v>
      </c>
      <c r="D2358" s="390" t="s">
        <v>10</v>
      </c>
      <c r="E2358" s="196"/>
      <c r="F2358" s="196"/>
      <c r="G2358" s="392"/>
      <c r="H2358" s="394"/>
      <c r="I2358" s="196"/>
      <c r="J2358" s="114"/>
      <c r="AW2358" s="117"/>
      <c r="AX2358" s="117"/>
      <c r="AY2358" s="117"/>
      <c r="AZ2358" s="117"/>
      <c r="BA2358" s="117"/>
      <c r="BB2358" s="117"/>
      <c r="BC2358" s="117"/>
      <c r="BD2358" s="117"/>
    </row>
    <row r="2359" spans="1:56" ht="15">
      <c r="A2359" s="114"/>
      <c r="B2359" s="388" t="s">
        <v>1117</v>
      </c>
      <c r="C2359" s="389">
        <v>1</v>
      </c>
      <c r="D2359" s="390" t="s">
        <v>1118</v>
      </c>
      <c r="E2359" s="196"/>
      <c r="F2359" s="196"/>
      <c r="G2359" s="392"/>
      <c r="H2359" s="393"/>
      <c r="I2359" s="196"/>
      <c r="J2359" s="114"/>
      <c r="AW2359" s="117"/>
      <c r="AX2359" s="117"/>
      <c r="AY2359" s="117"/>
      <c r="AZ2359" s="117"/>
      <c r="BA2359" s="117"/>
      <c r="BB2359" s="117"/>
      <c r="BC2359" s="117"/>
      <c r="BD2359" s="117"/>
    </row>
    <row r="2360" spans="1:56" ht="15">
      <c r="A2360" s="114"/>
      <c r="B2360" s="392"/>
      <c r="C2360" s="393"/>
      <c r="D2360" s="196"/>
      <c r="E2360" s="196"/>
      <c r="F2360" s="196"/>
      <c r="G2360" s="392"/>
      <c r="H2360" s="393"/>
      <c r="I2360" s="196"/>
      <c r="J2360" s="114"/>
      <c r="AW2360" s="117"/>
      <c r="AX2360" s="117"/>
      <c r="AY2360" s="117"/>
      <c r="AZ2360" s="117"/>
      <c r="BA2360" s="117"/>
      <c r="BB2360" s="117"/>
      <c r="BC2360" s="117"/>
      <c r="BD2360" s="117"/>
    </row>
    <row r="2361" spans="1:56" ht="15">
      <c r="A2361" s="114"/>
      <c r="B2361" s="388" t="s">
        <v>1114</v>
      </c>
      <c r="C2361" s="389">
        <v>0.6</v>
      </c>
      <c r="D2361" s="390" t="s">
        <v>10</v>
      </c>
      <c r="E2361" s="288" t="s">
        <v>1120</v>
      </c>
      <c r="F2361" s="288"/>
      <c r="G2361" s="230"/>
      <c r="H2361" s="395"/>
      <c r="I2361" s="196"/>
      <c r="J2361" s="114"/>
      <c r="AW2361" s="117"/>
      <c r="AX2361" s="117"/>
      <c r="AY2361" s="117"/>
      <c r="AZ2361" s="117"/>
      <c r="BA2361" s="117"/>
      <c r="BB2361" s="117"/>
      <c r="BC2361" s="117"/>
      <c r="BD2361" s="117"/>
    </row>
    <row r="2362" spans="1:56" ht="15">
      <c r="A2362" s="114"/>
      <c r="B2362" s="388" t="s">
        <v>1114</v>
      </c>
      <c r="C2362" s="389">
        <v>0.2</v>
      </c>
      <c r="D2362" s="390" t="s">
        <v>10</v>
      </c>
      <c r="E2362" s="288" t="s">
        <v>1121</v>
      </c>
      <c r="F2362" s="288"/>
      <c r="G2362" s="230"/>
      <c r="H2362" s="395"/>
      <c r="I2362" s="196"/>
      <c r="J2362" s="114"/>
      <c r="AW2362" s="117"/>
      <c r="AX2362" s="117"/>
      <c r="AY2362" s="117"/>
      <c r="AZ2362" s="117"/>
      <c r="BA2362" s="117"/>
      <c r="BB2362" s="117"/>
      <c r="BC2362" s="117"/>
      <c r="BD2362" s="117"/>
    </row>
    <row r="2363" spans="1:56" ht="15">
      <c r="A2363" s="114"/>
      <c r="B2363" s="196"/>
      <c r="C2363" s="196"/>
      <c r="D2363" s="196"/>
      <c r="E2363" s="196"/>
      <c r="F2363" s="196"/>
      <c r="G2363" s="196"/>
      <c r="H2363" s="196"/>
      <c r="I2363" s="196"/>
      <c r="J2363" s="114"/>
      <c r="AW2363" s="117"/>
      <c r="AX2363" s="117"/>
      <c r="AY2363" s="117"/>
      <c r="AZ2363" s="117"/>
      <c r="BA2363" s="117"/>
      <c r="BB2363" s="117"/>
      <c r="BC2363" s="117"/>
      <c r="BD2363" s="117"/>
    </row>
    <row r="2364" spans="1:56" ht="15">
      <c r="A2364" s="114"/>
      <c r="B2364" s="303" t="s">
        <v>1122</v>
      </c>
      <c r="C2364" s="362"/>
      <c r="D2364" s="362"/>
      <c r="E2364" s="196"/>
      <c r="F2364" s="196"/>
      <c r="G2364" s="196"/>
      <c r="H2364" s="196"/>
      <c r="I2364" s="196"/>
      <c r="J2364" s="114"/>
      <c r="AW2364" s="117"/>
      <c r="AX2364" s="117"/>
      <c r="AY2364" s="117"/>
      <c r="AZ2364" s="117"/>
      <c r="BA2364" s="117"/>
      <c r="BB2364" s="117"/>
      <c r="BC2364" s="117"/>
      <c r="BD2364" s="117"/>
    </row>
    <row r="2365" spans="1:56" ht="18">
      <c r="A2365" s="114"/>
      <c r="B2365" s="396" t="s">
        <v>1123</v>
      </c>
      <c r="C2365" s="289"/>
      <c r="D2365" s="290"/>
      <c r="E2365" s="397">
        <f>C2359*(C2361*2*(0.05+C2358+C2357)*C2356)</f>
        <v>70.724999999999994</v>
      </c>
      <c r="F2365" s="390" t="s">
        <v>1124</v>
      </c>
      <c r="G2365" s="196"/>
      <c r="H2365" s="196"/>
      <c r="I2365" s="196"/>
      <c r="J2365" s="114"/>
      <c r="AW2365" s="117"/>
      <c r="AX2365" s="117"/>
      <c r="AY2365" s="117"/>
      <c r="AZ2365" s="117"/>
      <c r="BA2365" s="117"/>
      <c r="BB2365" s="117"/>
      <c r="BC2365" s="117"/>
      <c r="BD2365" s="117"/>
    </row>
    <row r="2366" spans="1:56" ht="18">
      <c r="A2366" s="114"/>
      <c r="B2366" s="398" t="s">
        <v>1125</v>
      </c>
      <c r="C2366" s="172"/>
      <c r="D2366" s="173"/>
      <c r="E2366" s="397">
        <f>E2365-(E2370+E2372)</f>
        <v>62.524999999999991</v>
      </c>
      <c r="F2366" s="390" t="s">
        <v>1124</v>
      </c>
      <c r="G2366" s="196"/>
      <c r="H2366" s="196"/>
      <c r="I2366" s="196"/>
      <c r="J2366" s="114"/>
      <c r="AW2366" s="117"/>
      <c r="AX2366" s="117"/>
      <c r="AY2366" s="117"/>
      <c r="AZ2366" s="117"/>
      <c r="BA2366" s="117"/>
      <c r="BB2366" s="117"/>
      <c r="BC2366" s="117"/>
      <c r="BD2366" s="117"/>
    </row>
    <row r="2367" spans="1:56" ht="15">
      <c r="A2367" s="114"/>
      <c r="B2367" s="399" t="s">
        <v>1126</v>
      </c>
      <c r="C2367" s="317"/>
      <c r="D2367" s="318"/>
      <c r="E2367" s="400">
        <f>(2*C2362)*C2356</f>
        <v>20.5</v>
      </c>
      <c r="F2367" s="390" t="s">
        <v>13</v>
      </c>
      <c r="G2367" s="196"/>
      <c r="H2367" s="196"/>
      <c r="I2367" s="196"/>
      <c r="J2367" s="114"/>
      <c r="AW2367" s="117"/>
      <c r="AX2367" s="117"/>
      <c r="AY2367" s="117"/>
      <c r="AZ2367" s="117"/>
      <c r="BA2367" s="117"/>
      <c r="BB2367" s="117"/>
      <c r="BC2367" s="117"/>
      <c r="BD2367" s="117"/>
    </row>
    <row r="2368" spans="1:56" ht="15">
      <c r="A2368" s="114"/>
      <c r="B2368" s="196"/>
      <c r="C2368" s="196"/>
      <c r="D2368" s="196"/>
      <c r="E2368" s="401"/>
      <c r="F2368" s="196"/>
      <c r="G2368" s="196"/>
      <c r="H2368" s="196"/>
      <c r="I2368" s="196"/>
      <c r="J2368" s="114"/>
      <c r="AW2368" s="117"/>
      <c r="AX2368" s="117"/>
      <c r="AY2368" s="117"/>
      <c r="AZ2368" s="117"/>
      <c r="BA2368" s="117"/>
      <c r="BB2368" s="117"/>
      <c r="BC2368" s="117"/>
      <c r="BD2368" s="117"/>
    </row>
    <row r="2369" spans="1:56" ht="15">
      <c r="A2369" s="114"/>
      <c r="B2369" s="303" t="s">
        <v>1127</v>
      </c>
      <c r="C2369" s="196"/>
      <c r="D2369" s="196"/>
      <c r="E2369" s="401"/>
      <c r="F2369" s="196"/>
      <c r="G2369" s="196"/>
      <c r="H2369" s="196"/>
      <c r="I2369" s="196"/>
      <c r="J2369" s="114"/>
      <c r="AW2369" s="117"/>
      <c r="AX2369" s="117"/>
      <c r="AY2369" s="117"/>
      <c r="AZ2369" s="117"/>
      <c r="BA2369" s="117"/>
      <c r="BB2369" s="117"/>
      <c r="BC2369" s="117"/>
      <c r="BD2369" s="117"/>
    </row>
    <row r="2370" spans="1:56" ht="18">
      <c r="A2370" s="114"/>
      <c r="B2370" s="398" t="s">
        <v>1128</v>
      </c>
      <c r="C2370" s="172"/>
      <c r="D2370" s="173"/>
      <c r="E2370" s="402">
        <f>E2367*0.05</f>
        <v>1.0250000000000001</v>
      </c>
      <c r="F2370" s="390" t="s">
        <v>1124</v>
      </c>
      <c r="G2370" s="196"/>
      <c r="H2370" s="196"/>
      <c r="I2370" s="196"/>
      <c r="J2370" s="114"/>
      <c r="AW2370" s="117"/>
      <c r="AX2370" s="117"/>
      <c r="AY2370" s="117"/>
      <c r="AZ2370" s="117"/>
      <c r="BA2370" s="117"/>
      <c r="BB2370" s="117"/>
      <c r="BC2370" s="117"/>
      <c r="BD2370" s="117"/>
    </row>
    <row r="2371" spans="1:56" ht="15">
      <c r="A2371" s="114"/>
      <c r="B2371" s="398" t="s">
        <v>1129</v>
      </c>
      <c r="C2371" s="172"/>
      <c r="D2371" s="173"/>
      <c r="E2371" s="397">
        <f>C2358*2*C2356</f>
        <v>71.75</v>
      </c>
      <c r="F2371" s="390" t="s">
        <v>13</v>
      </c>
      <c r="G2371" s="393" t="s">
        <v>1108</v>
      </c>
      <c r="H2371" s="196" t="s">
        <v>1131</v>
      </c>
      <c r="I2371" s="393"/>
      <c r="J2371" s="114"/>
      <c r="AW2371" s="117"/>
      <c r="AX2371" s="117"/>
      <c r="AY2371" s="117"/>
      <c r="AZ2371" s="117"/>
      <c r="BA2371" s="117"/>
      <c r="BB2371" s="117"/>
      <c r="BC2371" s="117"/>
      <c r="BD2371" s="117"/>
    </row>
    <row r="2372" spans="1:56" ht="18">
      <c r="A2372" s="114"/>
      <c r="B2372" s="398" t="s">
        <v>1130</v>
      </c>
      <c r="C2372" s="172"/>
      <c r="D2372" s="173"/>
      <c r="E2372" s="402">
        <f>C2355*C2356*C2358</f>
        <v>7.1749999999999998</v>
      </c>
      <c r="F2372" s="390" t="s">
        <v>1124</v>
      </c>
      <c r="G2372" s="196"/>
      <c r="H2372" s="196"/>
      <c r="I2372" s="196"/>
      <c r="J2372" s="114"/>
      <c r="AW2372" s="117"/>
      <c r="AX2372" s="117"/>
      <c r="AY2372" s="117"/>
      <c r="AZ2372" s="117"/>
      <c r="BA2372" s="117"/>
      <c r="BB2372" s="117"/>
      <c r="BC2372" s="117"/>
      <c r="BD2372" s="117"/>
    </row>
    <row r="2373" spans="1:56" ht="15">
      <c r="A2373" s="114"/>
      <c r="B2373" s="196"/>
      <c r="C2373" s="196"/>
      <c r="D2373" s="196"/>
      <c r="E2373" s="196"/>
      <c r="F2373" s="196"/>
      <c r="G2373" s="196"/>
      <c r="H2373" s="196"/>
      <c r="I2373" s="196"/>
      <c r="J2373" s="114"/>
      <c r="AW2373" s="117"/>
      <c r="AX2373" s="117"/>
      <c r="AY2373" s="117"/>
      <c r="AZ2373" s="117"/>
      <c r="BA2373" s="117"/>
      <c r="BB2373" s="117"/>
      <c r="BC2373" s="117"/>
      <c r="BD2373" s="117"/>
    </row>
    <row r="2374" spans="1:56" ht="15">
      <c r="A2374" s="114"/>
      <c r="B2374" s="196"/>
      <c r="C2374" s="196"/>
      <c r="D2374" s="196"/>
      <c r="E2374" s="196"/>
      <c r="F2374" s="196"/>
      <c r="G2374" s="196"/>
      <c r="H2374" s="196"/>
      <c r="I2374" s="196"/>
      <c r="J2374" s="114"/>
      <c r="AW2374" s="117"/>
      <c r="AX2374" s="117"/>
      <c r="AY2374" s="117"/>
      <c r="AZ2374" s="117"/>
      <c r="BA2374" s="117"/>
      <c r="BB2374" s="117"/>
      <c r="BC2374" s="117"/>
      <c r="BD2374" s="117"/>
    </row>
    <row r="2375" spans="1:56">
      <c r="A2375" s="114"/>
      <c r="B2375" s="385" t="s">
        <v>1220</v>
      </c>
      <c r="C2375" s="196"/>
      <c r="D2375" s="196"/>
      <c r="E2375" s="196"/>
      <c r="F2375" s="196"/>
      <c r="G2375" s="196"/>
      <c r="H2375" s="196"/>
      <c r="I2375" s="196"/>
      <c r="J2375" s="114"/>
      <c r="AW2375" s="117"/>
      <c r="AX2375" s="117"/>
      <c r="AY2375" s="117"/>
      <c r="AZ2375" s="117"/>
      <c r="BA2375" s="117"/>
      <c r="BB2375" s="117"/>
      <c r="BC2375" s="117"/>
      <c r="BD2375" s="117"/>
    </row>
    <row r="2376" spans="1:56" ht="15">
      <c r="A2376" s="114"/>
      <c r="B2376" s="196"/>
      <c r="C2376" s="196"/>
      <c r="D2376" s="196"/>
      <c r="E2376" s="196"/>
      <c r="F2376" s="196"/>
      <c r="G2376" s="196"/>
      <c r="H2376" s="196"/>
      <c r="I2376" s="196"/>
      <c r="J2376" s="114"/>
      <c r="AW2376" s="117"/>
      <c r="AX2376" s="117"/>
      <c r="AY2376" s="117"/>
      <c r="AZ2376" s="117"/>
      <c r="BA2376" s="117"/>
      <c r="BB2376" s="117"/>
      <c r="BC2376" s="117"/>
      <c r="BD2376" s="117"/>
    </row>
    <row r="2377" spans="1:56" ht="15">
      <c r="A2377" s="114"/>
      <c r="B2377" s="388" t="s">
        <v>1110</v>
      </c>
      <c r="C2377" s="389">
        <v>0.2</v>
      </c>
      <c r="D2377" s="390" t="s">
        <v>10</v>
      </c>
      <c r="E2377" s="196"/>
      <c r="F2377" s="196"/>
      <c r="G2377" s="392"/>
      <c r="H2377" s="393"/>
      <c r="I2377" s="196"/>
      <c r="J2377" s="114"/>
      <c r="AW2377" s="117"/>
      <c r="AX2377" s="117"/>
      <c r="AY2377" s="117"/>
      <c r="AZ2377" s="117"/>
      <c r="BA2377" s="117"/>
      <c r="BB2377" s="117"/>
      <c r="BC2377" s="117"/>
      <c r="BD2377" s="117"/>
    </row>
    <row r="2378" spans="1:56" ht="15">
      <c r="A2378" s="114"/>
      <c r="B2378" s="388" t="s">
        <v>1111</v>
      </c>
      <c r="C2378" s="391">
        <v>51.25</v>
      </c>
      <c r="D2378" s="390" t="s">
        <v>10</v>
      </c>
      <c r="E2378" s="196"/>
      <c r="F2378" s="196"/>
      <c r="G2378" s="392"/>
      <c r="H2378" s="393"/>
      <c r="I2378" s="196"/>
      <c r="J2378" s="114"/>
      <c r="AW2378" s="117"/>
      <c r="AX2378" s="117"/>
      <c r="AY2378" s="117"/>
      <c r="AZ2378" s="117"/>
      <c r="BA2378" s="117"/>
      <c r="BB2378" s="117"/>
      <c r="BC2378" s="117"/>
      <c r="BD2378" s="117"/>
    </row>
    <row r="2379" spans="1:56" ht="15">
      <c r="A2379" s="114"/>
      <c r="B2379" s="388" t="s">
        <v>1112</v>
      </c>
      <c r="C2379" s="389">
        <v>0.4</v>
      </c>
      <c r="D2379" s="390" t="s">
        <v>10</v>
      </c>
      <c r="E2379" s="196"/>
      <c r="F2379" s="196"/>
      <c r="G2379" s="392"/>
      <c r="H2379" s="393"/>
      <c r="I2379" s="196"/>
      <c r="J2379" s="114"/>
      <c r="AW2379" s="117"/>
      <c r="AX2379" s="117"/>
      <c r="AY2379" s="117"/>
      <c r="AZ2379" s="117"/>
      <c r="BA2379" s="117"/>
      <c r="BB2379" s="117"/>
      <c r="BC2379" s="117"/>
      <c r="BD2379" s="117"/>
    </row>
    <row r="2380" spans="1:56" ht="15">
      <c r="A2380" s="114"/>
      <c r="B2380" s="388" t="s">
        <v>1113</v>
      </c>
      <c r="C2380" s="389">
        <v>0.7</v>
      </c>
      <c r="D2380" s="390" t="s">
        <v>10</v>
      </c>
      <c r="E2380" s="196"/>
      <c r="F2380" s="196"/>
      <c r="G2380" s="392"/>
      <c r="H2380" s="394"/>
      <c r="I2380" s="196"/>
      <c r="J2380" s="114"/>
      <c r="AW2380" s="117"/>
      <c r="AX2380" s="117"/>
      <c r="AY2380" s="117"/>
      <c r="AZ2380" s="117"/>
      <c r="BA2380" s="117"/>
      <c r="BB2380" s="117"/>
      <c r="BC2380" s="117"/>
      <c r="BD2380" s="117"/>
    </row>
    <row r="2381" spans="1:56" ht="15">
      <c r="A2381" s="114"/>
      <c r="B2381" s="388" t="s">
        <v>1117</v>
      </c>
      <c r="C2381" s="389">
        <v>1</v>
      </c>
      <c r="D2381" s="390" t="s">
        <v>1118</v>
      </c>
      <c r="E2381" s="196"/>
      <c r="F2381" s="196"/>
      <c r="G2381" s="392"/>
      <c r="H2381" s="393"/>
      <c r="I2381" s="196"/>
      <c r="J2381" s="114"/>
      <c r="AW2381" s="117"/>
      <c r="AX2381" s="117"/>
      <c r="AY2381" s="117"/>
      <c r="AZ2381" s="117"/>
      <c r="BA2381" s="117"/>
      <c r="BB2381" s="117"/>
      <c r="BC2381" s="117"/>
      <c r="BD2381" s="117"/>
    </row>
    <row r="2382" spans="1:56" ht="15">
      <c r="A2382" s="114"/>
      <c r="B2382" s="392"/>
      <c r="C2382" s="393"/>
      <c r="D2382" s="196"/>
      <c r="E2382" s="196"/>
      <c r="F2382" s="196"/>
      <c r="G2382" s="392"/>
      <c r="H2382" s="393"/>
      <c r="I2382" s="196"/>
      <c r="J2382" s="114"/>
      <c r="AW2382" s="117"/>
      <c r="AX2382" s="117"/>
      <c r="AY2382" s="117"/>
      <c r="AZ2382" s="117"/>
      <c r="BA2382" s="117"/>
      <c r="BB2382" s="117"/>
      <c r="BC2382" s="117"/>
      <c r="BD2382" s="117"/>
    </row>
    <row r="2383" spans="1:56" ht="15">
      <c r="A2383" s="114"/>
      <c r="B2383" s="388" t="s">
        <v>1114</v>
      </c>
      <c r="C2383" s="389">
        <v>0.6</v>
      </c>
      <c r="D2383" s="390" t="s">
        <v>10</v>
      </c>
      <c r="E2383" s="288" t="s">
        <v>1120</v>
      </c>
      <c r="F2383" s="288"/>
      <c r="G2383" s="230"/>
      <c r="H2383" s="395"/>
      <c r="I2383" s="196"/>
      <c r="J2383" s="114"/>
      <c r="AW2383" s="117"/>
      <c r="AX2383" s="117"/>
      <c r="AY2383" s="117"/>
      <c r="AZ2383" s="117"/>
      <c r="BA2383" s="117"/>
      <c r="BB2383" s="117"/>
      <c r="BC2383" s="117"/>
      <c r="BD2383" s="117"/>
    </row>
    <row r="2384" spans="1:56" ht="15">
      <c r="A2384" s="114"/>
      <c r="B2384" s="388" t="s">
        <v>1114</v>
      </c>
      <c r="C2384" s="389">
        <v>0.2</v>
      </c>
      <c r="D2384" s="390" t="s">
        <v>10</v>
      </c>
      <c r="E2384" s="288" t="s">
        <v>1121</v>
      </c>
      <c r="F2384" s="288"/>
      <c r="G2384" s="230"/>
      <c r="H2384" s="395"/>
      <c r="I2384" s="196"/>
      <c r="J2384" s="114"/>
      <c r="AW2384" s="117"/>
      <c r="AX2384" s="117"/>
      <c r="AY2384" s="117"/>
      <c r="AZ2384" s="117"/>
      <c r="BA2384" s="117"/>
      <c r="BB2384" s="117"/>
      <c r="BC2384" s="117"/>
      <c r="BD2384" s="117"/>
    </row>
    <row r="2385" spans="1:56" ht="15">
      <c r="A2385" s="114"/>
      <c r="B2385" s="196"/>
      <c r="C2385" s="196"/>
      <c r="D2385" s="196"/>
      <c r="E2385" s="196"/>
      <c r="F2385" s="196"/>
      <c r="G2385" s="196"/>
      <c r="H2385" s="196"/>
      <c r="I2385" s="196"/>
      <c r="J2385" s="114"/>
      <c r="AW2385" s="117"/>
      <c r="AX2385" s="117"/>
      <c r="AY2385" s="117"/>
      <c r="AZ2385" s="117"/>
      <c r="BA2385" s="117"/>
      <c r="BB2385" s="117"/>
      <c r="BC2385" s="117"/>
      <c r="BD2385" s="117"/>
    </row>
    <row r="2386" spans="1:56" ht="15">
      <c r="A2386" s="114"/>
      <c r="B2386" s="303" t="s">
        <v>1122</v>
      </c>
      <c r="C2386" s="362"/>
      <c r="D2386" s="362"/>
      <c r="E2386" s="196"/>
      <c r="F2386" s="196"/>
      <c r="G2386" s="196"/>
      <c r="H2386" s="196"/>
      <c r="I2386" s="196"/>
      <c r="J2386" s="114"/>
      <c r="AW2386" s="117"/>
      <c r="AX2386" s="117"/>
      <c r="AY2386" s="117"/>
      <c r="AZ2386" s="117"/>
      <c r="BA2386" s="117"/>
      <c r="BB2386" s="117"/>
      <c r="BC2386" s="117"/>
      <c r="BD2386" s="117"/>
    </row>
    <row r="2387" spans="1:56" ht="18">
      <c r="A2387" s="114"/>
      <c r="B2387" s="396" t="s">
        <v>1123</v>
      </c>
      <c r="C2387" s="289"/>
      <c r="D2387" s="290"/>
      <c r="E2387" s="397">
        <f>C2381*(C2383*2*(0.05+C2380+C2379)*C2378)</f>
        <v>70.724999999999994</v>
      </c>
      <c r="F2387" s="390" t="s">
        <v>1124</v>
      </c>
      <c r="G2387" s="196"/>
      <c r="H2387" s="196"/>
      <c r="I2387" s="196"/>
      <c r="J2387" s="114"/>
      <c r="AW2387" s="117"/>
      <c r="AX2387" s="117"/>
      <c r="AY2387" s="117"/>
      <c r="AZ2387" s="117"/>
      <c r="BA2387" s="117"/>
      <c r="BB2387" s="117"/>
      <c r="BC2387" s="117"/>
      <c r="BD2387" s="117"/>
    </row>
    <row r="2388" spans="1:56" ht="18">
      <c r="A2388" s="114"/>
      <c r="B2388" s="398" t="s">
        <v>1125</v>
      </c>
      <c r="C2388" s="172"/>
      <c r="D2388" s="173"/>
      <c r="E2388" s="397">
        <f>E2387-(E2392+E2394)</f>
        <v>62.524999999999991</v>
      </c>
      <c r="F2388" s="390" t="s">
        <v>1124</v>
      </c>
      <c r="G2388" s="196"/>
      <c r="H2388" s="196"/>
      <c r="I2388" s="196"/>
      <c r="J2388" s="114"/>
      <c r="AW2388" s="117"/>
      <c r="AX2388" s="117"/>
      <c r="AY2388" s="117"/>
      <c r="AZ2388" s="117"/>
      <c r="BA2388" s="117"/>
      <c r="BB2388" s="117"/>
      <c r="BC2388" s="117"/>
      <c r="BD2388" s="117"/>
    </row>
    <row r="2389" spans="1:56" ht="15">
      <c r="A2389" s="114"/>
      <c r="B2389" s="399" t="s">
        <v>1126</v>
      </c>
      <c r="C2389" s="317"/>
      <c r="D2389" s="318"/>
      <c r="E2389" s="400">
        <f>(2*C2384)*C2378</f>
        <v>20.5</v>
      </c>
      <c r="F2389" s="390" t="s">
        <v>13</v>
      </c>
      <c r="G2389" s="196"/>
      <c r="H2389" s="196"/>
      <c r="I2389" s="196"/>
      <c r="J2389" s="114"/>
      <c r="AW2389" s="117"/>
      <c r="AX2389" s="117"/>
      <c r="AY2389" s="117"/>
      <c r="AZ2389" s="117"/>
      <c r="BA2389" s="117"/>
      <c r="BB2389" s="117"/>
      <c r="BC2389" s="117"/>
      <c r="BD2389" s="117"/>
    </row>
    <row r="2390" spans="1:56" ht="15">
      <c r="A2390" s="114"/>
      <c r="B2390" s="196"/>
      <c r="C2390" s="196"/>
      <c r="D2390" s="196"/>
      <c r="E2390" s="401"/>
      <c r="F2390" s="196"/>
      <c r="G2390" s="196"/>
      <c r="H2390" s="196"/>
      <c r="I2390" s="196"/>
      <c r="J2390" s="114"/>
      <c r="AW2390" s="117"/>
      <c r="AX2390" s="117"/>
      <c r="AY2390" s="117"/>
      <c r="AZ2390" s="117"/>
      <c r="BA2390" s="117"/>
      <c r="BB2390" s="117"/>
      <c r="BC2390" s="117"/>
      <c r="BD2390" s="117"/>
    </row>
    <row r="2391" spans="1:56" ht="15">
      <c r="A2391" s="114"/>
      <c r="B2391" s="303" t="s">
        <v>1127</v>
      </c>
      <c r="C2391" s="196"/>
      <c r="D2391" s="196"/>
      <c r="E2391" s="401"/>
      <c r="F2391" s="196"/>
      <c r="G2391" s="196"/>
      <c r="H2391" s="196"/>
      <c r="I2391" s="196"/>
      <c r="J2391" s="114"/>
      <c r="AW2391" s="117"/>
      <c r="AX2391" s="117"/>
      <c r="AY2391" s="117"/>
      <c r="AZ2391" s="117"/>
      <c r="BA2391" s="117"/>
      <c r="BB2391" s="117"/>
      <c r="BC2391" s="117"/>
      <c r="BD2391" s="117"/>
    </row>
    <row r="2392" spans="1:56" ht="18">
      <c r="A2392" s="114"/>
      <c r="B2392" s="398" t="s">
        <v>1128</v>
      </c>
      <c r="C2392" s="172"/>
      <c r="D2392" s="173"/>
      <c r="E2392" s="402">
        <f>E2389*0.05</f>
        <v>1.0250000000000001</v>
      </c>
      <c r="F2392" s="390" t="s">
        <v>1124</v>
      </c>
      <c r="G2392" s="196"/>
      <c r="H2392" s="196"/>
      <c r="I2392" s="196"/>
      <c r="J2392" s="114"/>
      <c r="AW2392" s="117"/>
      <c r="AX2392" s="117"/>
      <c r="AY2392" s="117"/>
      <c r="AZ2392" s="117"/>
      <c r="BA2392" s="117"/>
      <c r="BB2392" s="117"/>
      <c r="BC2392" s="117"/>
      <c r="BD2392" s="117"/>
    </row>
    <row r="2393" spans="1:56" ht="15">
      <c r="A2393" s="114"/>
      <c r="B2393" s="398" t="s">
        <v>1129</v>
      </c>
      <c r="C2393" s="172"/>
      <c r="D2393" s="173"/>
      <c r="E2393" s="397">
        <f>C2380*2*C2378</f>
        <v>71.75</v>
      </c>
      <c r="F2393" s="390" t="s">
        <v>13</v>
      </c>
      <c r="G2393" s="393" t="s">
        <v>1108</v>
      </c>
      <c r="H2393" s="196" t="s">
        <v>1131</v>
      </c>
      <c r="I2393" s="393"/>
      <c r="J2393" s="114"/>
      <c r="AW2393" s="117"/>
      <c r="AX2393" s="117"/>
      <c r="AY2393" s="117"/>
      <c r="AZ2393" s="117"/>
      <c r="BA2393" s="117"/>
      <c r="BB2393" s="117"/>
      <c r="BC2393" s="117"/>
      <c r="BD2393" s="117"/>
    </row>
    <row r="2394" spans="1:56" ht="18">
      <c r="A2394" s="114"/>
      <c r="B2394" s="398" t="s">
        <v>1130</v>
      </c>
      <c r="C2394" s="172"/>
      <c r="D2394" s="173"/>
      <c r="E2394" s="402">
        <f>C2377*C2378*C2380</f>
        <v>7.1749999999999998</v>
      </c>
      <c r="F2394" s="390" t="s">
        <v>1124</v>
      </c>
      <c r="G2394" s="196"/>
      <c r="H2394" s="196"/>
      <c r="I2394" s="196"/>
      <c r="J2394" s="114"/>
      <c r="AW2394" s="117"/>
      <c r="AX2394" s="117"/>
      <c r="AY2394" s="117"/>
      <c r="AZ2394" s="117"/>
      <c r="BA2394" s="117"/>
      <c r="BB2394" s="117"/>
      <c r="BC2394" s="117"/>
      <c r="BD2394" s="117"/>
    </row>
    <row r="2395" spans="1:56">
      <c r="A2395" s="114"/>
      <c r="B2395" s="115"/>
      <c r="C2395" s="115"/>
      <c r="D2395" s="115"/>
      <c r="E2395" s="115"/>
      <c r="F2395" s="115"/>
      <c r="G2395" s="115"/>
      <c r="H2395" s="115"/>
      <c r="I2395" s="115"/>
      <c r="J2395" s="114"/>
      <c r="AW2395" s="117"/>
      <c r="AX2395" s="117"/>
      <c r="AY2395" s="117"/>
      <c r="AZ2395" s="117"/>
      <c r="BA2395" s="117"/>
      <c r="BB2395" s="117"/>
      <c r="BC2395" s="117"/>
      <c r="BD2395" s="117"/>
    </row>
    <row r="2396" spans="1:56">
      <c r="A2396" s="114"/>
      <c r="B2396" s="115"/>
      <c r="C2396" s="115"/>
      <c r="D2396" s="115"/>
      <c r="E2396" s="115"/>
      <c r="F2396" s="115"/>
      <c r="G2396" s="115"/>
      <c r="H2396" s="115"/>
      <c r="I2396" s="115"/>
      <c r="J2396" s="114"/>
      <c r="AW2396" s="117"/>
      <c r="AX2396" s="117"/>
      <c r="AY2396" s="117"/>
      <c r="AZ2396" s="117"/>
      <c r="BA2396" s="117"/>
      <c r="BB2396" s="117"/>
      <c r="BC2396" s="117"/>
      <c r="BD2396" s="117"/>
    </row>
    <row r="2397" spans="1:56">
      <c r="A2397" s="114"/>
      <c r="B2397" s="385" t="s">
        <v>1221</v>
      </c>
      <c r="C2397" s="196"/>
      <c r="D2397" s="196"/>
      <c r="E2397" s="196"/>
      <c r="F2397" s="196"/>
      <c r="G2397" s="196"/>
      <c r="H2397" s="196"/>
      <c r="I2397" s="196"/>
      <c r="J2397" s="114"/>
      <c r="AW2397" s="117"/>
      <c r="AX2397" s="117"/>
      <c r="AY2397" s="117"/>
      <c r="AZ2397" s="117"/>
      <c r="BA2397" s="117"/>
      <c r="BB2397" s="117"/>
      <c r="BC2397" s="117"/>
      <c r="BD2397" s="117"/>
    </row>
    <row r="2398" spans="1:56" ht="15">
      <c r="A2398" s="114"/>
      <c r="B2398" s="196"/>
      <c r="C2398" s="196"/>
      <c r="D2398" s="196"/>
      <c r="E2398" s="196"/>
      <c r="F2398" s="196"/>
      <c r="G2398" s="196"/>
      <c r="H2398" s="196"/>
      <c r="I2398" s="196"/>
      <c r="J2398" s="114"/>
      <c r="AW2398" s="117"/>
      <c r="AX2398" s="117"/>
      <c r="AY2398" s="117"/>
      <c r="AZ2398" s="117"/>
      <c r="BA2398" s="117"/>
      <c r="BB2398" s="117"/>
      <c r="BC2398" s="117"/>
      <c r="BD2398" s="117"/>
    </row>
    <row r="2399" spans="1:56" ht="15">
      <c r="A2399" s="114"/>
      <c r="B2399" s="388" t="s">
        <v>1110</v>
      </c>
      <c r="C2399" s="389">
        <v>0.2</v>
      </c>
      <c r="D2399" s="390" t="s">
        <v>10</v>
      </c>
      <c r="E2399" s="196"/>
      <c r="F2399" s="196"/>
      <c r="G2399" s="392"/>
      <c r="H2399" s="393"/>
      <c r="I2399" s="196"/>
      <c r="J2399" s="114"/>
      <c r="AW2399" s="117"/>
      <c r="AX2399" s="117"/>
      <c r="AY2399" s="117"/>
      <c r="AZ2399" s="117"/>
      <c r="BA2399" s="117"/>
      <c r="BB2399" s="117"/>
      <c r="BC2399" s="117"/>
      <c r="BD2399" s="117"/>
    </row>
    <row r="2400" spans="1:56" ht="15">
      <c r="A2400" s="114"/>
      <c r="B2400" s="388" t="s">
        <v>1111</v>
      </c>
      <c r="C2400" s="391">
        <v>10.25</v>
      </c>
      <c r="D2400" s="390" t="s">
        <v>10</v>
      </c>
      <c r="E2400" s="196"/>
      <c r="F2400" s="196"/>
      <c r="G2400" s="392"/>
      <c r="H2400" s="393"/>
      <c r="I2400" s="196"/>
      <c r="J2400" s="114"/>
      <c r="AW2400" s="117"/>
      <c r="AX2400" s="117"/>
      <c r="AY2400" s="117"/>
      <c r="AZ2400" s="117"/>
      <c r="BA2400" s="117"/>
      <c r="BB2400" s="117"/>
      <c r="BC2400" s="117"/>
      <c r="BD2400" s="117"/>
    </row>
    <row r="2401" spans="1:56" ht="15">
      <c r="A2401" s="114"/>
      <c r="B2401" s="388" t="s">
        <v>1112</v>
      </c>
      <c r="C2401" s="389">
        <v>0.4</v>
      </c>
      <c r="D2401" s="390" t="s">
        <v>10</v>
      </c>
      <c r="E2401" s="196"/>
      <c r="F2401" s="196"/>
      <c r="G2401" s="392"/>
      <c r="H2401" s="393"/>
      <c r="I2401" s="196"/>
      <c r="J2401" s="114"/>
      <c r="AW2401" s="117"/>
      <c r="AX2401" s="117"/>
      <c r="AY2401" s="117"/>
      <c r="AZ2401" s="117"/>
      <c r="BA2401" s="117"/>
      <c r="BB2401" s="117"/>
      <c r="BC2401" s="117"/>
      <c r="BD2401" s="117"/>
    </row>
    <row r="2402" spans="1:56" ht="15">
      <c r="A2402" s="114"/>
      <c r="B2402" s="388" t="s">
        <v>1113</v>
      </c>
      <c r="C2402" s="389">
        <v>0.7</v>
      </c>
      <c r="D2402" s="390" t="s">
        <v>10</v>
      </c>
      <c r="E2402" s="196"/>
      <c r="F2402" s="196"/>
      <c r="G2402" s="392"/>
      <c r="H2402" s="394"/>
      <c r="I2402" s="196"/>
      <c r="J2402" s="114"/>
      <c r="AW2402" s="117"/>
      <c r="AX2402" s="117"/>
      <c r="AY2402" s="117"/>
      <c r="AZ2402" s="117"/>
      <c r="BA2402" s="117"/>
      <c r="BB2402" s="117"/>
      <c r="BC2402" s="117"/>
      <c r="BD2402" s="117"/>
    </row>
    <row r="2403" spans="1:56" ht="15">
      <c r="A2403" s="114"/>
      <c r="B2403" s="388" t="s">
        <v>1117</v>
      </c>
      <c r="C2403" s="389">
        <v>1</v>
      </c>
      <c r="D2403" s="390" t="s">
        <v>1118</v>
      </c>
      <c r="E2403" s="196"/>
      <c r="F2403" s="196"/>
      <c r="G2403" s="392"/>
      <c r="H2403" s="393"/>
      <c r="I2403" s="196"/>
      <c r="J2403" s="114"/>
      <c r="AW2403" s="117"/>
      <c r="AX2403" s="117"/>
      <c r="AY2403" s="117"/>
      <c r="AZ2403" s="117"/>
      <c r="BA2403" s="117"/>
      <c r="BB2403" s="117"/>
      <c r="BC2403" s="117"/>
      <c r="BD2403" s="117"/>
    </row>
    <row r="2404" spans="1:56" ht="15">
      <c r="A2404" s="114"/>
      <c r="B2404" s="392"/>
      <c r="C2404" s="393"/>
      <c r="D2404" s="196"/>
      <c r="E2404" s="196"/>
      <c r="F2404" s="196"/>
      <c r="G2404" s="392"/>
      <c r="H2404" s="393"/>
      <c r="I2404" s="196"/>
      <c r="J2404" s="114"/>
      <c r="AW2404" s="117"/>
      <c r="AX2404" s="117"/>
      <c r="AY2404" s="117"/>
      <c r="AZ2404" s="117"/>
      <c r="BA2404" s="117"/>
      <c r="BB2404" s="117"/>
      <c r="BC2404" s="117"/>
      <c r="BD2404" s="117"/>
    </row>
    <row r="2405" spans="1:56" ht="15">
      <c r="A2405" s="114"/>
      <c r="B2405" s="388" t="s">
        <v>1114</v>
      </c>
      <c r="C2405" s="389">
        <v>0.6</v>
      </c>
      <c r="D2405" s="390" t="s">
        <v>10</v>
      </c>
      <c r="E2405" s="288" t="s">
        <v>1120</v>
      </c>
      <c r="F2405" s="288"/>
      <c r="G2405" s="230"/>
      <c r="H2405" s="395"/>
      <c r="I2405" s="196"/>
      <c r="J2405" s="114"/>
      <c r="AW2405" s="117"/>
      <c r="AX2405" s="117"/>
      <c r="AY2405" s="117"/>
      <c r="AZ2405" s="117"/>
      <c r="BA2405" s="117"/>
      <c r="BB2405" s="117"/>
      <c r="BC2405" s="117"/>
      <c r="BD2405" s="117"/>
    </row>
    <row r="2406" spans="1:56" ht="15">
      <c r="A2406" s="114"/>
      <c r="B2406" s="388" t="s">
        <v>1114</v>
      </c>
      <c r="C2406" s="389">
        <v>0.2</v>
      </c>
      <c r="D2406" s="390" t="s">
        <v>10</v>
      </c>
      <c r="E2406" s="288" t="s">
        <v>1121</v>
      </c>
      <c r="F2406" s="288"/>
      <c r="G2406" s="230"/>
      <c r="H2406" s="395"/>
      <c r="I2406" s="196"/>
      <c r="J2406" s="114"/>
      <c r="AW2406" s="117"/>
      <c r="AX2406" s="117"/>
      <c r="AY2406" s="117"/>
      <c r="AZ2406" s="117"/>
      <c r="BA2406" s="117"/>
      <c r="BB2406" s="117"/>
      <c r="BC2406" s="117"/>
      <c r="BD2406" s="117"/>
    </row>
    <row r="2407" spans="1:56" ht="15">
      <c r="A2407" s="114"/>
      <c r="B2407" s="196"/>
      <c r="C2407" s="196"/>
      <c r="D2407" s="196"/>
      <c r="E2407" s="196"/>
      <c r="F2407" s="196"/>
      <c r="G2407" s="196"/>
      <c r="H2407" s="196"/>
      <c r="I2407" s="196"/>
      <c r="J2407" s="114"/>
      <c r="AW2407" s="117"/>
      <c r="AX2407" s="117"/>
      <c r="AY2407" s="117"/>
      <c r="AZ2407" s="117"/>
      <c r="BA2407" s="117"/>
      <c r="BB2407" s="117"/>
      <c r="BC2407" s="117"/>
      <c r="BD2407" s="117"/>
    </row>
    <row r="2408" spans="1:56" ht="15">
      <c r="A2408" s="114"/>
      <c r="B2408" s="303" t="s">
        <v>1122</v>
      </c>
      <c r="C2408" s="362"/>
      <c r="D2408" s="362"/>
      <c r="E2408" s="196"/>
      <c r="F2408" s="196"/>
      <c r="G2408" s="196"/>
      <c r="H2408" s="196"/>
      <c r="I2408" s="196"/>
      <c r="J2408" s="114"/>
      <c r="AW2408" s="117"/>
      <c r="AX2408" s="117"/>
      <c r="AY2408" s="117"/>
      <c r="AZ2408" s="117"/>
      <c r="BA2408" s="117"/>
      <c r="BB2408" s="117"/>
      <c r="BC2408" s="117"/>
      <c r="BD2408" s="117"/>
    </row>
    <row r="2409" spans="1:56" ht="18">
      <c r="A2409" s="114"/>
      <c r="B2409" s="396" t="s">
        <v>1123</v>
      </c>
      <c r="C2409" s="289"/>
      <c r="D2409" s="290"/>
      <c r="E2409" s="397">
        <f>C2403*(C2405*2*(0.05+C2402+C2401)*C2400)</f>
        <v>14.145</v>
      </c>
      <c r="F2409" s="390" t="s">
        <v>1124</v>
      </c>
      <c r="G2409" s="196"/>
      <c r="H2409" s="196"/>
      <c r="I2409" s="196"/>
      <c r="J2409" s="114"/>
      <c r="AW2409" s="117"/>
      <c r="AX2409" s="117"/>
      <c r="AY2409" s="117"/>
      <c r="AZ2409" s="117"/>
      <c r="BA2409" s="117"/>
      <c r="BB2409" s="117"/>
      <c r="BC2409" s="117"/>
      <c r="BD2409" s="117"/>
    </row>
    <row r="2410" spans="1:56" ht="18">
      <c r="A2410" s="114"/>
      <c r="B2410" s="398" t="s">
        <v>1125</v>
      </c>
      <c r="C2410" s="172"/>
      <c r="D2410" s="173"/>
      <c r="E2410" s="397">
        <f>E2409-(E2414+E2416)</f>
        <v>12.504999999999999</v>
      </c>
      <c r="F2410" s="390" t="s">
        <v>1124</v>
      </c>
      <c r="G2410" s="196"/>
      <c r="H2410" s="196"/>
      <c r="I2410" s="196"/>
      <c r="J2410" s="114"/>
      <c r="AW2410" s="117"/>
      <c r="AX2410" s="117"/>
      <c r="AY2410" s="117"/>
      <c r="AZ2410" s="117"/>
      <c r="BA2410" s="117"/>
      <c r="BB2410" s="117"/>
      <c r="BC2410" s="117"/>
      <c r="BD2410" s="117"/>
    </row>
    <row r="2411" spans="1:56" ht="15">
      <c r="A2411" s="114"/>
      <c r="B2411" s="399" t="s">
        <v>1126</v>
      </c>
      <c r="C2411" s="317"/>
      <c r="D2411" s="318"/>
      <c r="E2411" s="400">
        <f>(2*C2406)*C2400</f>
        <v>4.1000000000000005</v>
      </c>
      <c r="F2411" s="390" t="s">
        <v>13</v>
      </c>
      <c r="G2411" s="196"/>
      <c r="H2411" s="196"/>
      <c r="I2411" s="196"/>
      <c r="J2411" s="114"/>
      <c r="AW2411" s="117"/>
      <c r="AX2411" s="117"/>
      <c r="AY2411" s="117"/>
      <c r="AZ2411" s="117"/>
      <c r="BA2411" s="117"/>
      <c r="BB2411" s="117"/>
      <c r="BC2411" s="117"/>
      <c r="BD2411" s="117"/>
    </row>
    <row r="2412" spans="1:56" ht="15">
      <c r="A2412" s="114"/>
      <c r="B2412" s="196"/>
      <c r="C2412" s="196"/>
      <c r="D2412" s="196"/>
      <c r="E2412" s="401"/>
      <c r="F2412" s="196"/>
      <c r="G2412" s="196"/>
      <c r="H2412" s="196"/>
      <c r="I2412" s="196"/>
      <c r="J2412" s="114"/>
      <c r="AW2412" s="117"/>
      <c r="AX2412" s="117"/>
      <c r="AY2412" s="117"/>
      <c r="AZ2412" s="117"/>
      <c r="BA2412" s="117"/>
      <c r="BB2412" s="117"/>
      <c r="BC2412" s="117"/>
      <c r="BD2412" s="117"/>
    </row>
    <row r="2413" spans="1:56" ht="15">
      <c r="A2413" s="114"/>
      <c r="B2413" s="303" t="s">
        <v>1127</v>
      </c>
      <c r="C2413" s="196"/>
      <c r="D2413" s="196"/>
      <c r="E2413" s="401"/>
      <c r="F2413" s="196"/>
      <c r="G2413" s="196"/>
      <c r="H2413" s="196"/>
      <c r="I2413" s="196"/>
      <c r="J2413" s="114"/>
      <c r="AW2413" s="117"/>
      <c r="AX2413" s="117"/>
      <c r="AY2413" s="117"/>
      <c r="AZ2413" s="117"/>
      <c r="BA2413" s="117"/>
      <c r="BB2413" s="117"/>
      <c r="BC2413" s="117"/>
      <c r="BD2413" s="117"/>
    </row>
    <row r="2414" spans="1:56" ht="18">
      <c r="A2414" s="114"/>
      <c r="B2414" s="398" t="s">
        <v>1128</v>
      </c>
      <c r="C2414" s="172"/>
      <c r="D2414" s="173"/>
      <c r="E2414" s="402">
        <f>E2411*0.05</f>
        <v>0.20500000000000004</v>
      </c>
      <c r="F2414" s="390" t="s">
        <v>1124</v>
      </c>
      <c r="G2414" s="196"/>
      <c r="H2414" s="196"/>
      <c r="I2414" s="196"/>
      <c r="J2414" s="114"/>
      <c r="AW2414" s="117"/>
      <c r="AX2414" s="117"/>
      <c r="AY2414" s="117"/>
      <c r="AZ2414" s="117"/>
      <c r="BA2414" s="117"/>
      <c r="BB2414" s="117"/>
      <c r="BC2414" s="117"/>
      <c r="BD2414" s="117"/>
    </row>
    <row r="2415" spans="1:56" ht="15">
      <c r="A2415" s="114"/>
      <c r="B2415" s="398" t="s">
        <v>1129</v>
      </c>
      <c r="C2415" s="172"/>
      <c r="D2415" s="173"/>
      <c r="E2415" s="397">
        <f>C2402*2*C2400</f>
        <v>14.35</v>
      </c>
      <c r="F2415" s="390" t="s">
        <v>13</v>
      </c>
      <c r="G2415" s="393" t="s">
        <v>1108</v>
      </c>
      <c r="H2415" s="196" t="s">
        <v>1131</v>
      </c>
      <c r="I2415" s="393"/>
      <c r="J2415" s="114"/>
      <c r="AW2415" s="117"/>
      <c r="AX2415" s="117"/>
      <c r="AY2415" s="117"/>
      <c r="AZ2415" s="117"/>
      <c r="BA2415" s="117"/>
      <c r="BB2415" s="117"/>
      <c r="BC2415" s="117"/>
      <c r="BD2415" s="117"/>
    </row>
    <row r="2416" spans="1:56" ht="18">
      <c r="A2416" s="114"/>
      <c r="B2416" s="398" t="s">
        <v>1130</v>
      </c>
      <c r="C2416" s="172"/>
      <c r="D2416" s="173"/>
      <c r="E2416" s="402">
        <f>C2399*C2400*C2402</f>
        <v>1.4350000000000001</v>
      </c>
      <c r="F2416" s="390" t="s">
        <v>1124</v>
      </c>
      <c r="G2416" s="196"/>
      <c r="H2416" s="196"/>
      <c r="I2416" s="196"/>
      <c r="J2416" s="114"/>
      <c r="AW2416" s="117"/>
      <c r="AX2416" s="117"/>
      <c r="AY2416" s="117"/>
      <c r="AZ2416" s="117"/>
      <c r="BA2416" s="117"/>
      <c r="BB2416" s="117"/>
      <c r="BC2416" s="117"/>
      <c r="BD2416" s="117"/>
    </row>
    <row r="2417" spans="1:56">
      <c r="A2417" s="114"/>
      <c r="B2417" s="115"/>
      <c r="C2417" s="115"/>
      <c r="D2417" s="115"/>
      <c r="E2417" s="115"/>
      <c r="F2417" s="115"/>
      <c r="G2417" s="115"/>
      <c r="H2417" s="115"/>
      <c r="I2417" s="115"/>
      <c r="J2417" s="114"/>
      <c r="AW2417" s="117"/>
      <c r="AX2417" s="117"/>
      <c r="AY2417" s="117"/>
      <c r="AZ2417" s="117"/>
      <c r="BA2417" s="117"/>
      <c r="BB2417" s="117"/>
      <c r="BC2417" s="117"/>
      <c r="BD2417" s="117"/>
    </row>
    <row r="2418" spans="1:56">
      <c r="A2418" s="114"/>
      <c r="B2418" s="385" t="s">
        <v>1222</v>
      </c>
      <c r="C2418" s="196"/>
      <c r="D2418" s="196"/>
      <c r="E2418" s="196"/>
      <c r="F2418" s="196"/>
      <c r="G2418" s="196"/>
      <c r="H2418" s="196"/>
      <c r="I2418" s="196"/>
      <c r="J2418" s="114"/>
      <c r="AW2418" s="117"/>
      <c r="AX2418" s="117"/>
      <c r="AY2418" s="117"/>
      <c r="AZ2418" s="117"/>
      <c r="BA2418" s="117"/>
      <c r="BB2418" s="117"/>
      <c r="BC2418" s="117"/>
      <c r="BD2418" s="117"/>
    </row>
    <row r="2419" spans="1:56" ht="15">
      <c r="A2419" s="114"/>
      <c r="B2419" s="196"/>
      <c r="C2419" s="196"/>
      <c r="D2419" s="196"/>
      <c r="E2419" s="196"/>
      <c r="F2419" s="196"/>
      <c r="G2419" s="196"/>
      <c r="H2419" s="196"/>
      <c r="I2419" s="196"/>
      <c r="J2419" s="114"/>
      <c r="AW2419" s="117"/>
      <c r="AX2419" s="117"/>
      <c r="AY2419" s="117"/>
      <c r="AZ2419" s="117"/>
      <c r="BA2419" s="117"/>
      <c r="BB2419" s="117"/>
      <c r="BC2419" s="117"/>
      <c r="BD2419" s="117"/>
    </row>
    <row r="2420" spans="1:56" ht="15">
      <c r="A2420" s="114"/>
      <c r="B2420" s="388" t="s">
        <v>1110</v>
      </c>
      <c r="C2420" s="389">
        <v>0.2</v>
      </c>
      <c r="D2420" s="390" t="s">
        <v>10</v>
      </c>
      <c r="E2420" s="196"/>
      <c r="F2420" s="196"/>
      <c r="G2420" s="392"/>
      <c r="H2420" s="393"/>
      <c r="I2420" s="196"/>
      <c r="J2420" s="114"/>
      <c r="AW2420" s="117"/>
      <c r="AX2420" s="117"/>
      <c r="AY2420" s="117"/>
      <c r="AZ2420" s="117"/>
      <c r="BA2420" s="117"/>
      <c r="BB2420" s="117"/>
      <c r="BC2420" s="117"/>
      <c r="BD2420" s="117"/>
    </row>
    <row r="2421" spans="1:56" ht="15">
      <c r="A2421" s="114"/>
      <c r="B2421" s="388" t="s">
        <v>1111</v>
      </c>
      <c r="C2421" s="391">
        <v>10.25</v>
      </c>
      <c r="D2421" s="390" t="s">
        <v>10</v>
      </c>
      <c r="E2421" s="196"/>
      <c r="F2421" s="196"/>
      <c r="G2421" s="392"/>
      <c r="H2421" s="393"/>
      <c r="I2421" s="196"/>
      <c r="J2421" s="114"/>
      <c r="AW2421" s="117"/>
      <c r="AX2421" s="117"/>
      <c r="AY2421" s="117"/>
      <c r="AZ2421" s="117"/>
      <c r="BA2421" s="117"/>
      <c r="BB2421" s="117"/>
      <c r="BC2421" s="117"/>
      <c r="BD2421" s="117"/>
    </row>
    <row r="2422" spans="1:56" ht="15">
      <c r="A2422" s="114"/>
      <c r="B2422" s="388" t="s">
        <v>1112</v>
      </c>
      <c r="C2422" s="389">
        <v>0.4</v>
      </c>
      <c r="D2422" s="390" t="s">
        <v>10</v>
      </c>
      <c r="E2422" s="196"/>
      <c r="F2422" s="196"/>
      <c r="G2422" s="392"/>
      <c r="H2422" s="393"/>
      <c r="I2422" s="196"/>
      <c r="J2422" s="114"/>
      <c r="AW2422" s="117"/>
      <c r="AX2422" s="117"/>
      <c r="AY2422" s="117"/>
      <c r="AZ2422" s="117"/>
      <c r="BA2422" s="117"/>
      <c r="BB2422" s="117"/>
      <c r="BC2422" s="117"/>
      <c r="BD2422" s="117"/>
    </row>
    <row r="2423" spans="1:56" ht="15">
      <c r="A2423" s="114"/>
      <c r="B2423" s="388" t="s">
        <v>1113</v>
      </c>
      <c r="C2423" s="389">
        <v>0.7</v>
      </c>
      <c r="D2423" s="390" t="s">
        <v>10</v>
      </c>
      <c r="E2423" s="196"/>
      <c r="F2423" s="196"/>
      <c r="G2423" s="392"/>
      <c r="H2423" s="394"/>
      <c r="I2423" s="196"/>
      <c r="J2423" s="114"/>
      <c r="AW2423" s="117"/>
      <c r="AX2423" s="117"/>
      <c r="AY2423" s="117"/>
      <c r="AZ2423" s="117"/>
      <c r="BA2423" s="117"/>
      <c r="BB2423" s="117"/>
      <c r="BC2423" s="117"/>
      <c r="BD2423" s="117"/>
    </row>
    <row r="2424" spans="1:56" ht="15">
      <c r="A2424" s="114"/>
      <c r="B2424" s="388" t="s">
        <v>1117</v>
      </c>
      <c r="C2424" s="389">
        <v>1</v>
      </c>
      <c r="D2424" s="390" t="s">
        <v>1118</v>
      </c>
      <c r="E2424" s="196"/>
      <c r="F2424" s="196"/>
      <c r="G2424" s="392"/>
      <c r="H2424" s="393"/>
      <c r="I2424" s="196"/>
      <c r="J2424" s="114"/>
      <c r="AW2424" s="117"/>
      <c r="AX2424" s="117"/>
      <c r="AY2424" s="117"/>
      <c r="AZ2424" s="117"/>
      <c r="BA2424" s="117"/>
      <c r="BB2424" s="117"/>
      <c r="BC2424" s="117"/>
      <c r="BD2424" s="117"/>
    </row>
    <row r="2425" spans="1:56" ht="15">
      <c r="A2425" s="114"/>
      <c r="B2425" s="392"/>
      <c r="C2425" s="393"/>
      <c r="D2425" s="196"/>
      <c r="E2425" s="196"/>
      <c r="F2425" s="196"/>
      <c r="G2425" s="392"/>
      <c r="H2425" s="393"/>
      <c r="I2425" s="196"/>
      <c r="J2425" s="114"/>
      <c r="AW2425" s="117"/>
      <c r="AX2425" s="117"/>
      <c r="AY2425" s="117"/>
      <c r="AZ2425" s="117"/>
      <c r="BA2425" s="117"/>
      <c r="BB2425" s="117"/>
      <c r="BC2425" s="117"/>
      <c r="BD2425" s="117"/>
    </row>
    <row r="2426" spans="1:56" ht="15">
      <c r="A2426" s="114"/>
      <c r="B2426" s="388" t="s">
        <v>1114</v>
      </c>
      <c r="C2426" s="389">
        <v>0.6</v>
      </c>
      <c r="D2426" s="390" t="s">
        <v>10</v>
      </c>
      <c r="E2426" s="288" t="s">
        <v>1120</v>
      </c>
      <c r="F2426" s="288"/>
      <c r="G2426" s="230"/>
      <c r="H2426" s="395"/>
      <c r="I2426" s="196"/>
      <c r="J2426" s="114"/>
      <c r="AW2426" s="117"/>
      <c r="AX2426" s="117"/>
      <c r="AY2426" s="117"/>
      <c r="AZ2426" s="117"/>
      <c r="BA2426" s="117"/>
      <c r="BB2426" s="117"/>
      <c r="BC2426" s="117"/>
      <c r="BD2426" s="117"/>
    </row>
    <row r="2427" spans="1:56" ht="15">
      <c r="A2427" s="114"/>
      <c r="B2427" s="388" t="s">
        <v>1114</v>
      </c>
      <c r="C2427" s="389">
        <v>0.2</v>
      </c>
      <c r="D2427" s="390" t="s">
        <v>10</v>
      </c>
      <c r="E2427" s="288" t="s">
        <v>1121</v>
      </c>
      <c r="F2427" s="288"/>
      <c r="G2427" s="230"/>
      <c r="H2427" s="395"/>
      <c r="I2427" s="196"/>
      <c r="J2427" s="114"/>
      <c r="AW2427" s="117"/>
      <c r="AX2427" s="117"/>
      <c r="AY2427" s="117"/>
      <c r="AZ2427" s="117"/>
      <c r="BA2427" s="117"/>
      <c r="BB2427" s="117"/>
      <c r="BC2427" s="117"/>
      <c r="BD2427" s="117"/>
    </row>
    <row r="2428" spans="1:56" ht="15">
      <c r="A2428" s="114"/>
      <c r="B2428" s="196"/>
      <c r="C2428" s="196"/>
      <c r="D2428" s="196"/>
      <c r="E2428" s="196"/>
      <c r="F2428" s="196"/>
      <c r="G2428" s="196"/>
      <c r="H2428" s="196"/>
      <c r="I2428" s="196"/>
      <c r="J2428" s="114"/>
      <c r="AW2428" s="117"/>
      <c r="AX2428" s="117"/>
      <c r="AY2428" s="117"/>
      <c r="AZ2428" s="117"/>
      <c r="BA2428" s="117"/>
      <c r="BB2428" s="117"/>
      <c r="BC2428" s="117"/>
      <c r="BD2428" s="117"/>
    </row>
    <row r="2429" spans="1:56" ht="15">
      <c r="A2429" s="114"/>
      <c r="B2429" s="303" t="s">
        <v>1122</v>
      </c>
      <c r="C2429" s="362"/>
      <c r="D2429" s="362"/>
      <c r="E2429" s="196"/>
      <c r="F2429" s="196"/>
      <c r="G2429" s="196"/>
      <c r="H2429" s="196"/>
      <c r="I2429" s="196"/>
      <c r="J2429" s="114"/>
      <c r="AW2429" s="117"/>
      <c r="AX2429" s="117"/>
      <c r="AY2429" s="117"/>
      <c r="AZ2429" s="117"/>
      <c r="BA2429" s="117"/>
      <c r="BB2429" s="117"/>
      <c r="BC2429" s="117"/>
      <c r="BD2429" s="117"/>
    </row>
    <row r="2430" spans="1:56" ht="18">
      <c r="A2430" s="114"/>
      <c r="B2430" s="396" t="s">
        <v>1123</v>
      </c>
      <c r="C2430" s="289"/>
      <c r="D2430" s="290"/>
      <c r="E2430" s="397">
        <f>C2424*(C2426*2*(0.05+C2423+C2422)*C2421)</f>
        <v>14.145</v>
      </c>
      <c r="F2430" s="390" t="s">
        <v>1124</v>
      </c>
      <c r="G2430" s="196"/>
      <c r="H2430" s="196"/>
      <c r="I2430" s="196"/>
      <c r="J2430" s="114"/>
      <c r="AW2430" s="117"/>
      <c r="AX2430" s="117"/>
      <c r="AY2430" s="117"/>
      <c r="AZ2430" s="117"/>
      <c r="BA2430" s="117"/>
      <c r="BB2430" s="117"/>
      <c r="BC2430" s="117"/>
      <c r="BD2430" s="117"/>
    </row>
    <row r="2431" spans="1:56" ht="18">
      <c r="A2431" s="114"/>
      <c r="B2431" s="398" t="s">
        <v>1125</v>
      </c>
      <c r="C2431" s="172"/>
      <c r="D2431" s="173"/>
      <c r="E2431" s="397">
        <f>E2430-(E2435+E2437)</f>
        <v>12.504999999999999</v>
      </c>
      <c r="F2431" s="390" t="s">
        <v>1124</v>
      </c>
      <c r="G2431" s="196"/>
      <c r="H2431" s="196"/>
      <c r="I2431" s="196"/>
      <c r="J2431" s="114"/>
      <c r="AW2431" s="117"/>
      <c r="AX2431" s="117"/>
      <c r="AY2431" s="117"/>
      <c r="AZ2431" s="117"/>
      <c r="BA2431" s="117"/>
      <c r="BB2431" s="117"/>
      <c r="BC2431" s="117"/>
      <c r="BD2431" s="117"/>
    </row>
    <row r="2432" spans="1:56" ht="15">
      <c r="A2432" s="114"/>
      <c r="B2432" s="399" t="s">
        <v>1126</v>
      </c>
      <c r="C2432" s="317"/>
      <c r="D2432" s="318"/>
      <c r="E2432" s="400">
        <f>(2*C2427)*C2421</f>
        <v>4.1000000000000005</v>
      </c>
      <c r="F2432" s="390" t="s">
        <v>13</v>
      </c>
      <c r="G2432" s="196"/>
      <c r="H2432" s="196"/>
      <c r="I2432" s="196"/>
      <c r="J2432" s="114"/>
      <c r="AW2432" s="117"/>
      <c r="AX2432" s="117"/>
      <c r="AY2432" s="117"/>
      <c r="AZ2432" s="117"/>
      <c r="BA2432" s="117"/>
      <c r="BB2432" s="117"/>
      <c r="BC2432" s="117"/>
      <c r="BD2432" s="117"/>
    </row>
    <row r="2433" spans="1:56" ht="15">
      <c r="A2433" s="114"/>
      <c r="B2433" s="196"/>
      <c r="C2433" s="196"/>
      <c r="D2433" s="196"/>
      <c r="E2433" s="401"/>
      <c r="F2433" s="196"/>
      <c r="G2433" s="196"/>
      <c r="H2433" s="196"/>
      <c r="I2433" s="196"/>
      <c r="J2433" s="114"/>
      <c r="AW2433" s="117"/>
      <c r="AX2433" s="117"/>
      <c r="AY2433" s="117"/>
      <c r="AZ2433" s="117"/>
      <c r="BA2433" s="117"/>
      <c r="BB2433" s="117"/>
      <c r="BC2433" s="117"/>
      <c r="BD2433" s="117"/>
    </row>
    <row r="2434" spans="1:56" ht="15">
      <c r="A2434" s="114"/>
      <c r="B2434" s="303" t="s">
        <v>1127</v>
      </c>
      <c r="C2434" s="196"/>
      <c r="D2434" s="196"/>
      <c r="E2434" s="401"/>
      <c r="F2434" s="196"/>
      <c r="G2434" s="196"/>
      <c r="H2434" s="196"/>
      <c r="I2434" s="196"/>
      <c r="J2434" s="114"/>
      <c r="AW2434" s="117"/>
      <c r="AX2434" s="117"/>
      <c r="AY2434" s="117"/>
      <c r="AZ2434" s="117"/>
      <c r="BA2434" s="117"/>
      <c r="BB2434" s="117"/>
      <c r="BC2434" s="117"/>
      <c r="BD2434" s="117"/>
    </row>
    <row r="2435" spans="1:56" ht="18">
      <c r="A2435" s="114"/>
      <c r="B2435" s="398" t="s">
        <v>1128</v>
      </c>
      <c r="C2435" s="172"/>
      <c r="D2435" s="173"/>
      <c r="E2435" s="402">
        <f>E2432*0.05</f>
        <v>0.20500000000000004</v>
      </c>
      <c r="F2435" s="390" t="s">
        <v>1124</v>
      </c>
      <c r="G2435" s="196"/>
      <c r="H2435" s="196"/>
      <c r="I2435" s="196"/>
      <c r="J2435" s="114"/>
      <c r="AW2435" s="117"/>
      <c r="AX2435" s="117"/>
      <c r="AY2435" s="117"/>
      <c r="AZ2435" s="117"/>
      <c r="BA2435" s="117"/>
      <c r="BB2435" s="117"/>
      <c r="BC2435" s="117"/>
      <c r="BD2435" s="117"/>
    </row>
    <row r="2436" spans="1:56" ht="15">
      <c r="A2436" s="114"/>
      <c r="B2436" s="398" t="s">
        <v>1129</v>
      </c>
      <c r="C2436" s="172"/>
      <c r="D2436" s="173"/>
      <c r="E2436" s="397">
        <f>C2423*2*C2421</f>
        <v>14.35</v>
      </c>
      <c r="F2436" s="390" t="s">
        <v>13</v>
      </c>
      <c r="G2436" s="393" t="s">
        <v>1108</v>
      </c>
      <c r="H2436" s="196" t="s">
        <v>1131</v>
      </c>
      <c r="I2436" s="393"/>
      <c r="J2436" s="114"/>
      <c r="AW2436" s="117"/>
      <c r="AX2436" s="117"/>
      <c r="AY2436" s="117"/>
      <c r="AZ2436" s="117"/>
      <c r="BA2436" s="117"/>
      <c r="BB2436" s="117"/>
      <c r="BC2436" s="117"/>
      <c r="BD2436" s="117"/>
    </row>
    <row r="2437" spans="1:56" ht="18">
      <c r="A2437" s="114"/>
      <c r="B2437" s="398" t="s">
        <v>1130</v>
      </c>
      <c r="C2437" s="172"/>
      <c r="D2437" s="173"/>
      <c r="E2437" s="402">
        <f>C2420*C2421*C2423</f>
        <v>1.4350000000000001</v>
      </c>
      <c r="F2437" s="390" t="s">
        <v>1124</v>
      </c>
      <c r="G2437" s="196"/>
      <c r="H2437" s="196"/>
      <c r="I2437" s="196"/>
      <c r="J2437" s="114"/>
      <c r="AW2437" s="117"/>
      <c r="AX2437" s="117"/>
      <c r="AY2437" s="117"/>
      <c r="AZ2437" s="117"/>
      <c r="BA2437" s="117"/>
      <c r="BB2437" s="117"/>
      <c r="BC2437" s="117"/>
      <c r="BD2437" s="117"/>
    </row>
    <row r="2438" spans="1:56">
      <c r="A2438" s="114"/>
      <c r="B2438" s="115"/>
      <c r="C2438" s="115"/>
      <c r="D2438" s="115"/>
      <c r="E2438" s="115"/>
      <c r="F2438" s="115"/>
      <c r="G2438" s="115"/>
      <c r="H2438" s="115"/>
      <c r="I2438" s="115"/>
      <c r="J2438" s="114"/>
      <c r="AW2438" s="117"/>
      <c r="AX2438" s="117"/>
      <c r="AY2438" s="117"/>
      <c r="AZ2438" s="117"/>
      <c r="BA2438" s="117"/>
      <c r="BB2438" s="117"/>
      <c r="BC2438" s="117"/>
      <c r="BD2438" s="117"/>
    </row>
    <row r="2439" spans="1:56">
      <c r="A2439" s="114"/>
      <c r="B2439" s="115"/>
      <c r="C2439" s="115"/>
      <c r="D2439" s="115"/>
      <c r="E2439" s="115"/>
      <c r="F2439" s="115"/>
      <c r="G2439" s="115"/>
      <c r="H2439" s="115"/>
      <c r="I2439" s="115"/>
      <c r="J2439" s="114"/>
      <c r="AW2439" s="117"/>
      <c r="AX2439" s="117"/>
      <c r="AY2439" s="117"/>
      <c r="AZ2439" s="117"/>
      <c r="BA2439" s="117"/>
      <c r="BB2439" s="117"/>
      <c r="BC2439" s="117"/>
      <c r="BD2439" s="117"/>
    </row>
    <row r="2440" spans="1:56">
      <c r="A2440" s="114"/>
      <c r="B2440" s="385" t="s">
        <v>1223</v>
      </c>
      <c r="C2440" s="196"/>
      <c r="D2440" s="196"/>
      <c r="E2440" s="196"/>
      <c r="F2440" s="196"/>
      <c r="G2440" s="196"/>
      <c r="H2440" s="196"/>
      <c r="I2440" s="196"/>
      <c r="J2440" s="196"/>
      <c r="AX2440" s="117"/>
      <c r="AY2440" s="117"/>
      <c r="AZ2440" s="117"/>
      <c r="BA2440" s="117"/>
      <c r="BB2440" s="117"/>
      <c r="BC2440" s="117"/>
      <c r="BD2440" s="117"/>
    </row>
    <row r="2441" spans="1:56" ht="15">
      <c r="A2441" s="114"/>
      <c r="B2441" s="362"/>
      <c r="C2441" s="362"/>
      <c r="D2441" s="362"/>
      <c r="E2441" s="362"/>
      <c r="F2441" s="404"/>
      <c r="G2441" s="404"/>
      <c r="H2441" s="404"/>
      <c r="I2441" s="404"/>
      <c r="J2441" s="404"/>
      <c r="AX2441" s="117"/>
      <c r="AY2441" s="117"/>
      <c r="AZ2441" s="117"/>
      <c r="BA2441" s="117"/>
      <c r="BB2441" s="117"/>
      <c r="BC2441" s="117"/>
      <c r="BD2441" s="117"/>
    </row>
    <row r="2442" spans="1:56" ht="18">
      <c r="A2442" s="114"/>
      <c r="B2442" s="388" t="s">
        <v>1141</v>
      </c>
      <c r="C2442" s="389">
        <v>0.6</v>
      </c>
      <c r="D2442" s="390" t="s">
        <v>10</v>
      </c>
      <c r="E2442" s="196"/>
      <c r="F2442" s="405"/>
      <c r="G2442" s="406" t="s">
        <v>1142</v>
      </c>
      <c r="H2442" s="407">
        <f>C2442*C2443</f>
        <v>0.18</v>
      </c>
      <c r="I2442" s="405" t="s">
        <v>1143</v>
      </c>
      <c r="J2442" s="405"/>
      <c r="AX2442" s="117"/>
      <c r="AY2442" s="117"/>
      <c r="AZ2442" s="117"/>
      <c r="BA2442" s="117"/>
      <c r="BB2442" s="117"/>
      <c r="BC2442" s="117"/>
      <c r="BD2442" s="117"/>
    </row>
    <row r="2443" spans="1:56" ht="15">
      <c r="A2443" s="114"/>
      <c r="B2443" s="388" t="s">
        <v>1144</v>
      </c>
      <c r="C2443" s="389">
        <v>0.3</v>
      </c>
      <c r="D2443" s="390" t="s">
        <v>10</v>
      </c>
      <c r="E2443" s="196"/>
      <c r="F2443" s="405"/>
      <c r="G2443" s="406" t="e">
        <f>TEXT(C2450,"tg 0°=")</f>
        <v>#VALUE!</v>
      </c>
      <c r="H2443" s="408">
        <f>TAN(3.14159265359*C2450/180)</f>
        <v>1.732050807569153</v>
      </c>
      <c r="I2443" s="405"/>
      <c r="J2443" s="405"/>
      <c r="AX2443" s="117"/>
      <c r="AY2443" s="117"/>
      <c r="AZ2443" s="117"/>
      <c r="BA2443" s="117"/>
      <c r="BB2443" s="117"/>
      <c r="BC2443" s="117"/>
      <c r="BD2443" s="117"/>
    </row>
    <row r="2444" spans="1:56" ht="15">
      <c r="A2444" s="114"/>
      <c r="B2444" s="388" t="s">
        <v>1145</v>
      </c>
      <c r="C2444" s="389">
        <v>1.25</v>
      </c>
      <c r="D2444" s="390" t="s">
        <v>10</v>
      </c>
      <c r="E2444" s="196"/>
      <c r="F2444" s="405"/>
      <c r="G2444" s="406"/>
      <c r="H2444" s="407"/>
      <c r="I2444" s="405"/>
      <c r="J2444" s="405"/>
      <c r="AX2444" s="117"/>
      <c r="AY2444" s="117"/>
      <c r="AZ2444" s="117"/>
      <c r="BA2444" s="117"/>
      <c r="BB2444" s="117"/>
      <c r="BC2444" s="117"/>
      <c r="BD2444" s="117"/>
    </row>
    <row r="2445" spans="1:56" ht="18">
      <c r="A2445" s="114"/>
      <c r="B2445" s="388" t="s">
        <v>1146</v>
      </c>
      <c r="C2445" s="389">
        <v>0.5</v>
      </c>
      <c r="D2445" s="390" t="s">
        <v>10</v>
      </c>
      <c r="E2445" s="196"/>
      <c r="F2445" s="405"/>
      <c r="G2445" s="406" t="s">
        <v>1142</v>
      </c>
      <c r="H2445" s="409">
        <f>(C2444+2*C2452+((C2446+C2447+0.05)/H2443)*2)*(C2445+2*C2452+((C2446+C2447+0.05)/H2443)*2)</f>
        <v>11.25749845793057</v>
      </c>
      <c r="I2445" s="405" t="s">
        <v>1143</v>
      </c>
      <c r="J2445" s="405"/>
      <c r="AX2445" s="117"/>
      <c r="AY2445" s="117"/>
      <c r="AZ2445" s="117"/>
      <c r="BA2445" s="117"/>
      <c r="BB2445" s="117"/>
      <c r="BC2445" s="117"/>
      <c r="BD2445" s="117"/>
    </row>
    <row r="2446" spans="1:56" ht="18">
      <c r="A2446" s="114"/>
      <c r="B2446" s="388" t="s">
        <v>1112</v>
      </c>
      <c r="C2446" s="389">
        <v>0.4</v>
      </c>
      <c r="D2446" s="390" t="s">
        <v>10</v>
      </c>
      <c r="E2446" s="196"/>
      <c r="F2446" s="405"/>
      <c r="G2446" s="406" t="s">
        <v>1147</v>
      </c>
      <c r="H2446" s="409">
        <f>(C2444+2*C2452)*(C2445+2*C2452)</f>
        <v>3.375</v>
      </c>
      <c r="I2446" s="405" t="s">
        <v>1143</v>
      </c>
      <c r="J2446" s="405"/>
      <c r="AX2446" s="117"/>
      <c r="AY2446" s="117"/>
      <c r="AZ2446" s="117"/>
      <c r="BA2446" s="117"/>
      <c r="BB2446" s="117"/>
      <c r="BC2446" s="117"/>
      <c r="BD2446" s="117"/>
    </row>
    <row r="2447" spans="1:56" ht="15">
      <c r="A2447" s="114"/>
      <c r="B2447" s="388" t="s">
        <v>1113</v>
      </c>
      <c r="C2447" s="389">
        <v>0.85</v>
      </c>
      <c r="D2447" s="390" t="s">
        <v>10</v>
      </c>
      <c r="E2447" s="196"/>
      <c r="F2447" s="405"/>
      <c r="G2447" s="406"/>
      <c r="H2447" s="407"/>
      <c r="I2447" s="405"/>
      <c r="J2447" s="405"/>
      <c r="AX2447" s="117"/>
      <c r="AY2447" s="117"/>
      <c r="AZ2447" s="117"/>
      <c r="BA2447" s="117"/>
      <c r="BB2447" s="117"/>
      <c r="BC2447" s="117"/>
      <c r="BD2447" s="117"/>
    </row>
    <row r="2448" spans="1:56" ht="15">
      <c r="A2448" s="114"/>
      <c r="B2448" s="388" t="s">
        <v>1117</v>
      </c>
      <c r="C2448" s="391">
        <v>18</v>
      </c>
      <c r="D2448" s="390" t="s">
        <v>1118</v>
      </c>
      <c r="E2448" s="196"/>
      <c r="F2448" s="405"/>
      <c r="G2448" s="406"/>
      <c r="H2448" s="407"/>
      <c r="I2448" s="405"/>
      <c r="J2448" s="405"/>
      <c r="AX2448" s="117"/>
      <c r="AY2448" s="117"/>
      <c r="AZ2448" s="117"/>
      <c r="BA2448" s="117"/>
      <c r="BB2448" s="117"/>
      <c r="BC2448" s="117"/>
      <c r="BD2448" s="117"/>
    </row>
    <row r="2449" spans="1:56" ht="15">
      <c r="A2449" s="114"/>
      <c r="B2449" s="196" t="s">
        <v>1148</v>
      </c>
      <c r="C2449" s="393"/>
      <c r="D2449" s="196"/>
      <c r="E2449" s="196"/>
      <c r="F2449" s="405"/>
      <c r="G2449" s="406"/>
      <c r="H2449" s="407"/>
      <c r="I2449" s="405"/>
      <c r="J2449" s="405"/>
      <c r="AX2449" s="117"/>
      <c r="AY2449" s="117"/>
      <c r="AZ2449" s="117"/>
      <c r="BA2449" s="117"/>
      <c r="BB2449" s="117"/>
      <c r="BC2449" s="117"/>
      <c r="BD2449" s="117"/>
    </row>
    <row r="2450" spans="1:56" ht="15">
      <c r="A2450" s="114"/>
      <c r="B2450" s="388" t="s">
        <v>1149</v>
      </c>
      <c r="C2450" s="389">
        <v>60</v>
      </c>
      <c r="D2450" s="390" t="s">
        <v>1150</v>
      </c>
      <c r="E2450" s="196"/>
      <c r="F2450" s="196"/>
      <c r="G2450" s="392"/>
      <c r="H2450" s="393"/>
      <c r="I2450" s="196"/>
      <c r="J2450" s="196"/>
      <c r="AX2450" s="117"/>
      <c r="AY2450" s="117"/>
      <c r="AZ2450" s="117"/>
      <c r="BA2450" s="117"/>
      <c r="BB2450" s="117"/>
      <c r="BC2450" s="117"/>
      <c r="BD2450" s="117"/>
    </row>
    <row r="2451" spans="1:56" ht="15">
      <c r="A2451" s="114"/>
      <c r="B2451" s="362"/>
      <c r="C2451" s="196"/>
      <c r="D2451" s="196"/>
      <c r="E2451" s="196"/>
      <c r="F2451" s="196"/>
      <c r="G2451" s="362"/>
      <c r="H2451" s="362"/>
      <c r="I2451" s="362"/>
      <c r="J2451" s="196"/>
      <c r="AX2451" s="117"/>
      <c r="AY2451" s="117"/>
      <c r="AZ2451" s="117"/>
      <c r="BA2451" s="117"/>
      <c r="BB2451" s="117"/>
      <c r="BC2451" s="117"/>
      <c r="BD2451" s="117"/>
    </row>
    <row r="2452" spans="1:56" ht="15">
      <c r="A2452" s="114"/>
      <c r="B2452" s="388" t="s">
        <v>1114</v>
      </c>
      <c r="C2452" s="389">
        <v>0.5</v>
      </c>
      <c r="D2452" s="390" t="s">
        <v>10</v>
      </c>
      <c r="E2452" s="288" t="s">
        <v>1120</v>
      </c>
      <c r="F2452" s="196"/>
      <c r="G2452" s="362"/>
      <c r="H2452" s="196" t="s">
        <v>1131</v>
      </c>
      <c r="I2452" s="362"/>
      <c r="J2452" s="196"/>
      <c r="AX2452" s="117"/>
      <c r="AY2452" s="117"/>
      <c r="AZ2452" s="117"/>
      <c r="BA2452" s="117"/>
      <c r="BB2452" s="117"/>
      <c r="BC2452" s="117"/>
      <c r="BD2452" s="117"/>
    </row>
    <row r="2453" spans="1:56" ht="15">
      <c r="A2453" s="114"/>
      <c r="B2453" s="388" t="s">
        <v>1114</v>
      </c>
      <c r="C2453" s="389">
        <v>0.1</v>
      </c>
      <c r="D2453" s="390" t="s">
        <v>10</v>
      </c>
      <c r="E2453" s="288" t="s">
        <v>1121</v>
      </c>
      <c r="F2453" s="196"/>
      <c r="G2453" s="196"/>
      <c r="H2453" s="196"/>
      <c r="I2453" s="196"/>
      <c r="J2453" s="196"/>
      <c r="AX2453" s="117"/>
      <c r="AY2453" s="117"/>
      <c r="AZ2453" s="117"/>
      <c r="BA2453" s="117"/>
      <c r="BB2453" s="117"/>
      <c r="BC2453" s="117"/>
      <c r="BD2453" s="117"/>
    </row>
    <row r="2454" spans="1:56" ht="15">
      <c r="A2454" s="114"/>
      <c r="B2454" s="362"/>
      <c r="C2454" s="362"/>
      <c r="D2454" s="362"/>
      <c r="E2454" s="362"/>
      <c r="F2454" s="362"/>
      <c r="G2454" s="114"/>
      <c r="H2454" s="362"/>
      <c r="I2454" s="196"/>
      <c r="J2454" s="196"/>
      <c r="AX2454" s="117"/>
      <c r="AY2454" s="117"/>
      <c r="AZ2454" s="117"/>
      <c r="BA2454" s="117"/>
      <c r="BB2454" s="117"/>
      <c r="BC2454" s="117"/>
      <c r="BD2454" s="117"/>
    </row>
    <row r="2455" spans="1:56" ht="15">
      <c r="A2455" s="114"/>
      <c r="B2455" s="303" t="s">
        <v>1122</v>
      </c>
      <c r="C2455" s="362"/>
      <c r="D2455" s="362"/>
      <c r="E2455" s="362"/>
      <c r="F2455" s="362"/>
      <c r="G2455" s="196"/>
      <c r="H2455" s="196"/>
      <c r="I2455" s="196"/>
      <c r="J2455" s="196"/>
      <c r="AX2455" s="117"/>
      <c r="AY2455" s="117"/>
      <c r="AZ2455" s="117"/>
      <c r="BA2455" s="117"/>
      <c r="BB2455" s="117"/>
      <c r="BC2455" s="117"/>
      <c r="BD2455" s="117"/>
    </row>
    <row r="2456" spans="1:56" ht="18">
      <c r="A2456" s="114"/>
      <c r="B2456" s="398" t="s">
        <v>1123</v>
      </c>
      <c r="C2456" s="172"/>
      <c r="D2456" s="173"/>
      <c r="E2456" s="397">
        <f>C2448*((H2446+H2445)/2)*(C2446+C2447+0.05)</f>
        <v>171.20023195778768</v>
      </c>
      <c r="F2456" s="390" t="s">
        <v>1124</v>
      </c>
      <c r="G2456" s="196"/>
      <c r="H2456" s="362"/>
      <c r="I2456" s="362"/>
      <c r="J2456" s="362"/>
      <c r="AX2456" s="117"/>
      <c r="AY2456" s="117"/>
      <c r="AZ2456" s="117"/>
      <c r="BA2456" s="117"/>
      <c r="BB2456" s="117"/>
      <c r="BC2456" s="117"/>
      <c r="BD2456" s="117"/>
    </row>
    <row r="2457" spans="1:56" ht="18">
      <c r="A2457" s="114"/>
      <c r="B2457" s="398" t="s">
        <v>1125</v>
      </c>
      <c r="C2457" s="172"/>
      <c r="D2457" s="173"/>
      <c r="E2457" s="397">
        <f>E2456-(E2468+E2470)</f>
        <v>160.72423195778768</v>
      </c>
      <c r="F2457" s="390" t="s">
        <v>1124</v>
      </c>
      <c r="G2457" s="196"/>
      <c r="H2457" s="196"/>
      <c r="I2457" s="196"/>
      <c r="J2457" s="196"/>
      <c r="AX2457" s="117"/>
      <c r="AY2457" s="117"/>
      <c r="AZ2457" s="117"/>
      <c r="BA2457" s="117"/>
      <c r="BB2457" s="117"/>
      <c r="BC2457" s="117"/>
      <c r="BD2457" s="117"/>
    </row>
    <row r="2458" spans="1:56" ht="15">
      <c r="A2458" s="114"/>
      <c r="B2458" s="398" t="s">
        <v>1126</v>
      </c>
      <c r="C2458" s="172"/>
      <c r="D2458" s="173"/>
      <c r="E2458" s="400">
        <f>((C2444+2*C2453)*(C2445+2*C2453))*C2448</f>
        <v>18.27</v>
      </c>
      <c r="F2458" s="390" t="s">
        <v>13</v>
      </c>
      <c r="G2458" s="362"/>
      <c r="H2458" s="362"/>
      <c r="I2458" s="362"/>
      <c r="J2458" s="362"/>
      <c r="AX2458" s="117"/>
      <c r="AY2458" s="117"/>
      <c r="AZ2458" s="117"/>
      <c r="BA2458" s="117"/>
      <c r="BB2458" s="117"/>
      <c r="BC2458" s="117"/>
      <c r="BD2458" s="117"/>
    </row>
    <row r="2459" spans="1:56" ht="15">
      <c r="A2459" s="114"/>
      <c r="B2459" s="362"/>
      <c r="C2459" s="362"/>
      <c r="D2459" s="362"/>
      <c r="E2459" s="401"/>
      <c r="F2459" s="196"/>
      <c r="G2459" s="362"/>
      <c r="H2459" s="362"/>
      <c r="I2459" s="362"/>
      <c r="J2459" s="362"/>
      <c r="AX2459" s="117"/>
      <c r="AY2459" s="117"/>
      <c r="AZ2459" s="117"/>
      <c r="BA2459" s="117"/>
      <c r="BB2459" s="117"/>
      <c r="BC2459" s="117"/>
      <c r="BD2459" s="117"/>
    </row>
    <row r="2460" spans="1:56" ht="15">
      <c r="A2460" s="114"/>
      <c r="B2460" s="303" t="s">
        <v>1162</v>
      </c>
      <c r="C2460" s="362"/>
      <c r="D2460" s="362"/>
      <c r="E2460" s="410"/>
      <c r="F2460" s="362"/>
      <c r="G2460" s="362"/>
      <c r="H2460" s="362"/>
      <c r="I2460" s="362"/>
      <c r="J2460" s="362"/>
      <c r="AX2460" s="117"/>
      <c r="AY2460" s="117"/>
      <c r="AZ2460" s="117"/>
      <c r="BA2460" s="117"/>
      <c r="BB2460" s="117"/>
      <c r="BC2460" s="117"/>
      <c r="BD2460" s="117"/>
    </row>
    <row r="2461" spans="1:56" ht="15">
      <c r="A2461" s="114"/>
      <c r="B2461" s="398" t="s">
        <v>1152</v>
      </c>
      <c r="C2461" s="398"/>
      <c r="D2461" s="366"/>
      <c r="E2461" s="411">
        <v>2</v>
      </c>
      <c r="F2461" s="390" t="s">
        <v>1153</v>
      </c>
      <c r="G2461" s="362"/>
      <c r="H2461" s="362"/>
      <c r="I2461" s="362"/>
      <c r="J2461" s="362"/>
      <c r="AX2461" s="117"/>
      <c r="AY2461" s="117"/>
      <c r="AZ2461" s="117"/>
      <c r="BA2461" s="117"/>
      <c r="BB2461" s="117"/>
      <c r="BC2461" s="117"/>
      <c r="BD2461" s="117"/>
    </row>
    <row r="2462" spans="1:56" ht="15">
      <c r="A2462" s="114"/>
      <c r="B2462" s="399" t="s">
        <v>1154</v>
      </c>
      <c r="C2462" s="31"/>
      <c r="D2462" s="32"/>
      <c r="E2462" s="412">
        <f>C2448*E2461</f>
        <v>36</v>
      </c>
      <c r="F2462" s="390" t="s">
        <v>1153</v>
      </c>
      <c r="G2462" s="362"/>
      <c r="H2462" s="362"/>
      <c r="I2462" s="362"/>
      <c r="J2462" s="362"/>
      <c r="AX2462" s="117"/>
      <c r="AY2462" s="117"/>
      <c r="AZ2462" s="117"/>
      <c r="BA2462" s="117"/>
      <c r="BB2462" s="117"/>
      <c r="BC2462" s="117"/>
      <c r="BD2462" s="117"/>
    </row>
    <row r="2463" spans="1:56" ht="15">
      <c r="A2463" s="114"/>
      <c r="B2463" s="398" t="s">
        <v>1155</v>
      </c>
      <c r="C2463" s="21"/>
      <c r="D2463" s="413"/>
      <c r="E2463" s="411">
        <v>250</v>
      </c>
      <c r="F2463" s="390" t="s">
        <v>1156</v>
      </c>
      <c r="G2463" s="362"/>
      <c r="H2463" s="414"/>
      <c r="I2463" s="362"/>
      <c r="J2463" s="415"/>
      <c r="AX2463" s="117"/>
      <c r="AY2463" s="117"/>
      <c r="AZ2463" s="117"/>
      <c r="BA2463" s="117"/>
      <c r="BB2463" s="117"/>
      <c r="BC2463" s="117"/>
      <c r="BD2463" s="117"/>
    </row>
    <row r="2464" spans="1:56" ht="15">
      <c r="A2464" s="114"/>
      <c r="B2464" s="398" t="s">
        <v>1157</v>
      </c>
      <c r="C2464" s="21"/>
      <c r="D2464" s="413"/>
      <c r="E2464" s="411">
        <v>12</v>
      </c>
      <c r="F2464" s="390" t="s">
        <v>10</v>
      </c>
      <c r="G2464" s="362"/>
      <c r="H2464" s="6"/>
      <c r="I2464" s="362"/>
      <c r="J2464" s="362"/>
      <c r="AX2464" s="117"/>
      <c r="AY2464" s="117"/>
      <c r="AZ2464" s="117"/>
      <c r="BA2464" s="117"/>
      <c r="BB2464" s="117"/>
      <c r="BC2464" s="117"/>
      <c r="BD2464" s="117"/>
    </row>
    <row r="2465" spans="1:56" ht="15">
      <c r="A2465" s="114"/>
      <c r="B2465" s="398" t="s">
        <v>1158</v>
      </c>
      <c r="C2465" s="21"/>
      <c r="D2465" s="413"/>
      <c r="E2465" s="412">
        <f>E2462*E2464</f>
        <v>432</v>
      </c>
      <c r="F2465" s="390" t="s">
        <v>10</v>
      </c>
      <c r="G2465" s="362"/>
      <c r="H2465" s="362"/>
      <c r="I2465" s="362"/>
      <c r="J2465" s="362"/>
      <c r="AX2465" s="117"/>
      <c r="AY2465" s="117"/>
      <c r="AZ2465" s="117"/>
      <c r="BA2465" s="117"/>
      <c r="BB2465" s="117"/>
      <c r="BC2465" s="117"/>
      <c r="BD2465" s="117"/>
    </row>
    <row r="2466" spans="1:56" ht="15">
      <c r="A2466" s="114"/>
      <c r="B2466" s="362"/>
      <c r="C2466" s="362"/>
      <c r="D2466" s="362"/>
      <c r="E2466" s="410"/>
      <c r="F2466" s="362"/>
      <c r="G2466" s="362"/>
      <c r="H2466" s="362"/>
      <c r="I2466" s="362"/>
      <c r="J2466" s="362"/>
      <c r="AX2466" s="117"/>
      <c r="AY2466" s="117"/>
      <c r="AZ2466" s="117"/>
      <c r="BA2466" s="117"/>
      <c r="BB2466" s="117"/>
      <c r="BC2466" s="117"/>
      <c r="BD2466" s="117"/>
    </row>
    <row r="2467" spans="1:56" ht="15">
      <c r="A2467" s="114"/>
      <c r="B2467" s="303" t="s">
        <v>1160</v>
      </c>
      <c r="C2467" s="362"/>
      <c r="D2467" s="362"/>
      <c r="E2467" s="410"/>
      <c r="F2467" s="362"/>
      <c r="G2467" s="362"/>
      <c r="H2467" s="362"/>
      <c r="I2467" s="362"/>
      <c r="J2467" s="362"/>
      <c r="AX2467" s="117"/>
      <c r="AY2467" s="117"/>
      <c r="AZ2467" s="117"/>
      <c r="BA2467" s="117"/>
      <c r="BB2467" s="117"/>
      <c r="BC2467" s="117"/>
      <c r="BD2467" s="117"/>
    </row>
    <row r="2468" spans="1:56" ht="18">
      <c r="A2468" s="114"/>
      <c r="B2468" s="398" t="s">
        <v>1128</v>
      </c>
      <c r="C2468" s="172"/>
      <c r="D2468" s="173"/>
      <c r="E2468" s="402">
        <f>E2458*0.05</f>
        <v>0.91349999999999998</v>
      </c>
      <c r="F2468" s="390" t="s">
        <v>1124</v>
      </c>
      <c r="G2468" s="362"/>
      <c r="H2468" s="362"/>
      <c r="I2468" s="362"/>
      <c r="J2468" s="362"/>
      <c r="AX2468" s="117"/>
      <c r="AY2468" s="117"/>
      <c r="AZ2468" s="117"/>
      <c r="BA2468" s="117"/>
      <c r="BB2468" s="117"/>
      <c r="BC2468" s="117"/>
      <c r="BD2468" s="117"/>
    </row>
    <row r="2469" spans="1:56" ht="15">
      <c r="A2469" s="114"/>
      <c r="B2469" s="398" t="s">
        <v>1129</v>
      </c>
      <c r="C2469" s="172"/>
      <c r="D2469" s="173"/>
      <c r="E2469" s="397">
        <f>(2*(C2444+C2445)*C2447)*C2448</f>
        <v>53.550000000000004</v>
      </c>
      <c r="F2469" s="390" t="s">
        <v>13</v>
      </c>
      <c r="G2469" s="362"/>
      <c r="H2469" s="362"/>
      <c r="I2469" s="362"/>
      <c r="J2469" s="362"/>
      <c r="AX2469" s="117"/>
      <c r="AY2469" s="117"/>
      <c r="AZ2469" s="117"/>
      <c r="BA2469" s="117"/>
      <c r="BB2469" s="117"/>
      <c r="BC2469" s="117"/>
      <c r="BD2469" s="117"/>
    </row>
    <row r="2470" spans="1:56" ht="18">
      <c r="A2470" s="114"/>
      <c r="B2470" s="398" t="s">
        <v>1130</v>
      </c>
      <c r="C2470" s="172"/>
      <c r="D2470" s="173"/>
      <c r="E2470" s="402">
        <f>(C2444*C2445*C2447)*C2448</f>
        <v>9.5625</v>
      </c>
      <c r="F2470" s="390" t="s">
        <v>1124</v>
      </c>
      <c r="G2470" s="362"/>
      <c r="H2470" s="362"/>
      <c r="I2470" s="362"/>
      <c r="J2470" s="362"/>
      <c r="AX2470" s="117"/>
      <c r="AY2470" s="117"/>
      <c r="AZ2470" s="117"/>
      <c r="BA2470" s="117"/>
      <c r="BB2470" s="117"/>
      <c r="BC2470" s="117"/>
      <c r="BD2470" s="117"/>
    </row>
    <row r="2471" spans="1:56" ht="15">
      <c r="A2471" s="114"/>
      <c r="B2471" s="196"/>
      <c r="C2471" s="196"/>
      <c r="D2471" s="196"/>
      <c r="E2471" s="196"/>
      <c r="F2471" s="196"/>
      <c r="G2471" s="196"/>
      <c r="H2471" s="196"/>
      <c r="I2471" s="196"/>
      <c r="J2471" s="114"/>
      <c r="AW2471" s="117"/>
      <c r="AX2471" s="117"/>
      <c r="AY2471" s="117"/>
      <c r="AZ2471" s="117"/>
      <c r="BA2471" s="117"/>
      <c r="BB2471" s="117"/>
      <c r="BC2471" s="117"/>
      <c r="BD2471" s="117"/>
    </row>
    <row r="2472" spans="1:56" ht="15">
      <c r="A2472" s="114"/>
      <c r="B2472" s="196"/>
      <c r="C2472" s="196"/>
      <c r="D2472" s="196"/>
      <c r="E2472" s="196"/>
      <c r="F2472" s="196"/>
      <c r="G2472" s="196"/>
      <c r="H2472" s="196"/>
      <c r="I2472" s="196"/>
      <c r="J2472" s="114"/>
      <c r="AW2472" s="117"/>
      <c r="AX2472" s="117"/>
      <c r="AY2472" s="117"/>
      <c r="AZ2472" s="117"/>
      <c r="BA2472" s="117"/>
      <c r="BB2472" s="117"/>
      <c r="BC2472" s="117"/>
      <c r="BD2472" s="117"/>
    </row>
    <row r="2473" spans="1:56">
      <c r="A2473" s="114"/>
      <c r="B2473" s="385" t="s">
        <v>1224</v>
      </c>
      <c r="C2473" s="196"/>
      <c r="D2473" s="196"/>
      <c r="E2473" s="196"/>
      <c r="F2473" s="196"/>
      <c r="G2473" s="196"/>
      <c r="H2473" s="196"/>
      <c r="I2473" s="196"/>
      <c r="J2473" s="196"/>
      <c r="AX2473" s="117"/>
      <c r="AY2473" s="117"/>
      <c r="AZ2473" s="117"/>
      <c r="BA2473" s="117"/>
      <c r="BB2473" s="117"/>
      <c r="BC2473" s="117"/>
      <c r="BD2473" s="117"/>
    </row>
    <row r="2474" spans="1:56" ht="15">
      <c r="A2474" s="114"/>
      <c r="B2474" s="362"/>
      <c r="C2474" s="362"/>
      <c r="D2474" s="362"/>
      <c r="E2474" s="362"/>
      <c r="F2474" s="404"/>
      <c r="G2474" s="404"/>
      <c r="H2474" s="404"/>
      <c r="I2474" s="404"/>
      <c r="J2474" s="404"/>
      <c r="AX2474" s="117"/>
      <c r="AY2474" s="117"/>
      <c r="AZ2474" s="117"/>
      <c r="BA2474" s="117"/>
      <c r="BB2474" s="117"/>
      <c r="BC2474" s="117"/>
      <c r="BD2474" s="117"/>
    </row>
    <row r="2475" spans="1:56" ht="18">
      <c r="A2475" s="114"/>
      <c r="B2475" s="388" t="s">
        <v>1141</v>
      </c>
      <c r="C2475" s="389">
        <v>0.6</v>
      </c>
      <c r="D2475" s="390" t="s">
        <v>10</v>
      </c>
      <c r="E2475" s="196"/>
      <c r="F2475" s="405"/>
      <c r="G2475" s="406" t="s">
        <v>1142</v>
      </c>
      <c r="H2475" s="407">
        <f>C2475*C2476</f>
        <v>0.372</v>
      </c>
      <c r="I2475" s="405" t="s">
        <v>1143</v>
      </c>
      <c r="J2475" s="405"/>
      <c r="AX2475" s="117"/>
      <c r="AY2475" s="117"/>
      <c r="AZ2475" s="117"/>
      <c r="BA2475" s="117"/>
      <c r="BB2475" s="117"/>
      <c r="BC2475" s="117"/>
      <c r="BD2475" s="117"/>
    </row>
    <row r="2476" spans="1:56" ht="15">
      <c r="A2476" s="114"/>
      <c r="B2476" s="388" t="s">
        <v>1144</v>
      </c>
      <c r="C2476" s="389">
        <v>0.62</v>
      </c>
      <c r="D2476" s="390" t="s">
        <v>10</v>
      </c>
      <c r="E2476" s="196"/>
      <c r="F2476" s="405"/>
      <c r="G2476" s="406" t="e">
        <f>TEXT(C2483,"tg 0°=")</f>
        <v>#VALUE!</v>
      </c>
      <c r="H2476" s="408">
        <f>TAN(3.14159265359*C2483/180)</f>
        <v>1.732050807569153</v>
      </c>
      <c r="I2476" s="405"/>
      <c r="J2476" s="405"/>
      <c r="AX2476" s="117"/>
      <c r="AY2476" s="117"/>
      <c r="AZ2476" s="117"/>
      <c r="BA2476" s="117"/>
      <c r="BB2476" s="117"/>
      <c r="BC2476" s="117"/>
      <c r="BD2476" s="117"/>
    </row>
    <row r="2477" spans="1:56" ht="15">
      <c r="A2477" s="114"/>
      <c r="B2477" s="388" t="s">
        <v>1145</v>
      </c>
      <c r="C2477" s="389">
        <v>1.25</v>
      </c>
      <c r="D2477" s="390" t="s">
        <v>10</v>
      </c>
      <c r="E2477" s="196"/>
      <c r="F2477" s="405"/>
      <c r="G2477" s="406"/>
      <c r="H2477" s="407"/>
      <c r="I2477" s="405"/>
      <c r="J2477" s="405"/>
      <c r="AX2477" s="117"/>
      <c r="AY2477" s="117"/>
      <c r="AZ2477" s="117"/>
      <c r="BA2477" s="117"/>
      <c r="BB2477" s="117"/>
      <c r="BC2477" s="117"/>
      <c r="BD2477" s="117"/>
    </row>
    <row r="2478" spans="1:56" ht="18">
      <c r="A2478" s="114"/>
      <c r="B2478" s="388" t="s">
        <v>1146</v>
      </c>
      <c r="C2478" s="389">
        <v>1.25</v>
      </c>
      <c r="D2478" s="390" t="s">
        <v>10</v>
      </c>
      <c r="E2478" s="196"/>
      <c r="F2478" s="405"/>
      <c r="G2478" s="406" t="s">
        <v>1142</v>
      </c>
      <c r="H2478" s="409">
        <f>(C2477+2*C2485+((C2479+C2480+0.05)/H2476)*2)*(C2478+2*C2485+((C2479+C2480+0.05)/H2476)*2)</f>
        <v>14.070831482850162</v>
      </c>
      <c r="I2478" s="405" t="s">
        <v>1143</v>
      </c>
      <c r="J2478" s="405"/>
      <c r="AX2478" s="117"/>
      <c r="AY2478" s="117"/>
      <c r="AZ2478" s="117"/>
      <c r="BA2478" s="117"/>
      <c r="BB2478" s="117"/>
      <c r="BC2478" s="117"/>
      <c r="BD2478" s="117"/>
    </row>
    <row r="2479" spans="1:56" ht="18">
      <c r="A2479" s="114"/>
      <c r="B2479" s="388" t="s">
        <v>1112</v>
      </c>
      <c r="C2479" s="389">
        <v>0.4</v>
      </c>
      <c r="D2479" s="390" t="s">
        <v>10</v>
      </c>
      <c r="E2479" s="196"/>
      <c r="F2479" s="405"/>
      <c r="G2479" s="406" t="s">
        <v>1147</v>
      </c>
      <c r="H2479" s="409">
        <f>(C2477+2*C2485)*(C2478+2*C2485)</f>
        <v>5.0625</v>
      </c>
      <c r="I2479" s="405" t="s">
        <v>1143</v>
      </c>
      <c r="J2479" s="405"/>
      <c r="AX2479" s="117"/>
      <c r="AY2479" s="117"/>
      <c r="AZ2479" s="117"/>
      <c r="BA2479" s="117"/>
      <c r="BB2479" s="117"/>
      <c r="BC2479" s="117"/>
      <c r="BD2479" s="117"/>
    </row>
    <row r="2480" spans="1:56" ht="15">
      <c r="A2480" s="114"/>
      <c r="B2480" s="388" t="s">
        <v>1113</v>
      </c>
      <c r="C2480" s="389">
        <v>0.85</v>
      </c>
      <c r="D2480" s="390" t="s">
        <v>10</v>
      </c>
      <c r="E2480" s="196"/>
      <c r="F2480" s="405"/>
      <c r="G2480" s="406"/>
      <c r="H2480" s="407"/>
      <c r="I2480" s="405"/>
      <c r="J2480" s="405"/>
      <c r="AX2480" s="117"/>
      <c r="AY2480" s="117"/>
      <c r="AZ2480" s="117"/>
      <c r="BA2480" s="117"/>
      <c r="BB2480" s="117"/>
      <c r="BC2480" s="117"/>
      <c r="BD2480" s="117"/>
    </row>
    <row r="2481" spans="1:56" ht="15">
      <c r="A2481" s="114"/>
      <c r="B2481" s="388" t="s">
        <v>1117</v>
      </c>
      <c r="C2481" s="391">
        <v>2</v>
      </c>
      <c r="D2481" s="390" t="s">
        <v>1118</v>
      </c>
      <c r="E2481" s="196"/>
      <c r="F2481" s="405"/>
      <c r="G2481" s="406"/>
      <c r="H2481" s="407"/>
      <c r="I2481" s="405"/>
      <c r="J2481" s="405"/>
      <c r="AX2481" s="117"/>
      <c r="AY2481" s="117"/>
      <c r="AZ2481" s="117"/>
      <c r="BA2481" s="117"/>
      <c r="BB2481" s="117"/>
      <c r="BC2481" s="117"/>
      <c r="BD2481" s="117"/>
    </row>
    <row r="2482" spans="1:56" ht="15">
      <c r="A2482" s="114"/>
      <c r="B2482" s="196" t="s">
        <v>1148</v>
      </c>
      <c r="C2482" s="393"/>
      <c r="D2482" s="196"/>
      <c r="E2482" s="196"/>
      <c r="F2482" s="405"/>
      <c r="G2482" s="406"/>
      <c r="H2482" s="407"/>
      <c r="I2482" s="405"/>
      <c r="J2482" s="405"/>
      <c r="AX2482" s="117"/>
      <c r="AY2482" s="117"/>
      <c r="AZ2482" s="117"/>
      <c r="BA2482" s="117"/>
      <c r="BB2482" s="117"/>
      <c r="BC2482" s="117"/>
      <c r="BD2482" s="117"/>
    </row>
    <row r="2483" spans="1:56" ht="15">
      <c r="A2483" s="114"/>
      <c r="B2483" s="388" t="s">
        <v>1149</v>
      </c>
      <c r="C2483" s="389">
        <v>60</v>
      </c>
      <c r="D2483" s="390" t="s">
        <v>1150</v>
      </c>
      <c r="E2483" s="196"/>
      <c r="F2483" s="196"/>
      <c r="G2483" s="392"/>
      <c r="H2483" s="393"/>
      <c r="I2483" s="196"/>
      <c r="J2483" s="196"/>
      <c r="AX2483" s="117"/>
      <c r="AY2483" s="117"/>
      <c r="AZ2483" s="117"/>
      <c r="BA2483" s="117"/>
      <c r="BB2483" s="117"/>
      <c r="BC2483" s="117"/>
      <c r="BD2483" s="117"/>
    </row>
    <row r="2484" spans="1:56" ht="15">
      <c r="A2484" s="114"/>
      <c r="B2484" s="362"/>
      <c r="C2484" s="196"/>
      <c r="D2484" s="196"/>
      <c r="E2484" s="196"/>
      <c r="F2484" s="196"/>
      <c r="G2484" s="362"/>
      <c r="H2484" s="362"/>
      <c r="I2484" s="362"/>
      <c r="J2484" s="196"/>
      <c r="AX2484" s="117"/>
      <c r="AY2484" s="117"/>
      <c r="AZ2484" s="117"/>
      <c r="BA2484" s="117"/>
      <c r="BB2484" s="117"/>
      <c r="BC2484" s="117"/>
      <c r="BD2484" s="117"/>
    </row>
    <row r="2485" spans="1:56" ht="15">
      <c r="A2485" s="114"/>
      <c r="B2485" s="388" t="s">
        <v>1114</v>
      </c>
      <c r="C2485" s="389">
        <v>0.5</v>
      </c>
      <c r="D2485" s="390" t="s">
        <v>10</v>
      </c>
      <c r="E2485" s="288" t="s">
        <v>1120</v>
      </c>
      <c r="F2485" s="196"/>
      <c r="G2485" s="362"/>
      <c r="H2485" s="196" t="s">
        <v>1131</v>
      </c>
      <c r="I2485" s="362"/>
      <c r="J2485" s="196"/>
      <c r="AX2485" s="117"/>
      <c r="AY2485" s="117"/>
      <c r="AZ2485" s="117"/>
      <c r="BA2485" s="117"/>
      <c r="BB2485" s="117"/>
      <c r="BC2485" s="117"/>
      <c r="BD2485" s="117"/>
    </row>
    <row r="2486" spans="1:56" ht="15">
      <c r="A2486" s="114"/>
      <c r="B2486" s="388" t="s">
        <v>1114</v>
      </c>
      <c r="C2486" s="389">
        <v>0.1</v>
      </c>
      <c r="D2486" s="390" t="s">
        <v>10</v>
      </c>
      <c r="E2486" s="288" t="s">
        <v>1121</v>
      </c>
      <c r="F2486" s="196"/>
      <c r="G2486" s="196"/>
      <c r="H2486" s="196"/>
      <c r="I2486" s="196"/>
      <c r="J2486" s="196"/>
      <c r="AX2486" s="117"/>
      <c r="AY2486" s="117"/>
      <c r="AZ2486" s="117"/>
      <c r="BA2486" s="117"/>
      <c r="BB2486" s="117"/>
      <c r="BC2486" s="117"/>
      <c r="BD2486" s="117"/>
    </row>
    <row r="2487" spans="1:56" ht="15">
      <c r="A2487" s="114"/>
      <c r="B2487" s="362"/>
      <c r="C2487" s="362"/>
      <c r="D2487" s="362"/>
      <c r="E2487" s="362"/>
      <c r="F2487" s="362"/>
      <c r="G2487" s="114"/>
      <c r="H2487" s="362"/>
      <c r="I2487" s="196"/>
      <c r="J2487" s="196"/>
      <c r="AX2487" s="117"/>
      <c r="AY2487" s="117"/>
      <c r="AZ2487" s="117"/>
      <c r="BA2487" s="117"/>
      <c r="BB2487" s="117"/>
      <c r="BC2487" s="117"/>
      <c r="BD2487" s="117"/>
    </row>
    <row r="2488" spans="1:56" ht="15">
      <c r="A2488" s="114"/>
      <c r="B2488" s="303" t="s">
        <v>1122</v>
      </c>
      <c r="C2488" s="362"/>
      <c r="D2488" s="362"/>
      <c r="E2488" s="362"/>
      <c r="F2488" s="362"/>
      <c r="G2488" s="196"/>
      <c r="H2488" s="196"/>
      <c r="I2488" s="196"/>
      <c r="J2488" s="196"/>
      <c r="AX2488" s="117"/>
      <c r="AY2488" s="117"/>
      <c r="AZ2488" s="117"/>
      <c r="BA2488" s="117"/>
      <c r="BB2488" s="117"/>
      <c r="BC2488" s="117"/>
      <c r="BD2488" s="117"/>
    </row>
    <row r="2489" spans="1:56" ht="18">
      <c r="A2489" s="114"/>
      <c r="B2489" s="398" t="s">
        <v>1123</v>
      </c>
      <c r="C2489" s="172"/>
      <c r="D2489" s="173"/>
      <c r="E2489" s="397">
        <f>C2481*((H2479+H2478)/2)*(C2479+C2480+0.05)</f>
        <v>24.873330927705208</v>
      </c>
      <c r="F2489" s="390" t="s">
        <v>1124</v>
      </c>
      <c r="G2489" s="196"/>
      <c r="H2489" s="362"/>
      <c r="I2489" s="362"/>
      <c r="J2489" s="362"/>
      <c r="AX2489" s="117"/>
      <c r="AY2489" s="117"/>
      <c r="AZ2489" s="117"/>
      <c r="BA2489" s="117"/>
      <c r="BB2489" s="117"/>
      <c r="BC2489" s="117"/>
      <c r="BD2489" s="117"/>
    </row>
    <row r="2490" spans="1:56" ht="18">
      <c r="A2490" s="114"/>
      <c r="B2490" s="398" t="s">
        <v>1125</v>
      </c>
      <c r="C2490" s="172"/>
      <c r="D2490" s="173"/>
      <c r="E2490" s="397">
        <f>E2489-(E2501+E2503)</f>
        <v>22.006830927705209</v>
      </c>
      <c r="F2490" s="390" t="s">
        <v>1124</v>
      </c>
      <c r="G2490" s="196"/>
      <c r="H2490" s="196"/>
      <c r="I2490" s="196"/>
      <c r="J2490" s="196"/>
      <c r="AX2490" s="117"/>
      <c r="AY2490" s="117"/>
      <c r="AZ2490" s="117"/>
      <c r="BA2490" s="117"/>
      <c r="BB2490" s="117"/>
      <c r="BC2490" s="117"/>
      <c r="BD2490" s="117"/>
    </row>
    <row r="2491" spans="1:56" ht="15">
      <c r="A2491" s="114"/>
      <c r="B2491" s="398" t="s">
        <v>1126</v>
      </c>
      <c r="C2491" s="172"/>
      <c r="D2491" s="173"/>
      <c r="E2491" s="400">
        <f>((C2477+2*C2486)*(C2478+2*C2486))*C2481</f>
        <v>4.2050000000000001</v>
      </c>
      <c r="F2491" s="390" t="s">
        <v>13</v>
      </c>
      <c r="G2491" s="362"/>
      <c r="H2491" s="362"/>
      <c r="I2491" s="362"/>
      <c r="J2491" s="362"/>
      <c r="AX2491" s="117"/>
      <c r="AY2491" s="117"/>
      <c r="AZ2491" s="117"/>
      <c r="BA2491" s="117"/>
      <c r="BB2491" s="117"/>
      <c r="BC2491" s="117"/>
      <c r="BD2491" s="117"/>
    </row>
    <row r="2492" spans="1:56" ht="15">
      <c r="A2492" s="114"/>
      <c r="B2492" s="362"/>
      <c r="C2492" s="362"/>
      <c r="D2492" s="362"/>
      <c r="E2492" s="401"/>
      <c r="F2492" s="196"/>
      <c r="G2492" s="362"/>
      <c r="H2492" s="362"/>
      <c r="I2492" s="362"/>
      <c r="J2492" s="362"/>
      <c r="AX2492" s="117"/>
      <c r="AY2492" s="117"/>
      <c r="AZ2492" s="117"/>
      <c r="BA2492" s="117"/>
      <c r="BB2492" s="117"/>
      <c r="BC2492" s="117"/>
      <c r="BD2492" s="117"/>
    </row>
    <row r="2493" spans="1:56" ht="15">
      <c r="A2493" s="114"/>
      <c r="B2493" s="303" t="s">
        <v>1162</v>
      </c>
      <c r="C2493" s="362"/>
      <c r="D2493" s="362"/>
      <c r="E2493" s="410"/>
      <c r="F2493" s="362"/>
      <c r="G2493" s="362"/>
      <c r="H2493" s="362"/>
      <c r="I2493" s="362"/>
      <c r="J2493" s="362"/>
      <c r="AX2493" s="117"/>
      <c r="AY2493" s="117"/>
      <c r="AZ2493" s="117"/>
      <c r="BA2493" s="117"/>
      <c r="BB2493" s="117"/>
      <c r="BC2493" s="117"/>
      <c r="BD2493" s="117"/>
    </row>
    <row r="2494" spans="1:56" ht="15">
      <c r="A2494" s="114"/>
      <c r="B2494" s="398" t="s">
        <v>1152</v>
      </c>
      <c r="C2494" s="398"/>
      <c r="D2494" s="366"/>
      <c r="E2494" s="411">
        <v>4</v>
      </c>
      <c r="F2494" s="390" t="s">
        <v>1153</v>
      </c>
      <c r="G2494" s="362"/>
      <c r="H2494" s="362"/>
      <c r="I2494" s="362"/>
      <c r="J2494" s="362"/>
      <c r="AX2494" s="117"/>
      <c r="AY2494" s="117"/>
      <c r="AZ2494" s="117"/>
      <c r="BA2494" s="117"/>
      <c r="BB2494" s="117"/>
      <c r="BC2494" s="117"/>
      <c r="BD2494" s="117"/>
    </row>
    <row r="2495" spans="1:56" ht="15">
      <c r="A2495" s="114"/>
      <c r="B2495" s="399" t="s">
        <v>1154</v>
      </c>
      <c r="C2495" s="31"/>
      <c r="D2495" s="32"/>
      <c r="E2495" s="412">
        <f>C2481*E2494</f>
        <v>8</v>
      </c>
      <c r="F2495" s="390" t="s">
        <v>1153</v>
      </c>
      <c r="G2495" s="362"/>
      <c r="H2495" s="362"/>
      <c r="I2495" s="362"/>
      <c r="J2495" s="362"/>
      <c r="AX2495" s="117"/>
      <c r="AY2495" s="117"/>
      <c r="AZ2495" s="117"/>
      <c r="BA2495" s="117"/>
      <c r="BB2495" s="117"/>
      <c r="BC2495" s="117"/>
      <c r="BD2495" s="117"/>
    </row>
    <row r="2496" spans="1:56" ht="15">
      <c r="A2496" s="114"/>
      <c r="B2496" s="398" t="s">
        <v>1155</v>
      </c>
      <c r="C2496" s="21"/>
      <c r="D2496" s="413"/>
      <c r="E2496" s="411">
        <v>250</v>
      </c>
      <c r="F2496" s="390" t="s">
        <v>1156</v>
      </c>
      <c r="G2496" s="362"/>
      <c r="H2496" s="414"/>
      <c r="I2496" s="362"/>
      <c r="J2496" s="415"/>
      <c r="AX2496" s="117"/>
      <c r="AY2496" s="117"/>
      <c r="AZ2496" s="117"/>
      <c r="BA2496" s="117"/>
      <c r="BB2496" s="117"/>
      <c r="BC2496" s="117"/>
      <c r="BD2496" s="117"/>
    </row>
    <row r="2497" spans="1:56" ht="15">
      <c r="A2497" s="114"/>
      <c r="B2497" s="398" t="s">
        <v>1157</v>
      </c>
      <c r="C2497" s="21"/>
      <c r="D2497" s="413"/>
      <c r="E2497" s="411">
        <v>12</v>
      </c>
      <c r="F2497" s="390" t="s">
        <v>10</v>
      </c>
      <c r="G2497" s="362"/>
      <c r="H2497" s="6"/>
      <c r="I2497" s="362"/>
      <c r="J2497" s="362"/>
      <c r="AX2497" s="117"/>
      <c r="AY2497" s="117"/>
      <c r="AZ2497" s="117"/>
      <c r="BA2497" s="117"/>
      <c r="BB2497" s="117"/>
      <c r="BC2497" s="117"/>
      <c r="BD2497" s="117"/>
    </row>
    <row r="2498" spans="1:56" ht="15">
      <c r="A2498" s="114"/>
      <c r="B2498" s="398" t="s">
        <v>1158</v>
      </c>
      <c r="C2498" s="21"/>
      <c r="D2498" s="413"/>
      <c r="E2498" s="412">
        <f>E2495*E2497</f>
        <v>96</v>
      </c>
      <c r="F2498" s="390" t="s">
        <v>10</v>
      </c>
      <c r="G2498" s="362"/>
      <c r="H2498" s="362"/>
      <c r="I2498" s="362"/>
      <c r="J2498" s="362"/>
      <c r="AX2498" s="117"/>
      <c r="AY2498" s="117"/>
      <c r="AZ2498" s="117"/>
      <c r="BA2498" s="117"/>
      <c r="BB2498" s="117"/>
      <c r="BC2498" s="117"/>
      <c r="BD2498" s="117"/>
    </row>
    <row r="2499" spans="1:56" ht="15">
      <c r="A2499" s="114"/>
      <c r="B2499" s="362"/>
      <c r="C2499" s="362"/>
      <c r="D2499" s="362"/>
      <c r="E2499" s="410"/>
      <c r="F2499" s="362"/>
      <c r="G2499" s="362"/>
      <c r="H2499" s="362"/>
      <c r="I2499" s="362"/>
      <c r="J2499" s="362"/>
      <c r="AX2499" s="117"/>
      <c r="AY2499" s="117"/>
      <c r="AZ2499" s="117"/>
      <c r="BA2499" s="117"/>
      <c r="BB2499" s="117"/>
      <c r="BC2499" s="117"/>
      <c r="BD2499" s="117"/>
    </row>
    <row r="2500" spans="1:56" ht="15">
      <c r="A2500" s="114"/>
      <c r="B2500" s="303" t="s">
        <v>1160</v>
      </c>
      <c r="C2500" s="362"/>
      <c r="D2500" s="362"/>
      <c r="E2500" s="410"/>
      <c r="F2500" s="362"/>
      <c r="G2500" s="362"/>
      <c r="H2500" s="362"/>
      <c r="I2500" s="362"/>
      <c r="J2500" s="362"/>
      <c r="AX2500" s="117"/>
      <c r="AY2500" s="117"/>
      <c r="AZ2500" s="117"/>
      <c r="BA2500" s="117"/>
      <c r="BB2500" s="117"/>
      <c r="BC2500" s="117"/>
      <c r="BD2500" s="117"/>
    </row>
    <row r="2501" spans="1:56" ht="18">
      <c r="A2501" s="114"/>
      <c r="B2501" s="398" t="s">
        <v>1128</v>
      </c>
      <c r="C2501" s="172"/>
      <c r="D2501" s="173"/>
      <c r="E2501" s="402">
        <f>E2491*0.05</f>
        <v>0.21025000000000002</v>
      </c>
      <c r="F2501" s="390" t="s">
        <v>1124</v>
      </c>
      <c r="G2501" s="362"/>
      <c r="H2501" s="362"/>
      <c r="I2501" s="362"/>
      <c r="J2501" s="362"/>
      <c r="AX2501" s="117"/>
      <c r="AY2501" s="117"/>
      <c r="AZ2501" s="117"/>
      <c r="BA2501" s="117"/>
      <c r="BB2501" s="117"/>
      <c r="BC2501" s="117"/>
      <c r="BD2501" s="117"/>
    </row>
    <row r="2502" spans="1:56" ht="15">
      <c r="A2502" s="114"/>
      <c r="B2502" s="398" t="s">
        <v>1129</v>
      </c>
      <c r="C2502" s="172"/>
      <c r="D2502" s="173"/>
      <c r="E2502" s="397">
        <f>(2*(C2477+C2478)*C2480)*C2481</f>
        <v>8.5</v>
      </c>
      <c r="F2502" s="390" t="s">
        <v>13</v>
      </c>
      <c r="G2502" s="362"/>
      <c r="H2502" s="362"/>
      <c r="I2502" s="362"/>
      <c r="J2502" s="362"/>
      <c r="AX2502" s="117"/>
      <c r="AY2502" s="117"/>
      <c r="AZ2502" s="117"/>
      <c r="BA2502" s="117"/>
      <c r="BB2502" s="117"/>
      <c r="BC2502" s="117"/>
      <c r="BD2502" s="117"/>
    </row>
    <row r="2503" spans="1:56" ht="18">
      <c r="A2503" s="114"/>
      <c r="B2503" s="398" t="s">
        <v>1130</v>
      </c>
      <c r="C2503" s="172"/>
      <c r="D2503" s="173"/>
      <c r="E2503" s="402">
        <f>(C2477*C2478*C2480)*C2481</f>
        <v>2.65625</v>
      </c>
      <c r="F2503" s="390" t="s">
        <v>1124</v>
      </c>
      <c r="G2503" s="362"/>
      <c r="H2503" s="362"/>
      <c r="I2503" s="362"/>
      <c r="J2503" s="362"/>
      <c r="AX2503" s="117"/>
      <c r="AY2503" s="117"/>
      <c r="AZ2503" s="117"/>
      <c r="BA2503" s="117"/>
      <c r="BB2503" s="117"/>
      <c r="BC2503" s="117"/>
      <c r="BD2503" s="117"/>
    </row>
    <row r="2504" spans="1:56" thickBot="1">
      <c r="A2504" s="114"/>
      <c r="B2504" s="196"/>
      <c r="C2504" s="196"/>
      <c r="D2504" s="196"/>
      <c r="E2504" s="196"/>
      <c r="F2504" s="196"/>
      <c r="G2504" s="196"/>
      <c r="H2504" s="196"/>
      <c r="I2504" s="196"/>
      <c r="J2504" s="114"/>
      <c r="AW2504" s="117"/>
      <c r="AX2504" s="117"/>
      <c r="AY2504" s="117"/>
      <c r="AZ2504" s="117"/>
      <c r="BA2504" s="117"/>
      <c r="BB2504" s="117"/>
      <c r="BC2504" s="117"/>
      <c r="BD2504" s="117"/>
    </row>
    <row r="2505" spans="1:56">
      <c r="A2505" s="114"/>
      <c r="B2505" s="702" t="s">
        <v>1189</v>
      </c>
      <c r="C2505" s="282"/>
      <c r="D2505" s="282"/>
      <c r="E2505" s="282"/>
      <c r="F2505" s="283"/>
      <c r="G2505" s="362"/>
      <c r="H2505" s="362"/>
      <c r="I2505" s="362"/>
      <c r="J2505" s="114"/>
      <c r="AU2505" s="117"/>
      <c r="AV2505" s="117"/>
      <c r="AW2505" s="117"/>
      <c r="AX2505" s="117"/>
      <c r="AY2505" s="117"/>
      <c r="AZ2505" s="117"/>
      <c r="BA2505" s="117"/>
      <c r="BB2505" s="117"/>
      <c r="BC2505" s="117"/>
      <c r="BD2505" s="117"/>
    </row>
    <row r="2506" spans="1:56" ht="15">
      <c r="A2506" s="114"/>
      <c r="B2506" s="693"/>
      <c r="C2506" s="196"/>
      <c r="D2506" s="196"/>
      <c r="E2506" s="196"/>
      <c r="F2506" s="284"/>
      <c r="G2506" s="362"/>
      <c r="H2506" s="362"/>
      <c r="I2506" s="362"/>
      <c r="J2506" s="114"/>
      <c r="AU2506" s="117"/>
      <c r="AV2506" s="117"/>
      <c r="AW2506" s="117"/>
      <c r="AX2506" s="117"/>
      <c r="AY2506" s="117"/>
      <c r="AZ2506" s="117"/>
      <c r="BA2506" s="117"/>
      <c r="BB2506" s="117"/>
      <c r="BC2506" s="117"/>
      <c r="BD2506" s="117"/>
    </row>
    <row r="2507" spans="1:56" ht="15">
      <c r="A2507" s="114"/>
      <c r="B2507" s="691" t="s">
        <v>1122</v>
      </c>
      <c r="C2507" s="410"/>
      <c r="D2507" s="1008"/>
      <c r="E2507" s="1008"/>
      <c r="F2507" s="424"/>
      <c r="G2507" s="362"/>
      <c r="H2507" s="362"/>
      <c r="I2507" s="362"/>
      <c r="J2507" s="114"/>
      <c r="AU2507" s="117"/>
      <c r="AV2507" s="117"/>
      <c r="AW2507" s="117"/>
      <c r="AX2507" s="117"/>
      <c r="AY2507" s="117"/>
      <c r="AZ2507" s="117"/>
      <c r="BA2507" s="117"/>
      <c r="BB2507" s="117"/>
      <c r="BC2507" s="117"/>
      <c r="BD2507" s="117"/>
    </row>
    <row r="2508" spans="1:56" ht="18">
      <c r="A2508" s="114"/>
      <c r="B2508" s="1011" t="s">
        <v>1123</v>
      </c>
      <c r="C2508" s="172"/>
      <c r="D2508" s="173"/>
      <c r="E2508" s="446">
        <f>E2489+E2456+E2430+E2409+E2387+E2365</f>
        <v>365.81356288549296</v>
      </c>
      <c r="F2508" s="139" t="s">
        <v>1124</v>
      </c>
      <c r="G2508" s="362"/>
      <c r="H2508" s="362"/>
      <c r="I2508" s="362"/>
      <c r="J2508" s="114"/>
      <c r="AU2508" s="117"/>
      <c r="AV2508" s="117"/>
      <c r="AW2508" s="117"/>
      <c r="AX2508" s="117"/>
      <c r="AY2508" s="117"/>
      <c r="AZ2508" s="117"/>
      <c r="BA2508" s="117"/>
      <c r="BB2508" s="117"/>
      <c r="BC2508" s="117"/>
      <c r="BD2508" s="117"/>
    </row>
    <row r="2509" spans="1:56" ht="18">
      <c r="A2509" s="114"/>
      <c r="B2509" s="1011" t="s">
        <v>1190</v>
      </c>
      <c r="C2509" s="172"/>
      <c r="D2509" s="173"/>
      <c r="E2509" s="446">
        <f>E2490+E2457+E2431+E2410+E2388+E2366</f>
        <v>332.79106288549286</v>
      </c>
      <c r="F2509" s="139" t="s">
        <v>1124</v>
      </c>
      <c r="G2509" s="362"/>
      <c r="H2509" s="362"/>
      <c r="I2509" s="362"/>
      <c r="J2509" s="114"/>
      <c r="AU2509" s="117"/>
      <c r="AV2509" s="117"/>
      <c r="AW2509" s="117"/>
      <c r="AX2509" s="117"/>
      <c r="AY2509" s="117"/>
      <c r="AZ2509" s="117"/>
      <c r="BA2509" s="117"/>
      <c r="BB2509" s="117"/>
      <c r="BC2509" s="117"/>
      <c r="BD2509" s="117"/>
    </row>
    <row r="2510" spans="1:56" ht="15">
      <c r="A2510" s="114"/>
      <c r="B2510" s="1011" t="s">
        <v>1191</v>
      </c>
      <c r="C2510" s="172"/>
      <c r="D2510" s="173"/>
      <c r="E2510" s="446">
        <f>E2491+E2458+E2432+E2411+E2389+E2367</f>
        <v>71.675000000000011</v>
      </c>
      <c r="F2510" s="139" t="s">
        <v>13</v>
      </c>
      <c r="G2510" s="362"/>
      <c r="H2510" s="362"/>
      <c r="I2510" s="362"/>
      <c r="J2510" s="114"/>
      <c r="AU2510" s="117"/>
      <c r="AV2510" s="117"/>
      <c r="AW2510" s="117"/>
      <c r="AX2510" s="117"/>
      <c r="AY2510" s="117"/>
      <c r="AZ2510" s="117"/>
      <c r="BA2510" s="117"/>
      <c r="BB2510" s="117"/>
      <c r="BC2510" s="117"/>
      <c r="BD2510" s="117"/>
    </row>
    <row r="2511" spans="1:56" ht="15">
      <c r="A2511" s="114"/>
      <c r="B2511" s="40"/>
      <c r="C2511" s="1008"/>
      <c r="D2511" s="1008"/>
      <c r="E2511" s="401"/>
      <c r="F2511" s="284"/>
      <c r="G2511" s="362"/>
      <c r="H2511" s="362"/>
      <c r="I2511" s="362"/>
      <c r="J2511" s="114"/>
      <c r="AU2511" s="117"/>
      <c r="AV2511" s="117"/>
      <c r="AW2511" s="117"/>
      <c r="AX2511" s="117"/>
      <c r="AY2511" s="117"/>
      <c r="AZ2511" s="117"/>
      <c r="BA2511" s="117"/>
      <c r="BB2511" s="117"/>
      <c r="BC2511" s="117"/>
      <c r="BD2511" s="117"/>
    </row>
    <row r="2512" spans="1:56" ht="18">
      <c r="A2512" s="114"/>
      <c r="B2512" s="1011" t="s">
        <v>317</v>
      </c>
      <c r="C2512" s="172"/>
      <c r="D2512" s="173"/>
      <c r="E2512" s="425">
        <f>E2501+E2468+E2435+E2414+E2392+E2370</f>
        <v>3.5837500000000002</v>
      </c>
      <c r="F2512" s="139" t="s">
        <v>1124</v>
      </c>
      <c r="G2512" s="196"/>
      <c r="H2512" s="196"/>
      <c r="I2512" s="196"/>
      <c r="J2512" s="114"/>
      <c r="AU2512" s="117"/>
      <c r="AV2512" s="117"/>
      <c r="AW2512" s="117"/>
      <c r="AX2512" s="117"/>
      <c r="AY2512" s="117"/>
      <c r="AZ2512" s="117"/>
      <c r="BA2512" s="117"/>
      <c r="BB2512" s="117"/>
      <c r="BC2512" s="117"/>
      <c r="BD2512" s="117"/>
    </row>
    <row r="2513" spans="1:56" ht="15">
      <c r="A2513" s="114"/>
      <c r="B2513" s="1011" t="s">
        <v>1192</v>
      </c>
      <c r="C2513" s="172"/>
      <c r="D2513" s="173"/>
      <c r="E2513" s="425">
        <f>E2502+E2469+E2436+E2415+E2393+E2371</f>
        <v>234.25</v>
      </c>
      <c r="F2513" s="139" t="s">
        <v>13</v>
      </c>
      <c r="G2513" s="196"/>
      <c r="H2513" s="196"/>
      <c r="I2513" s="196"/>
      <c r="J2513" s="114"/>
      <c r="AU2513" s="117"/>
      <c r="AV2513" s="117"/>
      <c r="AW2513" s="117"/>
      <c r="AX2513" s="117"/>
      <c r="AY2513" s="117"/>
      <c r="AZ2513" s="117"/>
      <c r="BA2513" s="117"/>
      <c r="BB2513" s="117"/>
      <c r="BC2513" s="117"/>
      <c r="BD2513" s="117"/>
    </row>
    <row r="2514" spans="1:56" ht="18">
      <c r="A2514" s="114"/>
      <c r="B2514" s="1011" t="s">
        <v>316</v>
      </c>
      <c r="C2514" s="172"/>
      <c r="D2514" s="173"/>
      <c r="E2514" s="425">
        <f>E2503+E2470+E2437+E2416+E2394+E2372</f>
        <v>29.438750000000002</v>
      </c>
      <c r="F2514" s="139" t="s">
        <v>1124</v>
      </c>
      <c r="G2514" s="362"/>
      <c r="H2514" s="362"/>
      <c r="I2514" s="362"/>
      <c r="J2514" s="114"/>
      <c r="AU2514" s="117"/>
      <c r="AV2514" s="117"/>
      <c r="AW2514" s="117"/>
      <c r="AX2514" s="117"/>
      <c r="AY2514" s="117"/>
      <c r="AZ2514" s="117"/>
      <c r="BA2514" s="117"/>
      <c r="BB2514" s="117"/>
      <c r="BC2514" s="117"/>
      <c r="BD2514" s="117"/>
    </row>
    <row r="2515" spans="1:56">
      <c r="A2515" s="114"/>
      <c r="B2515" s="690"/>
      <c r="C2515" s="115"/>
      <c r="D2515" s="115"/>
      <c r="E2515" s="115"/>
      <c r="F2515" s="182"/>
      <c r="G2515" s="362"/>
      <c r="H2515" s="362"/>
      <c r="I2515" s="362"/>
      <c r="J2515" s="114"/>
      <c r="AU2515" s="117"/>
      <c r="AV2515" s="117"/>
      <c r="AW2515" s="117"/>
      <c r="AX2515" s="117"/>
      <c r="AY2515" s="117"/>
      <c r="AZ2515" s="117"/>
      <c r="BA2515" s="117"/>
      <c r="BB2515" s="117"/>
      <c r="BC2515" s="117"/>
      <c r="BD2515" s="117"/>
    </row>
    <row r="2516" spans="1:56">
      <c r="A2516" s="114"/>
      <c r="B2516" s="691" t="s">
        <v>1193</v>
      </c>
      <c r="C2516" s="1008"/>
      <c r="D2516" s="452" t="s">
        <v>1194</v>
      </c>
      <c r="E2516" s="452" t="s">
        <v>67</v>
      </c>
      <c r="F2516" s="182"/>
      <c r="G2516" s="362"/>
      <c r="H2516" s="362"/>
      <c r="I2516" s="362"/>
      <c r="J2516" s="114"/>
      <c r="AU2516" s="117"/>
      <c r="AV2516" s="117"/>
      <c r="AW2516" s="117"/>
      <c r="AX2516" s="117"/>
      <c r="AY2516" s="117"/>
      <c r="AZ2516" s="117"/>
      <c r="BA2516" s="117"/>
      <c r="BB2516" s="117"/>
      <c r="BC2516" s="117"/>
      <c r="BD2516" s="117"/>
    </row>
    <row r="2517" spans="1:56">
      <c r="A2517" s="114"/>
      <c r="B2517" s="1011" t="s">
        <v>1225</v>
      </c>
      <c r="C2517" s="413"/>
      <c r="D2517" s="291">
        <f>E2498+E2465</f>
        <v>528</v>
      </c>
      <c r="E2517" s="427">
        <f>E2495+E2462</f>
        <v>44</v>
      </c>
      <c r="F2517" s="182"/>
      <c r="G2517" s="362"/>
      <c r="H2517" s="362"/>
      <c r="I2517" s="362"/>
      <c r="J2517" s="114"/>
      <c r="AU2517" s="117"/>
      <c r="AV2517" s="117"/>
      <c r="AW2517" s="117"/>
      <c r="AX2517" s="117"/>
      <c r="AY2517" s="117"/>
      <c r="AZ2517" s="117"/>
      <c r="BA2517" s="117"/>
      <c r="BB2517" s="117"/>
      <c r="BC2517" s="117"/>
      <c r="BD2517" s="117"/>
    </row>
    <row r="2518" spans="1:56">
      <c r="A2518" s="114"/>
      <c r="B2518" s="694"/>
      <c r="C2518" s="1008"/>
      <c r="D2518" s="1008"/>
      <c r="E2518" s="1008"/>
      <c r="F2518" s="182"/>
      <c r="G2518" s="1008"/>
      <c r="H2518" s="1008"/>
      <c r="I2518" s="1008"/>
      <c r="J2518" s="114"/>
      <c r="AU2518" s="117"/>
      <c r="AV2518" s="117"/>
      <c r="AW2518" s="117"/>
      <c r="AX2518" s="117"/>
      <c r="AY2518" s="117"/>
      <c r="AZ2518" s="117"/>
      <c r="BA2518" s="117"/>
      <c r="BB2518" s="117"/>
      <c r="BC2518" s="117"/>
      <c r="BD2518" s="117"/>
    </row>
    <row r="2519" spans="1:56" thickBot="1">
      <c r="A2519" s="114"/>
      <c r="B2519" s="1012" t="s">
        <v>102</v>
      </c>
      <c r="C2519" s="1016">
        <v>2287</v>
      </c>
      <c r="D2519" s="1022" t="s">
        <v>12</v>
      </c>
      <c r="E2519" s="1020" t="s">
        <v>1226</v>
      </c>
      <c r="F2519" s="440"/>
      <c r="G2519" s="1008"/>
      <c r="H2519" s="1008"/>
      <c r="I2519" s="1008"/>
      <c r="J2519" s="114"/>
      <c r="AU2519" s="117"/>
      <c r="AV2519" s="117"/>
      <c r="AW2519" s="117"/>
      <c r="AX2519" s="117"/>
      <c r="AY2519" s="117"/>
      <c r="AZ2519" s="117"/>
      <c r="BA2519" s="117"/>
      <c r="BB2519" s="117"/>
      <c r="BC2519" s="117"/>
      <c r="BD2519" s="117"/>
    </row>
    <row r="2520" spans="1:56" ht="15">
      <c r="A2520" s="114"/>
      <c r="B2520" s="196"/>
      <c r="C2520" s="196"/>
      <c r="D2520" s="196"/>
      <c r="E2520" s="196"/>
      <c r="F2520" s="196"/>
      <c r="G2520" s="196"/>
      <c r="H2520" s="196"/>
      <c r="I2520" s="196"/>
      <c r="J2520" s="114"/>
      <c r="AT2520" s="117"/>
      <c r="AU2520" s="117"/>
      <c r="AV2520" s="117"/>
      <c r="AW2520" s="117"/>
      <c r="AX2520" s="117"/>
      <c r="AY2520" s="117"/>
      <c r="AZ2520" s="117"/>
      <c r="BA2520" s="117"/>
      <c r="BB2520" s="117"/>
      <c r="BC2520" s="117"/>
      <c r="BD2520" s="117"/>
    </row>
    <row r="2521" spans="1:56" thickBot="1">
      <c r="A2521" s="114"/>
      <c r="B2521" s="196"/>
      <c r="C2521" s="196"/>
      <c r="D2521" s="196"/>
      <c r="E2521" s="196"/>
      <c r="F2521" s="196"/>
      <c r="G2521" s="196"/>
      <c r="H2521" s="196"/>
      <c r="I2521" s="196"/>
      <c r="J2521" s="114"/>
      <c r="AW2521" s="117"/>
      <c r="AX2521" s="117"/>
      <c r="AY2521" s="117"/>
      <c r="AZ2521" s="117"/>
      <c r="BA2521" s="117"/>
      <c r="BB2521" s="117"/>
      <c r="BC2521" s="117"/>
      <c r="BD2521" s="117"/>
    </row>
    <row r="2522" spans="1:56">
      <c r="A2522" s="114"/>
      <c r="B2522" s="702" t="s">
        <v>320</v>
      </c>
      <c r="C2522" s="282"/>
      <c r="D2522" s="282"/>
      <c r="E2522" s="282"/>
      <c r="F2522" s="283"/>
      <c r="G2522" s="196"/>
      <c r="H2522" s="196"/>
      <c r="I2522" s="196"/>
      <c r="J2522" s="114"/>
      <c r="AW2522" s="117"/>
      <c r="AX2522" s="117"/>
      <c r="AY2522" s="117"/>
      <c r="AZ2522" s="117"/>
      <c r="BA2522" s="117"/>
      <c r="BB2522" s="117"/>
      <c r="BC2522" s="117"/>
      <c r="BD2522" s="117"/>
    </row>
    <row r="2523" spans="1:56" ht="15">
      <c r="A2523" s="114"/>
      <c r="B2523" s="693"/>
      <c r="C2523" s="196"/>
      <c r="D2523" s="196"/>
      <c r="E2523" s="196"/>
      <c r="F2523" s="284"/>
      <c r="G2523" s="196"/>
      <c r="H2523" s="196"/>
      <c r="I2523" s="196"/>
      <c r="J2523" s="114"/>
      <c r="AW2523" s="117"/>
      <c r="AX2523" s="117"/>
      <c r="AY2523" s="117"/>
      <c r="AZ2523" s="117"/>
      <c r="BA2523" s="117"/>
      <c r="BB2523" s="117"/>
      <c r="BC2523" s="117"/>
      <c r="BD2523" s="117"/>
    </row>
    <row r="2524" spans="1:56" ht="15">
      <c r="A2524" s="114"/>
      <c r="B2524" s="691" t="s">
        <v>351</v>
      </c>
      <c r="C2524" s="196"/>
      <c r="D2524" s="196"/>
      <c r="E2524" s="196"/>
      <c r="F2524" s="284"/>
      <c r="G2524" s="196"/>
      <c r="H2524" s="196"/>
      <c r="I2524" s="196"/>
      <c r="J2524" s="114"/>
      <c r="AW2524" s="117"/>
      <c r="AX2524" s="117"/>
      <c r="AY2524" s="117"/>
      <c r="AZ2524" s="117"/>
      <c r="BA2524" s="117"/>
      <c r="BB2524" s="117"/>
      <c r="BC2524" s="117"/>
      <c r="BD2524" s="117"/>
    </row>
    <row r="2525" spans="1:56" thickBot="1">
      <c r="A2525" s="114"/>
      <c r="B2525" s="720" t="s">
        <v>352</v>
      </c>
      <c r="C2525" s="174"/>
      <c r="D2525" s="176"/>
      <c r="E2525" s="428">
        <f>C2519</f>
        <v>2287</v>
      </c>
      <c r="F2525" s="440" t="s">
        <v>12</v>
      </c>
      <c r="G2525" s="196"/>
      <c r="H2525" s="196"/>
      <c r="I2525" s="196"/>
      <c r="J2525" s="114"/>
      <c r="AT2525" s="117"/>
      <c r="AU2525" s="117"/>
      <c r="AV2525" s="117"/>
      <c r="AW2525" s="117"/>
      <c r="AX2525" s="117"/>
      <c r="AY2525" s="117"/>
      <c r="AZ2525" s="117"/>
      <c r="BA2525" s="117"/>
      <c r="BB2525" s="117"/>
      <c r="BC2525" s="117"/>
      <c r="BD2525" s="117"/>
    </row>
    <row r="2526" spans="1:56" ht="15">
      <c r="A2526" s="114"/>
      <c r="B2526" s="196"/>
      <c r="C2526" s="196"/>
      <c r="D2526" s="196"/>
      <c r="E2526" s="196"/>
      <c r="F2526" s="196"/>
      <c r="G2526" s="196"/>
      <c r="H2526" s="196"/>
      <c r="I2526" s="196"/>
      <c r="J2526" s="114"/>
      <c r="AW2526" s="117"/>
      <c r="AX2526" s="117"/>
      <c r="AY2526" s="117"/>
      <c r="AZ2526" s="117"/>
      <c r="BA2526" s="117"/>
      <c r="BB2526" s="117"/>
      <c r="BC2526" s="117"/>
      <c r="BD2526" s="117"/>
    </row>
    <row r="2527" spans="1:56" ht="15">
      <c r="A2527" s="114"/>
      <c r="B2527" s="760" t="s">
        <v>2274</v>
      </c>
      <c r="C2527" s="382"/>
      <c r="D2527" s="382"/>
      <c r="E2527" s="382"/>
      <c r="F2527" s="382"/>
      <c r="G2527" s="382"/>
      <c r="H2527" s="383"/>
      <c r="I2527" s="383"/>
      <c r="J2527" s="351"/>
      <c r="AW2527" s="117"/>
      <c r="AX2527" s="117"/>
      <c r="AY2527" s="117"/>
      <c r="AZ2527" s="117"/>
      <c r="BA2527" s="117"/>
      <c r="BB2527" s="117"/>
      <c r="BC2527" s="117"/>
      <c r="BD2527" s="117"/>
    </row>
    <row r="2528" spans="1:56" ht="15">
      <c r="A2528" s="114"/>
      <c r="B2528" s="293"/>
      <c r="C2528" s="387"/>
      <c r="D2528" s="387"/>
      <c r="E2528" s="387"/>
      <c r="F2528" s="387"/>
      <c r="G2528" s="387"/>
      <c r="H2528" s="386"/>
      <c r="I2528" s="386"/>
      <c r="J2528" s="114"/>
      <c r="AW2528" s="117"/>
      <c r="AX2528" s="117"/>
      <c r="AY2528" s="117"/>
      <c r="AZ2528" s="117"/>
      <c r="BA2528" s="117"/>
      <c r="BB2528" s="117"/>
      <c r="BC2528" s="117"/>
      <c r="BD2528" s="117"/>
    </row>
    <row r="2529" spans="1:56" ht="15">
      <c r="A2529" s="114"/>
      <c r="B2529" s="288" t="s">
        <v>1787</v>
      </c>
      <c r="C2529" s="230"/>
      <c r="D2529" s="230"/>
      <c r="E2529" s="384"/>
      <c r="F2529" s="196"/>
      <c r="G2529" s="196"/>
      <c r="H2529" s="196"/>
      <c r="I2529" s="196"/>
      <c r="J2529" s="114"/>
      <c r="AW2529" s="117"/>
      <c r="AX2529" s="117"/>
      <c r="AY2529" s="117"/>
      <c r="AZ2529" s="117"/>
      <c r="BA2529" s="117"/>
      <c r="BB2529" s="117"/>
      <c r="BC2529" s="117"/>
      <c r="BD2529" s="117"/>
    </row>
    <row r="2530" spans="1:56" ht="15">
      <c r="A2530" s="114"/>
      <c r="B2530" s="293"/>
      <c r="C2530" s="387"/>
      <c r="D2530" s="387"/>
      <c r="E2530" s="387"/>
      <c r="F2530" s="387"/>
      <c r="G2530" s="387"/>
      <c r="H2530" s="386"/>
      <c r="I2530" s="386"/>
      <c r="J2530" s="114"/>
      <c r="AW2530" s="117"/>
      <c r="AX2530" s="117"/>
      <c r="AY2530" s="117"/>
      <c r="AZ2530" s="117"/>
      <c r="BA2530" s="117"/>
      <c r="BB2530" s="117"/>
      <c r="BC2530" s="117"/>
      <c r="BD2530" s="117"/>
    </row>
    <row r="2531" spans="1:56">
      <c r="A2531" s="114"/>
      <c r="B2531" s="385" t="s">
        <v>1227</v>
      </c>
      <c r="C2531" s="196"/>
      <c r="D2531" s="196"/>
      <c r="E2531" s="196"/>
      <c r="F2531" s="196"/>
      <c r="G2531" s="196"/>
      <c r="H2531" s="196"/>
      <c r="I2531" s="196"/>
      <c r="J2531" s="114"/>
      <c r="AW2531" s="117"/>
      <c r="AX2531" s="117"/>
      <c r="AY2531" s="117"/>
      <c r="AZ2531" s="117"/>
      <c r="BA2531" s="117"/>
      <c r="BB2531" s="117"/>
      <c r="BC2531" s="117"/>
      <c r="BD2531" s="117"/>
    </row>
    <row r="2532" spans="1:56" ht="15">
      <c r="A2532" s="114"/>
      <c r="B2532" s="196"/>
      <c r="C2532" s="196"/>
      <c r="D2532" s="196"/>
      <c r="E2532" s="196"/>
      <c r="F2532" s="196"/>
      <c r="G2532" s="196"/>
      <c r="H2532" s="196"/>
      <c r="I2532" s="196"/>
      <c r="J2532" s="114"/>
      <c r="AW2532" s="117"/>
      <c r="AX2532" s="117"/>
      <c r="AY2532" s="117"/>
      <c r="AZ2532" s="117"/>
      <c r="BA2532" s="117"/>
      <c r="BB2532" s="117"/>
      <c r="BC2532" s="117"/>
      <c r="BD2532" s="117"/>
    </row>
    <row r="2533" spans="1:56" ht="15">
      <c r="A2533" s="114"/>
      <c r="B2533" s="388" t="s">
        <v>1110</v>
      </c>
      <c r="C2533" s="389">
        <v>0.2</v>
      </c>
      <c r="D2533" s="390" t="s">
        <v>10</v>
      </c>
      <c r="E2533" s="196"/>
      <c r="F2533" s="196"/>
      <c r="G2533" s="392"/>
      <c r="H2533" s="393"/>
      <c r="I2533" s="196"/>
      <c r="J2533" s="114"/>
      <c r="AW2533" s="117"/>
      <c r="AX2533" s="117"/>
      <c r="AY2533" s="117"/>
      <c r="AZ2533" s="117"/>
      <c r="BA2533" s="117"/>
      <c r="BB2533" s="117"/>
      <c r="BC2533" s="117"/>
      <c r="BD2533" s="117"/>
    </row>
    <row r="2534" spans="1:56" ht="15">
      <c r="A2534" s="114"/>
      <c r="B2534" s="388" t="s">
        <v>1111</v>
      </c>
      <c r="C2534" s="391">
        <f>(2*5.275+(3+5.3+3.05)+2*5.275+2*5.9)*2+(5*7.5+2*7.125)*2</f>
        <v>192</v>
      </c>
      <c r="D2534" s="390" t="s">
        <v>10</v>
      </c>
      <c r="E2534" s="196"/>
      <c r="F2534" s="196"/>
      <c r="G2534" s="392"/>
      <c r="H2534" s="393"/>
      <c r="I2534" s="196"/>
      <c r="J2534" s="114"/>
      <c r="AW2534" s="117"/>
      <c r="AX2534" s="117"/>
      <c r="AY2534" s="117"/>
      <c r="AZ2534" s="117"/>
      <c r="BA2534" s="117"/>
      <c r="BB2534" s="117"/>
      <c r="BC2534" s="117"/>
      <c r="BD2534" s="117"/>
    </row>
    <row r="2535" spans="1:56" ht="15">
      <c r="A2535" s="114"/>
      <c r="B2535" s="388" t="s">
        <v>1112</v>
      </c>
      <c r="C2535" s="389">
        <v>0.4</v>
      </c>
      <c r="D2535" s="390" t="s">
        <v>10</v>
      </c>
      <c r="E2535" s="196"/>
      <c r="F2535" s="196"/>
      <c r="G2535" s="392"/>
      <c r="H2535" s="393"/>
      <c r="I2535" s="196"/>
      <c r="J2535" s="114"/>
      <c r="AW2535" s="117"/>
      <c r="AX2535" s="117"/>
      <c r="AY2535" s="117"/>
      <c r="AZ2535" s="117"/>
      <c r="BA2535" s="117"/>
      <c r="BB2535" s="117"/>
      <c r="BC2535" s="117"/>
      <c r="BD2535" s="117"/>
    </row>
    <row r="2536" spans="1:56" ht="15">
      <c r="A2536" s="114"/>
      <c r="B2536" s="388" t="s">
        <v>1113</v>
      </c>
      <c r="C2536" s="389">
        <v>0.8</v>
      </c>
      <c r="D2536" s="390" t="s">
        <v>10</v>
      </c>
      <c r="E2536" s="196"/>
      <c r="F2536" s="196"/>
      <c r="G2536" s="392"/>
      <c r="H2536" s="394"/>
      <c r="I2536" s="196"/>
      <c r="J2536" s="114"/>
      <c r="AW2536" s="117"/>
      <c r="AX2536" s="117"/>
      <c r="AY2536" s="117"/>
      <c r="AZ2536" s="117"/>
      <c r="BA2536" s="117"/>
      <c r="BB2536" s="117"/>
      <c r="BC2536" s="117"/>
      <c r="BD2536" s="117"/>
    </row>
    <row r="2537" spans="1:56" ht="15">
      <c r="A2537" s="114"/>
      <c r="B2537" s="388" t="s">
        <v>1117</v>
      </c>
      <c r="C2537" s="389">
        <v>1</v>
      </c>
      <c r="D2537" s="390" t="s">
        <v>1118</v>
      </c>
      <c r="E2537" s="196"/>
      <c r="F2537" s="196"/>
      <c r="G2537" s="392"/>
      <c r="H2537" s="393"/>
      <c r="I2537" s="196"/>
      <c r="J2537" s="114"/>
      <c r="AW2537" s="117"/>
      <c r="AX2537" s="117"/>
      <c r="AY2537" s="117"/>
      <c r="AZ2537" s="117"/>
      <c r="BA2537" s="117"/>
      <c r="BB2537" s="117"/>
      <c r="BC2537" s="117"/>
      <c r="BD2537" s="117"/>
    </row>
    <row r="2538" spans="1:56" ht="15">
      <c r="A2538" s="114"/>
      <c r="B2538" s="392"/>
      <c r="C2538" s="393"/>
      <c r="D2538" s="196"/>
      <c r="E2538" s="196"/>
      <c r="F2538" s="196"/>
      <c r="G2538" s="392"/>
      <c r="H2538" s="393"/>
      <c r="I2538" s="196"/>
      <c r="J2538" s="114"/>
      <c r="AW2538" s="117"/>
      <c r="AX2538" s="117"/>
      <c r="AY2538" s="117"/>
      <c r="AZ2538" s="117"/>
      <c r="BA2538" s="117"/>
      <c r="BB2538" s="117"/>
      <c r="BC2538" s="117"/>
      <c r="BD2538" s="117"/>
    </row>
    <row r="2539" spans="1:56" ht="15">
      <c r="A2539" s="114"/>
      <c r="B2539" s="388" t="s">
        <v>1114</v>
      </c>
      <c r="C2539" s="389">
        <v>0.6</v>
      </c>
      <c r="D2539" s="390" t="s">
        <v>10</v>
      </c>
      <c r="E2539" s="288" t="s">
        <v>1120</v>
      </c>
      <c r="F2539" s="288"/>
      <c r="G2539" s="230"/>
      <c r="H2539" s="395"/>
      <c r="I2539" s="196"/>
      <c r="J2539" s="114"/>
      <c r="AW2539" s="117"/>
      <c r="AX2539" s="117"/>
      <c r="AY2539" s="117"/>
      <c r="AZ2539" s="117"/>
      <c r="BA2539" s="117"/>
      <c r="BB2539" s="117"/>
      <c r="BC2539" s="117"/>
      <c r="BD2539" s="117"/>
    </row>
    <row r="2540" spans="1:56" ht="15">
      <c r="A2540" s="114"/>
      <c r="B2540" s="388" t="s">
        <v>1114</v>
      </c>
      <c r="C2540" s="389">
        <v>0.2</v>
      </c>
      <c r="D2540" s="390" t="s">
        <v>10</v>
      </c>
      <c r="E2540" s="288" t="s">
        <v>1121</v>
      </c>
      <c r="F2540" s="288"/>
      <c r="G2540" s="230"/>
      <c r="H2540" s="395"/>
      <c r="I2540" s="196"/>
      <c r="J2540" s="114"/>
      <c r="AW2540" s="117"/>
      <c r="AX2540" s="117"/>
      <c r="AY2540" s="117"/>
      <c r="AZ2540" s="117"/>
      <c r="BA2540" s="117"/>
      <c r="BB2540" s="117"/>
      <c r="BC2540" s="117"/>
      <c r="BD2540" s="117"/>
    </row>
    <row r="2541" spans="1:56" ht="15">
      <c r="A2541" s="114"/>
      <c r="B2541" s="196"/>
      <c r="C2541" s="196"/>
      <c r="D2541" s="196"/>
      <c r="E2541" s="196"/>
      <c r="F2541" s="196"/>
      <c r="G2541" s="196"/>
      <c r="H2541" s="196"/>
      <c r="I2541" s="196"/>
      <c r="J2541" s="114"/>
      <c r="AW2541" s="117"/>
      <c r="AX2541" s="117"/>
      <c r="AY2541" s="117"/>
      <c r="AZ2541" s="117"/>
      <c r="BA2541" s="117"/>
      <c r="BB2541" s="117"/>
      <c r="BC2541" s="117"/>
      <c r="BD2541" s="117"/>
    </row>
    <row r="2542" spans="1:56" ht="15">
      <c r="A2542" s="114"/>
      <c r="B2542" s="303" t="s">
        <v>1122</v>
      </c>
      <c r="C2542" s="362"/>
      <c r="D2542" s="362"/>
      <c r="E2542" s="196"/>
      <c r="F2542" s="196"/>
      <c r="G2542" s="196"/>
      <c r="H2542" s="196"/>
      <c r="I2542" s="196"/>
      <c r="J2542" s="114"/>
      <c r="AW2542" s="117"/>
      <c r="AX2542" s="117"/>
      <c r="AY2542" s="117"/>
      <c r="AZ2542" s="117"/>
      <c r="BA2542" s="117"/>
      <c r="BB2542" s="117"/>
      <c r="BC2542" s="117"/>
      <c r="BD2542" s="117"/>
    </row>
    <row r="2543" spans="1:56" ht="18">
      <c r="A2543" s="114"/>
      <c r="B2543" s="396" t="s">
        <v>1123</v>
      </c>
      <c r="C2543" s="289"/>
      <c r="D2543" s="290"/>
      <c r="E2543" s="397">
        <f>C2537*(C2539*2*(0.05+C2536+C2535)*C2534)</f>
        <v>288</v>
      </c>
      <c r="F2543" s="390" t="s">
        <v>1124</v>
      </c>
      <c r="G2543" s="196"/>
      <c r="H2543" s="196"/>
      <c r="I2543" s="196"/>
      <c r="J2543" s="114"/>
      <c r="AW2543" s="117"/>
      <c r="AX2543" s="117"/>
      <c r="AY2543" s="117"/>
      <c r="AZ2543" s="117"/>
      <c r="BA2543" s="117"/>
      <c r="BB2543" s="117"/>
      <c r="BC2543" s="117"/>
      <c r="BD2543" s="117"/>
    </row>
    <row r="2544" spans="1:56" ht="18">
      <c r="A2544" s="114"/>
      <c r="B2544" s="398" t="s">
        <v>1125</v>
      </c>
      <c r="C2544" s="172"/>
      <c r="D2544" s="173"/>
      <c r="E2544" s="397">
        <f>E2543-(E2548+E2550)</f>
        <v>253.44</v>
      </c>
      <c r="F2544" s="390" t="s">
        <v>1124</v>
      </c>
      <c r="G2544" s="196"/>
      <c r="H2544" s="196"/>
      <c r="I2544" s="196"/>
      <c r="J2544" s="114"/>
      <c r="AW2544" s="117"/>
      <c r="AX2544" s="117"/>
      <c r="AY2544" s="117"/>
      <c r="AZ2544" s="117"/>
      <c r="BA2544" s="117"/>
      <c r="BB2544" s="117"/>
      <c r="BC2544" s="117"/>
      <c r="BD2544" s="117"/>
    </row>
    <row r="2545" spans="1:56" ht="15">
      <c r="A2545" s="114"/>
      <c r="B2545" s="399" t="s">
        <v>1126</v>
      </c>
      <c r="C2545" s="317"/>
      <c r="D2545" s="318"/>
      <c r="E2545" s="400">
        <f>(2*C2540)*C2534</f>
        <v>76.800000000000011</v>
      </c>
      <c r="F2545" s="390" t="s">
        <v>13</v>
      </c>
      <c r="G2545" s="196"/>
      <c r="H2545" s="196"/>
      <c r="I2545" s="196"/>
      <c r="J2545" s="114"/>
      <c r="AW2545" s="117"/>
      <c r="AX2545" s="117"/>
      <c r="AY2545" s="117"/>
      <c r="AZ2545" s="117"/>
      <c r="BA2545" s="117"/>
      <c r="BB2545" s="117"/>
      <c r="BC2545" s="117"/>
      <c r="BD2545" s="117"/>
    </row>
    <row r="2546" spans="1:56" ht="15">
      <c r="A2546" s="114"/>
      <c r="B2546" s="196"/>
      <c r="C2546" s="196"/>
      <c r="D2546" s="196"/>
      <c r="E2546" s="401"/>
      <c r="F2546" s="196"/>
      <c r="G2546" s="196"/>
      <c r="H2546" s="196"/>
      <c r="I2546" s="196"/>
      <c r="J2546" s="114"/>
      <c r="AW2546" s="117"/>
      <c r="AX2546" s="117"/>
      <c r="AY2546" s="117"/>
      <c r="AZ2546" s="117"/>
      <c r="BA2546" s="117"/>
      <c r="BB2546" s="117"/>
      <c r="BC2546" s="117"/>
      <c r="BD2546" s="117"/>
    </row>
    <row r="2547" spans="1:56" ht="15">
      <c r="A2547" s="114"/>
      <c r="B2547" s="303" t="s">
        <v>1127</v>
      </c>
      <c r="C2547" s="196"/>
      <c r="D2547" s="196"/>
      <c r="E2547" s="401"/>
      <c r="F2547" s="196"/>
      <c r="G2547" s="196"/>
      <c r="H2547" s="196"/>
      <c r="I2547" s="196"/>
      <c r="J2547" s="114"/>
      <c r="AW2547" s="117"/>
      <c r="AX2547" s="117"/>
      <c r="AY2547" s="117"/>
      <c r="AZ2547" s="117"/>
      <c r="BA2547" s="117"/>
      <c r="BB2547" s="117"/>
      <c r="BC2547" s="117"/>
      <c r="BD2547" s="117"/>
    </row>
    <row r="2548" spans="1:56" ht="18">
      <c r="A2548" s="114"/>
      <c r="B2548" s="398" t="s">
        <v>1128</v>
      </c>
      <c r="C2548" s="172"/>
      <c r="D2548" s="173"/>
      <c r="E2548" s="402">
        <f>E2545*0.05</f>
        <v>3.8400000000000007</v>
      </c>
      <c r="F2548" s="390" t="s">
        <v>1124</v>
      </c>
      <c r="G2548" s="196"/>
      <c r="H2548" s="196"/>
      <c r="I2548" s="196"/>
      <c r="J2548" s="114"/>
      <c r="AW2548" s="117"/>
      <c r="AX2548" s="117"/>
      <c r="AY2548" s="117"/>
      <c r="AZ2548" s="117"/>
      <c r="BA2548" s="117"/>
      <c r="BB2548" s="117"/>
      <c r="BC2548" s="117"/>
      <c r="BD2548" s="117"/>
    </row>
    <row r="2549" spans="1:56" ht="15">
      <c r="A2549" s="114"/>
      <c r="B2549" s="398" t="s">
        <v>1129</v>
      </c>
      <c r="C2549" s="172"/>
      <c r="D2549" s="173"/>
      <c r="E2549" s="397">
        <f>C2536*2*C2534</f>
        <v>307.20000000000005</v>
      </c>
      <c r="F2549" s="390" t="s">
        <v>13</v>
      </c>
      <c r="G2549" s="393" t="s">
        <v>1108</v>
      </c>
      <c r="H2549" s="196" t="s">
        <v>1131</v>
      </c>
      <c r="I2549" s="393"/>
      <c r="J2549" s="114"/>
      <c r="AW2549" s="117"/>
      <c r="AX2549" s="117"/>
      <c r="AY2549" s="117"/>
      <c r="AZ2549" s="117"/>
      <c r="BA2549" s="117"/>
      <c r="BB2549" s="117"/>
      <c r="BC2549" s="117"/>
      <c r="BD2549" s="117"/>
    </row>
    <row r="2550" spans="1:56" ht="18">
      <c r="A2550" s="114"/>
      <c r="B2550" s="398" t="s">
        <v>1130</v>
      </c>
      <c r="C2550" s="172"/>
      <c r="D2550" s="173"/>
      <c r="E2550" s="402">
        <f>C2533*C2534*C2536</f>
        <v>30.720000000000006</v>
      </c>
      <c r="F2550" s="390" t="s">
        <v>1124</v>
      </c>
      <c r="G2550" s="196"/>
      <c r="H2550" s="196"/>
      <c r="I2550" s="196"/>
      <c r="J2550" s="114"/>
      <c r="AW2550" s="117"/>
      <c r="AX2550" s="117"/>
      <c r="AY2550" s="117"/>
      <c r="AZ2550" s="117"/>
      <c r="BA2550" s="117"/>
      <c r="BB2550" s="117"/>
      <c r="BC2550" s="117"/>
      <c r="BD2550" s="117"/>
    </row>
    <row r="2551" spans="1:56" ht="15">
      <c r="A2551" s="114"/>
      <c r="B2551" s="196"/>
      <c r="C2551" s="196"/>
      <c r="D2551" s="196"/>
      <c r="E2551" s="196"/>
      <c r="F2551" s="196"/>
      <c r="G2551" s="196"/>
      <c r="H2551" s="196"/>
      <c r="I2551" s="196"/>
      <c r="J2551" s="114"/>
      <c r="AW2551" s="117"/>
      <c r="AX2551" s="117"/>
      <c r="AY2551" s="117"/>
      <c r="AZ2551" s="117"/>
      <c r="BA2551" s="117"/>
      <c r="BB2551" s="117"/>
      <c r="BC2551" s="117"/>
      <c r="BD2551" s="117"/>
    </row>
    <row r="2552" spans="1:56" ht="15">
      <c r="A2552" s="114"/>
      <c r="B2552" s="196"/>
      <c r="C2552" s="196"/>
      <c r="D2552" s="196"/>
      <c r="E2552" s="196"/>
      <c r="F2552" s="196"/>
      <c r="G2552" s="196"/>
      <c r="H2552" s="196"/>
      <c r="I2552" s="196"/>
      <c r="J2552" s="114"/>
      <c r="AW2552" s="117"/>
      <c r="AX2552" s="117"/>
      <c r="AY2552" s="117"/>
      <c r="AZ2552" s="117"/>
      <c r="BA2552" s="117"/>
      <c r="BB2552" s="117"/>
      <c r="BC2552" s="117"/>
      <c r="BD2552" s="117"/>
    </row>
    <row r="2553" spans="1:56">
      <c r="A2553" s="114"/>
      <c r="B2553" s="385" t="s">
        <v>1228</v>
      </c>
      <c r="C2553" s="196"/>
      <c r="D2553" s="196"/>
      <c r="E2553" s="196"/>
      <c r="F2553" s="196"/>
      <c r="G2553" s="196"/>
      <c r="H2553" s="196"/>
      <c r="I2553" s="196"/>
      <c r="J2553" s="114"/>
      <c r="AW2553" s="117"/>
      <c r="AX2553" s="117"/>
      <c r="AY2553" s="117"/>
      <c r="AZ2553" s="117"/>
      <c r="BA2553" s="117"/>
      <c r="BB2553" s="117"/>
      <c r="BC2553" s="117"/>
      <c r="BD2553" s="117"/>
    </row>
    <row r="2554" spans="1:56" ht="15">
      <c r="A2554" s="114"/>
      <c r="B2554" s="196"/>
      <c r="C2554" s="196"/>
      <c r="D2554" s="196"/>
      <c r="E2554" s="196"/>
      <c r="F2554" s="196"/>
      <c r="G2554" s="196"/>
      <c r="H2554" s="196"/>
      <c r="I2554" s="196"/>
      <c r="J2554" s="114"/>
      <c r="AW2554" s="117"/>
      <c r="AX2554" s="117"/>
      <c r="AY2554" s="117"/>
      <c r="AZ2554" s="117"/>
      <c r="BA2554" s="117"/>
      <c r="BB2554" s="117"/>
      <c r="BC2554" s="117"/>
      <c r="BD2554" s="117"/>
    </row>
    <row r="2555" spans="1:56" ht="15">
      <c r="A2555" s="114"/>
      <c r="B2555" s="388" t="s">
        <v>1110</v>
      </c>
      <c r="C2555" s="389">
        <v>0.2</v>
      </c>
      <c r="D2555" s="390" t="s">
        <v>10</v>
      </c>
      <c r="E2555" s="196"/>
      <c r="F2555" s="196"/>
      <c r="G2555" s="392"/>
      <c r="H2555" s="393"/>
      <c r="I2555" s="196"/>
      <c r="J2555" s="114"/>
      <c r="AW2555" s="117"/>
      <c r="AX2555" s="117"/>
      <c r="AY2555" s="117"/>
      <c r="AZ2555" s="117"/>
      <c r="BA2555" s="117"/>
      <c r="BB2555" s="117"/>
      <c r="BC2555" s="117"/>
      <c r="BD2555" s="117"/>
    </row>
    <row r="2556" spans="1:56" ht="15">
      <c r="A2556" s="114"/>
      <c r="B2556" s="388" t="s">
        <v>1111</v>
      </c>
      <c r="C2556" s="391">
        <f>4*3.975+2*(3.5+3.35+2.2)</f>
        <v>34</v>
      </c>
      <c r="D2556" s="390" t="s">
        <v>10</v>
      </c>
      <c r="E2556" s="196"/>
      <c r="F2556" s="196"/>
      <c r="G2556" s="392"/>
      <c r="H2556" s="393"/>
      <c r="I2556" s="196"/>
      <c r="J2556" s="114"/>
      <c r="AW2556" s="117"/>
      <c r="AX2556" s="117"/>
      <c r="AY2556" s="117"/>
      <c r="AZ2556" s="117"/>
      <c r="BA2556" s="117"/>
      <c r="BB2556" s="117"/>
      <c r="BC2556" s="117"/>
      <c r="BD2556" s="117"/>
    </row>
    <row r="2557" spans="1:56" ht="15">
      <c r="A2557" s="114"/>
      <c r="B2557" s="388" t="s">
        <v>1112</v>
      </c>
      <c r="C2557" s="389">
        <v>0.4</v>
      </c>
      <c r="D2557" s="390" t="s">
        <v>10</v>
      </c>
      <c r="E2557" s="196"/>
      <c r="F2557" s="196"/>
      <c r="G2557" s="392"/>
      <c r="H2557" s="393"/>
      <c r="I2557" s="196"/>
      <c r="J2557" s="114"/>
      <c r="AW2557" s="117"/>
      <c r="AX2557" s="117"/>
      <c r="AY2557" s="117"/>
      <c r="AZ2557" s="117"/>
      <c r="BA2557" s="117"/>
      <c r="BB2557" s="117"/>
      <c r="BC2557" s="117"/>
      <c r="BD2557" s="117"/>
    </row>
    <row r="2558" spans="1:56" ht="15">
      <c r="A2558" s="114"/>
      <c r="B2558" s="388" t="s">
        <v>1113</v>
      </c>
      <c r="C2558" s="389">
        <v>0.6</v>
      </c>
      <c r="D2558" s="390" t="s">
        <v>10</v>
      </c>
      <c r="E2558" s="196"/>
      <c r="F2558" s="196"/>
      <c r="G2558" s="392"/>
      <c r="H2558" s="394"/>
      <c r="I2558" s="196"/>
      <c r="J2558" s="114"/>
      <c r="AW2558" s="117"/>
      <c r="AX2558" s="117"/>
      <c r="AY2558" s="117"/>
      <c r="AZ2558" s="117"/>
      <c r="BA2558" s="117"/>
      <c r="BB2558" s="117"/>
      <c r="BC2558" s="117"/>
      <c r="BD2558" s="117"/>
    </row>
    <row r="2559" spans="1:56" ht="15">
      <c r="A2559" s="114"/>
      <c r="B2559" s="388" t="s">
        <v>1117</v>
      </c>
      <c r="C2559" s="389">
        <v>1</v>
      </c>
      <c r="D2559" s="390" t="s">
        <v>1118</v>
      </c>
      <c r="E2559" s="196"/>
      <c r="F2559" s="196"/>
      <c r="G2559" s="392"/>
      <c r="H2559" s="393"/>
      <c r="I2559" s="196"/>
      <c r="J2559" s="114"/>
      <c r="AW2559" s="117"/>
      <c r="AX2559" s="117"/>
      <c r="AY2559" s="117"/>
      <c r="AZ2559" s="117"/>
      <c r="BA2559" s="117"/>
      <c r="BB2559" s="117"/>
      <c r="BC2559" s="117"/>
      <c r="BD2559" s="117"/>
    </row>
    <row r="2560" spans="1:56" ht="15">
      <c r="A2560" s="114"/>
      <c r="B2560" s="392"/>
      <c r="C2560" s="393"/>
      <c r="D2560" s="196"/>
      <c r="E2560" s="196"/>
      <c r="F2560" s="196"/>
      <c r="G2560" s="392"/>
      <c r="H2560" s="393"/>
      <c r="I2560" s="196"/>
      <c r="J2560" s="114"/>
      <c r="AW2560" s="117"/>
      <c r="AX2560" s="117"/>
      <c r="AY2560" s="117"/>
      <c r="AZ2560" s="117"/>
      <c r="BA2560" s="117"/>
      <c r="BB2560" s="117"/>
      <c r="BC2560" s="117"/>
      <c r="BD2560" s="117"/>
    </row>
    <row r="2561" spans="1:56" ht="15">
      <c r="A2561" s="114"/>
      <c r="B2561" s="388" t="s">
        <v>1114</v>
      </c>
      <c r="C2561" s="389">
        <v>0.6</v>
      </c>
      <c r="D2561" s="390" t="s">
        <v>10</v>
      </c>
      <c r="E2561" s="288" t="s">
        <v>1120</v>
      </c>
      <c r="F2561" s="288"/>
      <c r="G2561" s="230"/>
      <c r="H2561" s="395"/>
      <c r="I2561" s="196"/>
      <c r="J2561" s="114"/>
      <c r="AW2561" s="117"/>
      <c r="AX2561" s="117"/>
      <c r="AY2561" s="117"/>
      <c r="AZ2561" s="117"/>
      <c r="BA2561" s="117"/>
      <c r="BB2561" s="117"/>
      <c r="BC2561" s="117"/>
      <c r="BD2561" s="117"/>
    </row>
    <row r="2562" spans="1:56" ht="15">
      <c r="A2562" s="114"/>
      <c r="B2562" s="388" t="s">
        <v>1114</v>
      </c>
      <c r="C2562" s="389">
        <v>0.2</v>
      </c>
      <c r="D2562" s="390" t="s">
        <v>10</v>
      </c>
      <c r="E2562" s="288" t="s">
        <v>1121</v>
      </c>
      <c r="F2562" s="288"/>
      <c r="G2562" s="230"/>
      <c r="H2562" s="395"/>
      <c r="I2562" s="196"/>
      <c r="J2562" s="114"/>
      <c r="AW2562" s="117"/>
      <c r="AX2562" s="117"/>
      <c r="AY2562" s="117"/>
      <c r="AZ2562" s="117"/>
      <c r="BA2562" s="117"/>
      <c r="BB2562" s="117"/>
      <c r="BC2562" s="117"/>
      <c r="BD2562" s="117"/>
    </row>
    <row r="2563" spans="1:56" ht="15">
      <c r="A2563" s="114"/>
      <c r="B2563" s="196"/>
      <c r="C2563" s="196"/>
      <c r="D2563" s="196"/>
      <c r="E2563" s="196"/>
      <c r="F2563" s="196"/>
      <c r="G2563" s="196"/>
      <c r="H2563" s="196"/>
      <c r="I2563" s="196"/>
      <c r="J2563" s="114"/>
      <c r="AW2563" s="117"/>
      <c r="AX2563" s="117"/>
      <c r="AY2563" s="117"/>
      <c r="AZ2563" s="117"/>
      <c r="BA2563" s="117"/>
      <c r="BB2563" s="117"/>
      <c r="BC2563" s="117"/>
      <c r="BD2563" s="117"/>
    </row>
    <row r="2564" spans="1:56" ht="15">
      <c r="A2564" s="114"/>
      <c r="B2564" s="303" t="s">
        <v>1122</v>
      </c>
      <c r="C2564" s="362"/>
      <c r="D2564" s="362"/>
      <c r="E2564" s="196"/>
      <c r="F2564" s="196"/>
      <c r="G2564" s="196"/>
      <c r="H2564" s="196"/>
      <c r="I2564" s="196"/>
      <c r="J2564" s="114"/>
      <c r="AW2564" s="117"/>
      <c r="AX2564" s="117"/>
      <c r="AY2564" s="117"/>
      <c r="AZ2564" s="117"/>
      <c r="BA2564" s="117"/>
      <c r="BB2564" s="117"/>
      <c r="BC2564" s="117"/>
      <c r="BD2564" s="117"/>
    </row>
    <row r="2565" spans="1:56" ht="18">
      <c r="A2565" s="114"/>
      <c r="B2565" s="396" t="s">
        <v>1123</v>
      </c>
      <c r="C2565" s="289"/>
      <c r="D2565" s="290"/>
      <c r="E2565" s="397">
        <f>C2559*(C2561*2*(0.05+C2558+C2557)*C2556)</f>
        <v>42.84</v>
      </c>
      <c r="F2565" s="390" t="s">
        <v>1124</v>
      </c>
      <c r="G2565" s="196"/>
      <c r="H2565" s="196"/>
      <c r="I2565" s="196"/>
      <c r="J2565" s="114"/>
      <c r="AW2565" s="117"/>
      <c r="AX2565" s="117"/>
      <c r="AY2565" s="117"/>
      <c r="AZ2565" s="117"/>
      <c r="BA2565" s="117"/>
      <c r="BB2565" s="117"/>
      <c r="BC2565" s="117"/>
      <c r="BD2565" s="117"/>
    </row>
    <row r="2566" spans="1:56" ht="18">
      <c r="A2566" s="114"/>
      <c r="B2566" s="398" t="s">
        <v>1125</v>
      </c>
      <c r="C2566" s="172"/>
      <c r="D2566" s="173"/>
      <c r="E2566" s="397">
        <f>E2565-(E2570+E2572)</f>
        <v>38.080000000000005</v>
      </c>
      <c r="F2566" s="390" t="s">
        <v>1124</v>
      </c>
      <c r="G2566" s="196"/>
      <c r="H2566" s="196"/>
      <c r="I2566" s="196"/>
      <c r="J2566" s="114"/>
      <c r="AW2566" s="117"/>
      <c r="AX2566" s="117"/>
      <c r="AY2566" s="117"/>
      <c r="AZ2566" s="117"/>
      <c r="BA2566" s="117"/>
      <c r="BB2566" s="117"/>
      <c r="BC2566" s="117"/>
      <c r="BD2566" s="117"/>
    </row>
    <row r="2567" spans="1:56" ht="15">
      <c r="A2567" s="114"/>
      <c r="B2567" s="399" t="s">
        <v>1126</v>
      </c>
      <c r="C2567" s="317"/>
      <c r="D2567" s="318"/>
      <c r="E2567" s="400">
        <f>(2*C2562)*C2556</f>
        <v>13.600000000000001</v>
      </c>
      <c r="F2567" s="390" t="s">
        <v>13</v>
      </c>
      <c r="G2567" s="196"/>
      <c r="H2567" s="196"/>
      <c r="I2567" s="196"/>
      <c r="J2567" s="114"/>
      <c r="AW2567" s="117"/>
      <c r="AX2567" s="117"/>
      <c r="AY2567" s="117"/>
      <c r="AZ2567" s="117"/>
      <c r="BA2567" s="117"/>
      <c r="BB2567" s="117"/>
      <c r="BC2567" s="117"/>
      <c r="BD2567" s="117"/>
    </row>
    <row r="2568" spans="1:56" ht="15">
      <c r="A2568" s="114"/>
      <c r="B2568" s="196"/>
      <c r="C2568" s="196"/>
      <c r="D2568" s="196"/>
      <c r="E2568" s="401"/>
      <c r="F2568" s="196"/>
      <c r="G2568" s="196"/>
      <c r="H2568" s="196"/>
      <c r="I2568" s="196"/>
      <c r="J2568" s="114"/>
      <c r="AW2568" s="117"/>
      <c r="AX2568" s="117"/>
      <c r="AY2568" s="117"/>
      <c r="AZ2568" s="117"/>
      <c r="BA2568" s="117"/>
      <c r="BB2568" s="117"/>
      <c r="BC2568" s="117"/>
      <c r="BD2568" s="117"/>
    </row>
    <row r="2569" spans="1:56" ht="15">
      <c r="A2569" s="114"/>
      <c r="B2569" s="303" t="s">
        <v>1127</v>
      </c>
      <c r="C2569" s="196"/>
      <c r="D2569" s="196"/>
      <c r="E2569" s="401"/>
      <c r="F2569" s="196"/>
      <c r="G2569" s="196"/>
      <c r="H2569" s="196"/>
      <c r="I2569" s="196"/>
      <c r="J2569" s="114"/>
      <c r="AW2569" s="117"/>
      <c r="AX2569" s="117"/>
      <c r="AY2569" s="117"/>
      <c r="AZ2569" s="117"/>
      <c r="BA2569" s="117"/>
      <c r="BB2569" s="117"/>
      <c r="BC2569" s="117"/>
      <c r="BD2569" s="117"/>
    </row>
    <row r="2570" spans="1:56" ht="18">
      <c r="A2570" s="114"/>
      <c r="B2570" s="398" t="s">
        <v>1128</v>
      </c>
      <c r="C2570" s="172"/>
      <c r="D2570" s="173"/>
      <c r="E2570" s="402">
        <f>E2567*0.05</f>
        <v>0.68000000000000016</v>
      </c>
      <c r="F2570" s="390" t="s">
        <v>1124</v>
      </c>
      <c r="G2570" s="196"/>
      <c r="H2570" s="196"/>
      <c r="I2570" s="196"/>
      <c r="J2570" s="114"/>
      <c r="AW2570" s="117"/>
      <c r="AX2570" s="117"/>
      <c r="AY2570" s="117"/>
      <c r="AZ2570" s="117"/>
      <c r="BA2570" s="117"/>
      <c r="BB2570" s="117"/>
      <c r="BC2570" s="117"/>
      <c r="BD2570" s="117"/>
    </row>
    <row r="2571" spans="1:56" ht="15">
      <c r="A2571" s="114"/>
      <c r="B2571" s="398" t="s">
        <v>1129</v>
      </c>
      <c r="C2571" s="172"/>
      <c r="D2571" s="173"/>
      <c r="E2571" s="397">
        <f>C2558*2*C2556</f>
        <v>40.799999999999997</v>
      </c>
      <c r="F2571" s="390" t="s">
        <v>13</v>
      </c>
      <c r="G2571" s="393" t="s">
        <v>1108</v>
      </c>
      <c r="H2571" s="196" t="s">
        <v>1131</v>
      </c>
      <c r="I2571" s="393"/>
      <c r="J2571" s="114"/>
      <c r="AW2571" s="117"/>
      <c r="AX2571" s="117"/>
      <c r="AY2571" s="117"/>
      <c r="AZ2571" s="117"/>
      <c r="BA2571" s="117"/>
      <c r="BB2571" s="117"/>
      <c r="BC2571" s="117"/>
      <c r="BD2571" s="117"/>
    </row>
    <row r="2572" spans="1:56" ht="18">
      <c r="A2572" s="114"/>
      <c r="B2572" s="398" t="s">
        <v>1130</v>
      </c>
      <c r="C2572" s="172"/>
      <c r="D2572" s="173"/>
      <c r="E2572" s="402">
        <f>C2555*C2556*C2558</f>
        <v>4.08</v>
      </c>
      <c r="F2572" s="390" t="s">
        <v>1124</v>
      </c>
      <c r="G2572" s="196"/>
      <c r="H2572" s="196"/>
      <c r="I2572" s="196"/>
      <c r="J2572" s="114"/>
      <c r="AW2572" s="117"/>
      <c r="AX2572" s="117"/>
      <c r="AY2572" s="117"/>
      <c r="AZ2572" s="117"/>
      <c r="BA2572" s="117"/>
      <c r="BB2572" s="117"/>
      <c r="BC2572" s="117"/>
      <c r="BD2572" s="117"/>
    </row>
    <row r="2573" spans="1:56">
      <c r="A2573" s="114"/>
      <c r="B2573" s="115"/>
      <c r="C2573" s="115"/>
      <c r="D2573" s="115"/>
      <c r="E2573" s="115"/>
      <c r="F2573" s="115"/>
      <c r="G2573" s="115"/>
      <c r="H2573" s="115"/>
      <c r="I2573" s="115"/>
      <c r="J2573" s="114"/>
      <c r="AW2573" s="117"/>
      <c r="AX2573" s="117"/>
      <c r="AY2573" s="117"/>
      <c r="AZ2573" s="117"/>
      <c r="BA2573" s="117"/>
      <c r="BB2573" s="117"/>
      <c r="BC2573" s="117"/>
      <c r="BD2573" s="117"/>
    </row>
    <row r="2574" spans="1:56">
      <c r="A2574" s="114"/>
      <c r="B2574" s="115"/>
      <c r="C2574" s="115"/>
      <c r="D2574" s="115"/>
      <c r="E2574" s="115"/>
      <c r="F2574" s="115"/>
      <c r="G2574" s="115"/>
      <c r="H2574" s="115"/>
      <c r="I2574" s="115"/>
      <c r="J2574" s="114"/>
      <c r="AW2574" s="117"/>
      <c r="AX2574" s="117"/>
      <c r="AY2574" s="117"/>
      <c r="AZ2574" s="117"/>
      <c r="BA2574" s="117"/>
      <c r="BB2574" s="117"/>
      <c r="BC2574" s="117"/>
      <c r="BD2574" s="117"/>
    </row>
    <row r="2575" spans="1:56">
      <c r="A2575" s="114"/>
      <c r="B2575" s="385" t="s">
        <v>1229</v>
      </c>
      <c r="C2575" s="196"/>
      <c r="D2575" s="196"/>
      <c r="E2575" s="196"/>
      <c r="F2575" s="196"/>
      <c r="G2575" s="196"/>
      <c r="H2575" s="196"/>
      <c r="I2575" s="196"/>
      <c r="J2575" s="114"/>
      <c r="AW2575" s="117"/>
      <c r="AX2575" s="117"/>
      <c r="AY2575" s="117"/>
      <c r="AZ2575" s="117"/>
      <c r="BA2575" s="117"/>
      <c r="BB2575" s="117"/>
      <c r="BC2575" s="117"/>
      <c r="BD2575" s="117"/>
    </row>
    <row r="2576" spans="1:56" ht="15">
      <c r="A2576" s="114"/>
      <c r="B2576" s="196"/>
      <c r="C2576" s="196"/>
      <c r="D2576" s="196"/>
      <c r="E2576" s="196"/>
      <c r="F2576" s="196"/>
      <c r="G2576" s="196"/>
      <c r="H2576" s="196"/>
      <c r="I2576" s="196"/>
      <c r="J2576" s="114"/>
      <c r="AW2576" s="117"/>
      <c r="AX2576" s="117"/>
      <c r="AY2576" s="117"/>
      <c r="AZ2576" s="117"/>
      <c r="BA2576" s="117"/>
      <c r="BB2576" s="117"/>
      <c r="BC2576" s="117"/>
      <c r="BD2576" s="117"/>
    </row>
    <row r="2577" spans="1:56" ht="15">
      <c r="A2577" s="114"/>
      <c r="B2577" s="388" t="s">
        <v>1110</v>
      </c>
      <c r="C2577" s="389">
        <v>0.2</v>
      </c>
      <c r="D2577" s="390" t="s">
        <v>10</v>
      </c>
      <c r="E2577" s="196"/>
      <c r="F2577" s="196"/>
      <c r="G2577" s="392"/>
      <c r="H2577" s="393"/>
      <c r="I2577" s="196"/>
      <c r="J2577" s="114"/>
      <c r="AW2577" s="117"/>
      <c r="AX2577" s="117"/>
      <c r="AY2577" s="117"/>
      <c r="AZ2577" s="117"/>
      <c r="BA2577" s="117"/>
      <c r="BB2577" s="117"/>
      <c r="BC2577" s="117"/>
      <c r="BD2577" s="117"/>
    </row>
    <row r="2578" spans="1:56" ht="15">
      <c r="A2578" s="114"/>
      <c r="B2578" s="388" t="s">
        <v>1111</v>
      </c>
      <c r="C2578" s="391">
        <f>4*2.5</f>
        <v>10</v>
      </c>
      <c r="D2578" s="390" t="s">
        <v>10</v>
      </c>
      <c r="E2578" s="196"/>
      <c r="F2578" s="196"/>
      <c r="G2578" s="392"/>
      <c r="H2578" s="393"/>
      <c r="I2578" s="196"/>
      <c r="J2578" s="114"/>
      <c r="AW2578" s="117"/>
      <c r="AX2578" s="117"/>
      <c r="AY2578" s="117"/>
      <c r="AZ2578" s="117"/>
      <c r="BA2578" s="117"/>
      <c r="BB2578" s="117"/>
      <c r="BC2578" s="117"/>
      <c r="BD2578" s="117"/>
    </row>
    <row r="2579" spans="1:56" ht="15">
      <c r="A2579" s="114"/>
      <c r="B2579" s="388" t="s">
        <v>1112</v>
      </c>
      <c r="C2579" s="389">
        <v>0.4</v>
      </c>
      <c r="D2579" s="390" t="s">
        <v>10</v>
      </c>
      <c r="E2579" s="196"/>
      <c r="F2579" s="196"/>
      <c r="G2579" s="392"/>
      <c r="H2579" s="393"/>
      <c r="I2579" s="196"/>
      <c r="J2579" s="114"/>
      <c r="AW2579" s="117"/>
      <c r="AX2579" s="117"/>
      <c r="AY2579" s="117"/>
      <c r="AZ2579" s="117"/>
      <c r="BA2579" s="117"/>
      <c r="BB2579" s="117"/>
      <c r="BC2579" s="117"/>
      <c r="BD2579" s="117"/>
    </row>
    <row r="2580" spans="1:56" ht="15">
      <c r="A2580" s="114"/>
      <c r="B2580" s="388" t="s">
        <v>1113</v>
      </c>
      <c r="C2580" s="389">
        <v>0.4</v>
      </c>
      <c r="D2580" s="390" t="s">
        <v>10</v>
      </c>
      <c r="E2580" s="196"/>
      <c r="F2580" s="196"/>
      <c r="G2580" s="392"/>
      <c r="H2580" s="394"/>
      <c r="I2580" s="196"/>
      <c r="J2580" s="114"/>
      <c r="AW2580" s="117"/>
      <c r="AX2580" s="117"/>
      <c r="AY2580" s="117"/>
      <c r="AZ2580" s="117"/>
      <c r="BA2580" s="117"/>
      <c r="BB2580" s="117"/>
      <c r="BC2580" s="117"/>
      <c r="BD2580" s="117"/>
    </row>
    <row r="2581" spans="1:56" ht="15">
      <c r="A2581" s="114"/>
      <c r="B2581" s="388" t="s">
        <v>1117</v>
      </c>
      <c r="C2581" s="389">
        <v>1</v>
      </c>
      <c r="D2581" s="390" t="s">
        <v>1118</v>
      </c>
      <c r="E2581" s="196"/>
      <c r="F2581" s="196"/>
      <c r="G2581" s="392"/>
      <c r="H2581" s="393"/>
      <c r="I2581" s="196"/>
      <c r="J2581" s="114"/>
      <c r="AW2581" s="117"/>
      <c r="AX2581" s="117"/>
      <c r="AY2581" s="117"/>
      <c r="AZ2581" s="117"/>
      <c r="BA2581" s="117"/>
      <c r="BB2581" s="117"/>
      <c r="BC2581" s="117"/>
      <c r="BD2581" s="117"/>
    </row>
    <row r="2582" spans="1:56" ht="15">
      <c r="A2582" s="114"/>
      <c r="B2582" s="392"/>
      <c r="C2582" s="393"/>
      <c r="D2582" s="196"/>
      <c r="E2582" s="196"/>
      <c r="F2582" s="196"/>
      <c r="G2582" s="392"/>
      <c r="H2582" s="393"/>
      <c r="I2582" s="196"/>
      <c r="J2582" s="114"/>
      <c r="AW2582" s="117"/>
      <c r="AX2582" s="117"/>
      <c r="AY2582" s="117"/>
      <c r="AZ2582" s="117"/>
      <c r="BA2582" s="117"/>
      <c r="BB2582" s="117"/>
      <c r="BC2582" s="117"/>
      <c r="BD2582" s="117"/>
    </row>
    <row r="2583" spans="1:56" ht="15">
      <c r="A2583" s="114"/>
      <c r="B2583" s="388" t="s">
        <v>1114</v>
      </c>
      <c r="C2583" s="389">
        <v>0.6</v>
      </c>
      <c r="D2583" s="390" t="s">
        <v>10</v>
      </c>
      <c r="E2583" s="288" t="s">
        <v>1120</v>
      </c>
      <c r="F2583" s="288"/>
      <c r="G2583" s="230"/>
      <c r="H2583" s="395"/>
      <c r="I2583" s="196"/>
      <c r="J2583" s="114"/>
      <c r="AW2583" s="117"/>
      <c r="AX2583" s="117"/>
      <c r="AY2583" s="117"/>
      <c r="AZ2583" s="117"/>
      <c r="BA2583" s="117"/>
      <c r="BB2583" s="117"/>
      <c r="BC2583" s="117"/>
      <c r="BD2583" s="117"/>
    </row>
    <row r="2584" spans="1:56" ht="15">
      <c r="A2584" s="114"/>
      <c r="B2584" s="388" t="s">
        <v>1114</v>
      </c>
      <c r="C2584" s="389">
        <v>0.2</v>
      </c>
      <c r="D2584" s="390" t="s">
        <v>10</v>
      </c>
      <c r="E2584" s="288" t="s">
        <v>1121</v>
      </c>
      <c r="F2584" s="288"/>
      <c r="G2584" s="230"/>
      <c r="H2584" s="395"/>
      <c r="I2584" s="196"/>
      <c r="J2584" s="114"/>
      <c r="AW2584" s="117"/>
      <c r="AX2584" s="117"/>
      <c r="AY2584" s="117"/>
      <c r="AZ2584" s="117"/>
      <c r="BA2584" s="117"/>
      <c r="BB2584" s="117"/>
      <c r="BC2584" s="117"/>
      <c r="BD2584" s="117"/>
    </row>
    <row r="2585" spans="1:56" ht="15">
      <c r="A2585" s="114"/>
      <c r="B2585" s="196"/>
      <c r="C2585" s="196"/>
      <c r="D2585" s="196"/>
      <c r="E2585" s="196"/>
      <c r="F2585" s="196"/>
      <c r="G2585" s="196"/>
      <c r="H2585" s="196"/>
      <c r="I2585" s="196"/>
      <c r="J2585" s="114"/>
      <c r="AW2585" s="117"/>
      <c r="AX2585" s="117"/>
      <c r="AY2585" s="117"/>
      <c r="AZ2585" s="117"/>
      <c r="BA2585" s="117"/>
      <c r="BB2585" s="117"/>
      <c r="BC2585" s="117"/>
      <c r="BD2585" s="117"/>
    </row>
    <row r="2586" spans="1:56" ht="15">
      <c r="A2586" s="114"/>
      <c r="B2586" s="303" t="s">
        <v>1122</v>
      </c>
      <c r="C2586" s="362"/>
      <c r="D2586" s="362"/>
      <c r="E2586" s="196"/>
      <c r="F2586" s="196"/>
      <c r="G2586" s="196"/>
      <c r="H2586" s="196"/>
      <c r="I2586" s="196"/>
      <c r="J2586" s="114"/>
      <c r="AW2586" s="117"/>
      <c r="AX2586" s="117"/>
      <c r="AY2586" s="117"/>
      <c r="AZ2586" s="117"/>
      <c r="BA2586" s="117"/>
      <c r="BB2586" s="117"/>
      <c r="BC2586" s="117"/>
      <c r="BD2586" s="117"/>
    </row>
    <row r="2587" spans="1:56" ht="18">
      <c r="A2587" s="114"/>
      <c r="B2587" s="396" t="s">
        <v>1123</v>
      </c>
      <c r="C2587" s="289"/>
      <c r="D2587" s="290"/>
      <c r="E2587" s="397">
        <f>C2581*(C2583*2*(0.05+C2580+C2579)*C2578)</f>
        <v>10.199999999999999</v>
      </c>
      <c r="F2587" s="390" t="s">
        <v>1124</v>
      </c>
      <c r="G2587" s="196"/>
      <c r="H2587" s="196"/>
      <c r="I2587" s="196"/>
      <c r="J2587" s="114"/>
      <c r="AW2587" s="117"/>
      <c r="AX2587" s="117"/>
      <c r="AY2587" s="117"/>
      <c r="AZ2587" s="117"/>
      <c r="BA2587" s="117"/>
      <c r="BB2587" s="117"/>
      <c r="BC2587" s="117"/>
      <c r="BD2587" s="117"/>
    </row>
    <row r="2588" spans="1:56" ht="18">
      <c r="A2588" s="114"/>
      <c r="B2588" s="398" t="s">
        <v>1125</v>
      </c>
      <c r="C2588" s="172"/>
      <c r="D2588" s="173"/>
      <c r="E2588" s="397">
        <f>E2587-(E2592+E2594)</f>
        <v>9.1999999999999993</v>
      </c>
      <c r="F2588" s="390" t="s">
        <v>1124</v>
      </c>
      <c r="G2588" s="196"/>
      <c r="H2588" s="196"/>
      <c r="I2588" s="196"/>
      <c r="J2588" s="114"/>
      <c r="AW2588" s="117"/>
      <c r="AX2588" s="117"/>
      <c r="AY2588" s="117"/>
      <c r="AZ2588" s="117"/>
      <c r="BA2588" s="117"/>
      <c r="BB2588" s="117"/>
      <c r="BC2588" s="117"/>
      <c r="BD2588" s="117"/>
    </row>
    <row r="2589" spans="1:56" ht="15">
      <c r="A2589" s="114"/>
      <c r="B2589" s="399" t="s">
        <v>1126</v>
      </c>
      <c r="C2589" s="317"/>
      <c r="D2589" s="318"/>
      <c r="E2589" s="400">
        <f>(2*C2584)*C2578</f>
        <v>4</v>
      </c>
      <c r="F2589" s="390" t="s">
        <v>13</v>
      </c>
      <c r="G2589" s="196"/>
      <c r="H2589" s="196"/>
      <c r="I2589" s="196"/>
      <c r="J2589" s="114"/>
      <c r="AW2589" s="117"/>
      <c r="AX2589" s="117"/>
      <c r="AY2589" s="117"/>
      <c r="AZ2589" s="117"/>
      <c r="BA2589" s="117"/>
      <c r="BB2589" s="117"/>
      <c r="BC2589" s="117"/>
      <c r="BD2589" s="117"/>
    </row>
    <row r="2590" spans="1:56" ht="15">
      <c r="A2590" s="114"/>
      <c r="B2590" s="196"/>
      <c r="C2590" s="196"/>
      <c r="D2590" s="196"/>
      <c r="E2590" s="401"/>
      <c r="F2590" s="196"/>
      <c r="G2590" s="196"/>
      <c r="H2590" s="196"/>
      <c r="I2590" s="196"/>
      <c r="J2590" s="114"/>
      <c r="AW2590" s="117"/>
      <c r="AX2590" s="117"/>
      <c r="AY2590" s="117"/>
      <c r="AZ2590" s="117"/>
      <c r="BA2590" s="117"/>
      <c r="BB2590" s="117"/>
      <c r="BC2590" s="117"/>
      <c r="BD2590" s="117"/>
    </row>
    <row r="2591" spans="1:56" ht="15">
      <c r="A2591" s="114"/>
      <c r="B2591" s="303" t="s">
        <v>1127</v>
      </c>
      <c r="C2591" s="196"/>
      <c r="D2591" s="196"/>
      <c r="E2591" s="401"/>
      <c r="F2591" s="196"/>
      <c r="G2591" s="196"/>
      <c r="H2591" s="196"/>
      <c r="I2591" s="196"/>
      <c r="J2591" s="114"/>
      <c r="AW2591" s="117"/>
      <c r="AX2591" s="117"/>
      <c r="AY2591" s="117"/>
      <c r="AZ2591" s="117"/>
      <c r="BA2591" s="117"/>
      <c r="BB2591" s="117"/>
      <c r="BC2591" s="117"/>
      <c r="BD2591" s="117"/>
    </row>
    <row r="2592" spans="1:56" ht="18">
      <c r="A2592" s="114"/>
      <c r="B2592" s="398" t="s">
        <v>1128</v>
      </c>
      <c r="C2592" s="172"/>
      <c r="D2592" s="173"/>
      <c r="E2592" s="402">
        <f>E2589*0.05</f>
        <v>0.2</v>
      </c>
      <c r="F2592" s="390" t="s">
        <v>1124</v>
      </c>
      <c r="G2592" s="196"/>
      <c r="H2592" s="196"/>
      <c r="I2592" s="196"/>
      <c r="J2592" s="114"/>
      <c r="AW2592" s="117"/>
      <c r="AX2592" s="117"/>
      <c r="AY2592" s="117"/>
      <c r="AZ2592" s="117"/>
      <c r="BA2592" s="117"/>
      <c r="BB2592" s="117"/>
      <c r="BC2592" s="117"/>
      <c r="BD2592" s="117"/>
    </row>
    <row r="2593" spans="1:56" ht="15">
      <c r="A2593" s="114"/>
      <c r="B2593" s="398" t="s">
        <v>1129</v>
      </c>
      <c r="C2593" s="172"/>
      <c r="D2593" s="173"/>
      <c r="E2593" s="397">
        <f>C2580*2*C2578</f>
        <v>8</v>
      </c>
      <c r="F2593" s="390" t="s">
        <v>13</v>
      </c>
      <c r="G2593" s="393" t="s">
        <v>1108</v>
      </c>
      <c r="H2593" s="196" t="s">
        <v>1131</v>
      </c>
      <c r="I2593" s="393"/>
      <c r="J2593" s="114"/>
      <c r="AW2593" s="117"/>
      <c r="AX2593" s="117"/>
      <c r="AY2593" s="117"/>
      <c r="AZ2593" s="117"/>
      <c r="BA2593" s="117"/>
      <c r="BB2593" s="117"/>
      <c r="BC2593" s="117"/>
      <c r="BD2593" s="117"/>
    </row>
    <row r="2594" spans="1:56" ht="18">
      <c r="A2594" s="114"/>
      <c r="B2594" s="398" t="s">
        <v>1130</v>
      </c>
      <c r="C2594" s="172"/>
      <c r="D2594" s="173"/>
      <c r="E2594" s="402">
        <f>C2577*C2578*C2580</f>
        <v>0.8</v>
      </c>
      <c r="F2594" s="390" t="s">
        <v>1124</v>
      </c>
      <c r="G2594" s="196"/>
      <c r="H2594" s="196"/>
      <c r="I2594" s="196"/>
      <c r="J2594" s="114"/>
      <c r="AW2594" s="117"/>
      <c r="AX2594" s="117"/>
      <c r="AY2594" s="117"/>
      <c r="AZ2594" s="117"/>
      <c r="BA2594" s="117"/>
      <c r="BB2594" s="117"/>
      <c r="BC2594" s="117"/>
      <c r="BD2594" s="117"/>
    </row>
    <row r="2595" spans="1:56">
      <c r="A2595" s="114"/>
      <c r="B2595" s="115"/>
      <c r="C2595" s="115"/>
      <c r="D2595" s="115"/>
      <c r="E2595" s="115"/>
      <c r="F2595" s="115"/>
      <c r="G2595" s="115"/>
      <c r="H2595" s="115"/>
      <c r="I2595" s="115"/>
      <c r="J2595" s="114"/>
      <c r="AW2595" s="117"/>
      <c r="AX2595" s="117"/>
      <c r="AY2595" s="117"/>
      <c r="AZ2595" s="117"/>
      <c r="BA2595" s="117"/>
      <c r="BB2595" s="117"/>
      <c r="BC2595" s="117"/>
      <c r="BD2595" s="117"/>
    </row>
    <row r="2596" spans="1:56">
      <c r="A2596" s="114"/>
      <c r="B2596" s="115"/>
      <c r="C2596" s="115"/>
      <c r="D2596" s="115"/>
      <c r="E2596" s="115"/>
      <c r="F2596" s="115"/>
      <c r="G2596" s="115"/>
      <c r="H2596" s="115"/>
      <c r="I2596" s="115"/>
      <c r="J2596" s="114"/>
      <c r="AW2596" s="117"/>
      <c r="AX2596" s="117"/>
      <c r="AY2596" s="117"/>
      <c r="AZ2596" s="117"/>
      <c r="BA2596" s="117"/>
      <c r="BB2596" s="117"/>
      <c r="BC2596" s="117"/>
      <c r="BD2596" s="117"/>
    </row>
    <row r="2597" spans="1:56">
      <c r="A2597" s="114"/>
      <c r="B2597" s="115"/>
      <c r="C2597" s="115"/>
      <c r="D2597" s="115"/>
      <c r="E2597" s="115"/>
      <c r="F2597" s="115"/>
      <c r="G2597" s="115"/>
      <c r="H2597" s="115"/>
      <c r="I2597" s="115"/>
      <c r="J2597" s="114"/>
      <c r="AW2597" s="117"/>
      <c r="AX2597" s="117"/>
      <c r="AY2597" s="117"/>
      <c r="AZ2597" s="117"/>
      <c r="BA2597" s="117"/>
      <c r="BB2597" s="117"/>
      <c r="BC2597" s="117"/>
      <c r="BD2597" s="117"/>
    </row>
    <row r="2598" spans="1:56">
      <c r="A2598" s="114"/>
      <c r="B2598" s="385" t="s">
        <v>1223</v>
      </c>
      <c r="C2598" s="196"/>
      <c r="D2598" s="196"/>
      <c r="E2598" s="196"/>
      <c r="F2598" s="196"/>
      <c r="G2598" s="196"/>
      <c r="H2598" s="196"/>
      <c r="I2598" s="196"/>
      <c r="J2598" s="196"/>
      <c r="AX2598" s="117"/>
      <c r="AY2598" s="117"/>
      <c r="AZ2598" s="117"/>
      <c r="BA2598" s="117"/>
      <c r="BB2598" s="117"/>
      <c r="BC2598" s="117"/>
      <c r="BD2598" s="117"/>
    </row>
    <row r="2599" spans="1:56" ht="15">
      <c r="A2599" s="114"/>
      <c r="B2599" s="362"/>
      <c r="C2599" s="362"/>
      <c r="D2599" s="362"/>
      <c r="E2599" s="362"/>
      <c r="F2599" s="404"/>
      <c r="G2599" s="404"/>
      <c r="H2599" s="404"/>
      <c r="I2599" s="404"/>
      <c r="J2599" s="404"/>
      <c r="AX2599" s="117"/>
      <c r="AY2599" s="117"/>
      <c r="AZ2599" s="117"/>
      <c r="BA2599" s="117"/>
      <c r="BB2599" s="117"/>
      <c r="BC2599" s="117"/>
      <c r="BD2599" s="117"/>
    </row>
    <row r="2600" spans="1:56" ht="18">
      <c r="A2600" s="114"/>
      <c r="B2600" s="388" t="s">
        <v>1141</v>
      </c>
      <c r="C2600" s="389">
        <v>0.4</v>
      </c>
      <c r="D2600" s="390" t="s">
        <v>10</v>
      </c>
      <c r="E2600" s="196"/>
      <c r="F2600" s="405"/>
      <c r="G2600" s="406" t="s">
        <v>1142</v>
      </c>
      <c r="H2600" s="407">
        <f>C2600*C2601</f>
        <v>0.1</v>
      </c>
      <c r="I2600" s="405" t="s">
        <v>1143</v>
      </c>
      <c r="J2600" s="405"/>
      <c r="AX2600" s="117"/>
      <c r="AY2600" s="117"/>
      <c r="AZ2600" s="117"/>
      <c r="BA2600" s="117"/>
      <c r="BB2600" s="117"/>
      <c r="BC2600" s="117"/>
      <c r="BD2600" s="117"/>
    </row>
    <row r="2601" spans="1:56" ht="15">
      <c r="A2601" s="114"/>
      <c r="B2601" s="388" t="s">
        <v>1144</v>
      </c>
      <c r="C2601" s="389">
        <v>0.25</v>
      </c>
      <c r="D2601" s="390" t="s">
        <v>10</v>
      </c>
      <c r="E2601" s="196"/>
      <c r="F2601" s="405"/>
      <c r="G2601" s="406" t="e">
        <f>TEXT(C2608,"tg 0°=")</f>
        <v>#VALUE!</v>
      </c>
      <c r="H2601" s="408">
        <f>TAN(3.14159265359*C2608/180)</f>
        <v>1.732050807569153</v>
      </c>
      <c r="I2601" s="405"/>
      <c r="J2601" s="405"/>
      <c r="AX2601" s="117"/>
      <c r="AY2601" s="117"/>
      <c r="AZ2601" s="117"/>
      <c r="BA2601" s="117"/>
      <c r="BB2601" s="117"/>
      <c r="BC2601" s="117"/>
      <c r="BD2601" s="117"/>
    </row>
    <row r="2602" spans="1:56" ht="15">
      <c r="A2602" s="114"/>
      <c r="B2602" s="388" t="s">
        <v>1145</v>
      </c>
      <c r="C2602" s="389">
        <v>1.25</v>
      </c>
      <c r="D2602" s="390" t="s">
        <v>10</v>
      </c>
      <c r="E2602" s="196"/>
      <c r="F2602" s="405"/>
      <c r="G2602" s="406"/>
      <c r="H2602" s="407"/>
      <c r="I2602" s="405"/>
      <c r="J2602" s="405"/>
      <c r="AX2602" s="117"/>
      <c r="AY2602" s="117"/>
      <c r="AZ2602" s="117"/>
      <c r="BA2602" s="117"/>
      <c r="BB2602" s="117"/>
      <c r="BC2602" s="117"/>
      <c r="BD2602" s="117"/>
    </row>
    <row r="2603" spans="1:56" ht="18">
      <c r="A2603" s="114"/>
      <c r="B2603" s="388" t="s">
        <v>1146</v>
      </c>
      <c r="C2603" s="389">
        <v>0.5</v>
      </c>
      <c r="D2603" s="390" t="s">
        <v>10</v>
      </c>
      <c r="E2603" s="196"/>
      <c r="F2603" s="405"/>
      <c r="G2603" s="406" t="s">
        <v>1142</v>
      </c>
      <c r="H2603" s="409">
        <f>(C2602+2*C2610+((C2604+C2605+0.05)/H2601)*2)*(C2603+2*C2610+((C2604+C2605+0.05)/H2601)*2)</f>
        <v>11.25749845793057</v>
      </c>
      <c r="I2603" s="405" t="s">
        <v>1143</v>
      </c>
      <c r="J2603" s="405"/>
      <c r="AX2603" s="117"/>
      <c r="AY2603" s="117"/>
      <c r="AZ2603" s="117"/>
      <c r="BA2603" s="117"/>
      <c r="BB2603" s="117"/>
      <c r="BC2603" s="117"/>
      <c r="BD2603" s="117"/>
    </row>
    <row r="2604" spans="1:56" ht="18">
      <c r="A2604" s="114"/>
      <c r="B2604" s="388" t="s">
        <v>1112</v>
      </c>
      <c r="C2604" s="389">
        <v>0.4</v>
      </c>
      <c r="D2604" s="390" t="s">
        <v>10</v>
      </c>
      <c r="E2604" s="196"/>
      <c r="F2604" s="405"/>
      <c r="G2604" s="406" t="s">
        <v>1147</v>
      </c>
      <c r="H2604" s="409">
        <f>(C2602+2*C2610)*(C2603+2*C2610)</f>
        <v>3.375</v>
      </c>
      <c r="I2604" s="405" t="s">
        <v>1143</v>
      </c>
      <c r="J2604" s="405"/>
      <c r="AX2604" s="117"/>
      <c r="AY2604" s="117"/>
      <c r="AZ2604" s="117"/>
      <c r="BA2604" s="117"/>
      <c r="BB2604" s="117"/>
      <c r="BC2604" s="117"/>
      <c r="BD2604" s="117"/>
    </row>
    <row r="2605" spans="1:56" ht="15">
      <c r="A2605" s="114"/>
      <c r="B2605" s="388" t="s">
        <v>1113</v>
      </c>
      <c r="C2605" s="389">
        <v>0.85</v>
      </c>
      <c r="D2605" s="390" t="s">
        <v>10</v>
      </c>
      <c r="E2605" s="196"/>
      <c r="F2605" s="405"/>
      <c r="G2605" s="406"/>
      <c r="H2605" s="407"/>
      <c r="I2605" s="405"/>
      <c r="J2605" s="405"/>
      <c r="AX2605" s="117"/>
      <c r="AY2605" s="117"/>
      <c r="AZ2605" s="117"/>
      <c r="BA2605" s="117"/>
      <c r="BB2605" s="117"/>
      <c r="BC2605" s="117"/>
      <c r="BD2605" s="117"/>
    </row>
    <row r="2606" spans="1:56" ht="15">
      <c r="A2606" s="114"/>
      <c r="B2606" s="388" t="s">
        <v>1117</v>
      </c>
      <c r="C2606" s="391">
        <v>16</v>
      </c>
      <c r="D2606" s="390" t="s">
        <v>1118</v>
      </c>
      <c r="E2606" s="196"/>
      <c r="F2606" s="405"/>
      <c r="G2606" s="406"/>
      <c r="H2606" s="407"/>
      <c r="I2606" s="405"/>
      <c r="J2606" s="405"/>
      <c r="AX2606" s="117"/>
      <c r="AY2606" s="117"/>
      <c r="AZ2606" s="117"/>
      <c r="BA2606" s="117"/>
      <c r="BB2606" s="117"/>
      <c r="BC2606" s="117"/>
      <c r="BD2606" s="117"/>
    </row>
    <row r="2607" spans="1:56" ht="15">
      <c r="A2607" s="114"/>
      <c r="B2607" s="196" t="s">
        <v>1148</v>
      </c>
      <c r="C2607" s="393"/>
      <c r="D2607" s="196"/>
      <c r="E2607" s="196"/>
      <c r="F2607" s="405"/>
      <c r="G2607" s="406"/>
      <c r="H2607" s="407"/>
      <c r="I2607" s="405"/>
      <c r="J2607" s="405"/>
      <c r="AX2607" s="117"/>
      <c r="AY2607" s="117"/>
      <c r="AZ2607" s="117"/>
      <c r="BA2607" s="117"/>
      <c r="BB2607" s="117"/>
      <c r="BC2607" s="117"/>
      <c r="BD2607" s="117"/>
    </row>
    <row r="2608" spans="1:56" ht="15">
      <c r="A2608" s="114"/>
      <c r="B2608" s="388" t="s">
        <v>1149</v>
      </c>
      <c r="C2608" s="389">
        <v>60</v>
      </c>
      <c r="D2608" s="390" t="s">
        <v>1150</v>
      </c>
      <c r="E2608" s="196"/>
      <c r="F2608" s="196"/>
      <c r="G2608" s="392"/>
      <c r="H2608" s="393"/>
      <c r="I2608" s="196"/>
      <c r="J2608" s="196"/>
      <c r="AX2608" s="117"/>
      <c r="AY2608" s="117"/>
      <c r="AZ2608" s="117"/>
      <c r="BA2608" s="117"/>
      <c r="BB2608" s="117"/>
      <c r="BC2608" s="117"/>
      <c r="BD2608" s="117"/>
    </row>
    <row r="2609" spans="1:56" ht="15">
      <c r="A2609" s="114"/>
      <c r="B2609" s="362"/>
      <c r="C2609" s="196"/>
      <c r="D2609" s="196"/>
      <c r="E2609" s="196"/>
      <c r="F2609" s="196"/>
      <c r="G2609" s="362"/>
      <c r="H2609" s="362"/>
      <c r="I2609" s="362"/>
      <c r="J2609" s="196"/>
      <c r="AX2609" s="117"/>
      <c r="AY2609" s="117"/>
      <c r="AZ2609" s="117"/>
      <c r="BA2609" s="117"/>
      <c r="BB2609" s="117"/>
      <c r="BC2609" s="117"/>
      <c r="BD2609" s="117"/>
    </row>
    <row r="2610" spans="1:56" ht="15">
      <c r="A2610" s="114"/>
      <c r="B2610" s="388" t="s">
        <v>1114</v>
      </c>
      <c r="C2610" s="389">
        <v>0.5</v>
      </c>
      <c r="D2610" s="390" t="s">
        <v>10</v>
      </c>
      <c r="E2610" s="288" t="s">
        <v>1120</v>
      </c>
      <c r="F2610" s="196"/>
      <c r="G2610" s="362"/>
      <c r="H2610" s="196" t="s">
        <v>1131</v>
      </c>
      <c r="I2610" s="362"/>
      <c r="J2610" s="196"/>
      <c r="AX2610" s="117"/>
      <c r="AY2610" s="117"/>
      <c r="AZ2610" s="117"/>
      <c r="BA2610" s="117"/>
      <c r="BB2610" s="117"/>
      <c r="BC2610" s="117"/>
      <c r="BD2610" s="117"/>
    </row>
    <row r="2611" spans="1:56" ht="15">
      <c r="A2611" s="114"/>
      <c r="B2611" s="388" t="s">
        <v>1114</v>
      </c>
      <c r="C2611" s="389">
        <v>0.1</v>
      </c>
      <c r="D2611" s="390" t="s">
        <v>10</v>
      </c>
      <c r="E2611" s="288" t="s">
        <v>1121</v>
      </c>
      <c r="F2611" s="196"/>
      <c r="G2611" s="196"/>
      <c r="H2611" s="196"/>
      <c r="I2611" s="196"/>
      <c r="J2611" s="196"/>
      <c r="AX2611" s="117"/>
      <c r="AY2611" s="117"/>
      <c r="AZ2611" s="117"/>
      <c r="BA2611" s="117"/>
      <c r="BB2611" s="117"/>
      <c r="BC2611" s="117"/>
      <c r="BD2611" s="117"/>
    </row>
    <row r="2612" spans="1:56" ht="15">
      <c r="A2612" s="114"/>
      <c r="B2612" s="362"/>
      <c r="C2612" s="362"/>
      <c r="D2612" s="362"/>
      <c r="E2612" s="362"/>
      <c r="F2612" s="362"/>
      <c r="G2612" s="114"/>
      <c r="H2612" s="362"/>
      <c r="I2612" s="196"/>
      <c r="J2612" s="196"/>
      <c r="AX2612" s="117"/>
      <c r="AY2612" s="117"/>
      <c r="AZ2612" s="117"/>
      <c r="BA2612" s="117"/>
      <c r="BB2612" s="117"/>
      <c r="BC2612" s="117"/>
      <c r="BD2612" s="117"/>
    </row>
    <row r="2613" spans="1:56" ht="15">
      <c r="A2613" s="114"/>
      <c r="B2613" s="303" t="s">
        <v>1122</v>
      </c>
      <c r="C2613" s="362"/>
      <c r="D2613" s="362"/>
      <c r="E2613" s="362"/>
      <c r="F2613" s="362"/>
      <c r="G2613" s="196"/>
      <c r="H2613" s="196"/>
      <c r="I2613" s="196"/>
      <c r="J2613" s="196"/>
      <c r="AX2613" s="117"/>
      <c r="AY2613" s="117"/>
      <c r="AZ2613" s="117"/>
      <c r="BA2613" s="117"/>
      <c r="BB2613" s="117"/>
      <c r="BC2613" s="117"/>
      <c r="BD2613" s="117"/>
    </row>
    <row r="2614" spans="1:56" ht="18">
      <c r="A2614" s="114"/>
      <c r="B2614" s="398" t="s">
        <v>1123</v>
      </c>
      <c r="C2614" s="172"/>
      <c r="D2614" s="173"/>
      <c r="E2614" s="397">
        <f>C2606*((H2604+H2603)/2)*(C2604+C2605+0.05)</f>
        <v>152.17798396247792</v>
      </c>
      <c r="F2614" s="390" t="s">
        <v>1124</v>
      </c>
      <c r="G2614" s="196"/>
      <c r="H2614" s="362"/>
      <c r="I2614" s="362"/>
      <c r="J2614" s="362"/>
      <c r="AX2614" s="117"/>
      <c r="AY2614" s="117"/>
      <c r="AZ2614" s="117"/>
      <c r="BA2614" s="117"/>
      <c r="BB2614" s="117"/>
      <c r="BC2614" s="117"/>
      <c r="BD2614" s="117"/>
    </row>
    <row r="2615" spans="1:56" ht="18">
      <c r="A2615" s="114"/>
      <c r="B2615" s="398" t="s">
        <v>1125</v>
      </c>
      <c r="C2615" s="172"/>
      <c r="D2615" s="173"/>
      <c r="E2615" s="400">
        <f>E2614-(E2626+E2628)</f>
        <v>142.86598396247791</v>
      </c>
      <c r="F2615" s="390" t="s">
        <v>1124</v>
      </c>
      <c r="G2615" s="196"/>
      <c r="H2615" s="196"/>
      <c r="I2615" s="196"/>
      <c r="J2615" s="196"/>
      <c r="AX2615" s="117"/>
      <c r="AY2615" s="117"/>
      <c r="AZ2615" s="117"/>
      <c r="BA2615" s="117"/>
      <c r="BB2615" s="117"/>
      <c r="BC2615" s="117"/>
      <c r="BD2615" s="117"/>
    </row>
    <row r="2616" spans="1:56" ht="15">
      <c r="A2616" s="114"/>
      <c r="B2616" s="398" t="s">
        <v>1126</v>
      </c>
      <c r="C2616" s="172"/>
      <c r="D2616" s="173"/>
      <c r="E2616" s="400">
        <f>((C2602+2*C2611)*(C2603+2*C2611))*C2606</f>
        <v>16.239999999999998</v>
      </c>
      <c r="F2616" s="390" t="s">
        <v>13</v>
      </c>
      <c r="G2616" s="362"/>
      <c r="H2616" s="362"/>
      <c r="I2616" s="362"/>
      <c r="J2616" s="362"/>
      <c r="AX2616" s="117"/>
      <c r="AY2616" s="117"/>
      <c r="AZ2616" s="117"/>
      <c r="BA2616" s="117"/>
      <c r="BB2616" s="117"/>
      <c r="BC2616" s="117"/>
      <c r="BD2616" s="117"/>
    </row>
    <row r="2617" spans="1:56" ht="15">
      <c r="A2617" s="114"/>
      <c r="B2617" s="362"/>
      <c r="C2617" s="362"/>
      <c r="D2617" s="362"/>
      <c r="E2617" s="401"/>
      <c r="F2617" s="196"/>
      <c r="G2617" s="362"/>
      <c r="H2617" s="362"/>
      <c r="I2617" s="362"/>
      <c r="J2617" s="362"/>
      <c r="AX2617" s="117"/>
      <c r="AY2617" s="117"/>
      <c r="AZ2617" s="117"/>
      <c r="BA2617" s="117"/>
      <c r="BB2617" s="117"/>
      <c r="BC2617" s="117"/>
      <c r="BD2617" s="117"/>
    </row>
    <row r="2618" spans="1:56" ht="15">
      <c r="A2618" s="114"/>
      <c r="B2618" s="303" t="s">
        <v>1162</v>
      </c>
      <c r="C2618" s="362"/>
      <c r="D2618" s="362"/>
      <c r="E2618" s="410"/>
      <c r="F2618" s="362"/>
      <c r="G2618" s="362"/>
      <c r="H2618" s="362"/>
      <c r="I2618" s="362"/>
      <c r="J2618" s="362"/>
      <c r="AX2618" s="117"/>
      <c r="AY2618" s="117"/>
      <c r="AZ2618" s="117"/>
      <c r="BA2618" s="117"/>
      <c r="BB2618" s="117"/>
      <c r="BC2618" s="117"/>
      <c r="BD2618" s="117"/>
    </row>
    <row r="2619" spans="1:56" ht="15">
      <c r="A2619" s="114"/>
      <c r="B2619" s="398" t="s">
        <v>1152</v>
      </c>
      <c r="C2619" s="398"/>
      <c r="D2619" s="366"/>
      <c r="E2619" s="411">
        <v>2</v>
      </c>
      <c r="F2619" s="390" t="s">
        <v>1153</v>
      </c>
      <c r="G2619" s="362"/>
      <c r="H2619" s="362"/>
      <c r="I2619" s="362"/>
      <c r="J2619" s="362"/>
      <c r="AX2619" s="117"/>
      <c r="AY2619" s="117"/>
      <c r="AZ2619" s="117"/>
      <c r="BA2619" s="117"/>
      <c r="BB2619" s="117"/>
      <c r="BC2619" s="117"/>
      <c r="BD2619" s="117"/>
    </row>
    <row r="2620" spans="1:56" ht="15">
      <c r="A2620" s="114"/>
      <c r="B2620" s="399" t="s">
        <v>1154</v>
      </c>
      <c r="C2620" s="31"/>
      <c r="D2620" s="32"/>
      <c r="E2620" s="412">
        <f>C2606*E2619</f>
        <v>32</v>
      </c>
      <c r="F2620" s="390" t="s">
        <v>1153</v>
      </c>
      <c r="G2620" s="362"/>
      <c r="H2620" s="362"/>
      <c r="I2620" s="362"/>
      <c r="J2620" s="362"/>
      <c r="AX2620" s="117"/>
      <c r="AY2620" s="117"/>
      <c r="AZ2620" s="117"/>
      <c r="BA2620" s="117"/>
      <c r="BB2620" s="117"/>
      <c r="BC2620" s="117"/>
      <c r="BD2620" s="117"/>
    </row>
    <row r="2621" spans="1:56" ht="15">
      <c r="A2621" s="114"/>
      <c r="B2621" s="398" t="s">
        <v>1155</v>
      </c>
      <c r="C2621" s="21"/>
      <c r="D2621" s="413"/>
      <c r="E2621" s="411">
        <v>250</v>
      </c>
      <c r="F2621" s="390" t="s">
        <v>1156</v>
      </c>
      <c r="G2621" s="362"/>
      <c r="H2621" s="414"/>
      <c r="I2621" s="362"/>
      <c r="J2621" s="415"/>
      <c r="AX2621" s="117"/>
      <c r="AY2621" s="117"/>
      <c r="AZ2621" s="117"/>
      <c r="BA2621" s="117"/>
      <c r="BB2621" s="117"/>
      <c r="BC2621" s="117"/>
      <c r="BD2621" s="117"/>
    </row>
    <row r="2622" spans="1:56" ht="15">
      <c r="A2622" s="114"/>
      <c r="B2622" s="398" t="s">
        <v>1157</v>
      </c>
      <c r="C2622" s="21"/>
      <c r="D2622" s="413"/>
      <c r="E2622" s="411">
        <v>12</v>
      </c>
      <c r="F2622" s="390" t="s">
        <v>10</v>
      </c>
      <c r="G2622" s="362"/>
      <c r="H2622" s="6"/>
      <c r="I2622" s="362"/>
      <c r="J2622" s="362"/>
      <c r="AX2622" s="117"/>
      <c r="AY2622" s="117"/>
      <c r="AZ2622" s="117"/>
      <c r="BA2622" s="117"/>
      <c r="BB2622" s="117"/>
      <c r="BC2622" s="117"/>
      <c r="BD2622" s="117"/>
    </row>
    <row r="2623" spans="1:56" ht="15">
      <c r="A2623" s="114"/>
      <c r="B2623" s="398" t="s">
        <v>1158</v>
      </c>
      <c r="C2623" s="21"/>
      <c r="D2623" s="413"/>
      <c r="E2623" s="412">
        <f>E2620*E2622</f>
        <v>384</v>
      </c>
      <c r="F2623" s="390" t="s">
        <v>10</v>
      </c>
      <c r="G2623" s="362"/>
      <c r="H2623" s="362"/>
      <c r="I2623" s="362"/>
      <c r="J2623" s="362"/>
      <c r="AX2623" s="117"/>
      <c r="AY2623" s="117"/>
      <c r="AZ2623" s="117"/>
      <c r="BA2623" s="117"/>
      <c r="BB2623" s="117"/>
      <c r="BC2623" s="117"/>
      <c r="BD2623" s="117"/>
    </row>
    <row r="2624" spans="1:56" ht="15">
      <c r="A2624" s="114"/>
      <c r="B2624" s="362"/>
      <c r="C2624" s="362"/>
      <c r="D2624" s="362"/>
      <c r="E2624" s="410"/>
      <c r="F2624" s="362"/>
      <c r="G2624" s="362"/>
      <c r="H2624" s="362"/>
      <c r="I2624" s="362"/>
      <c r="J2624" s="362"/>
      <c r="AX2624" s="117"/>
      <c r="AY2624" s="117"/>
      <c r="AZ2624" s="117"/>
      <c r="BA2624" s="117"/>
      <c r="BB2624" s="117"/>
      <c r="BC2624" s="117"/>
      <c r="BD2624" s="117"/>
    </row>
    <row r="2625" spans="1:56" ht="15">
      <c r="A2625" s="114"/>
      <c r="B2625" s="303" t="s">
        <v>1160</v>
      </c>
      <c r="C2625" s="362"/>
      <c r="D2625" s="362"/>
      <c r="E2625" s="410"/>
      <c r="F2625" s="362"/>
      <c r="G2625" s="362"/>
      <c r="H2625" s="362"/>
      <c r="I2625" s="362"/>
      <c r="J2625" s="362"/>
      <c r="AX2625" s="117"/>
      <c r="AY2625" s="117"/>
      <c r="AZ2625" s="117"/>
      <c r="BA2625" s="117"/>
      <c r="BB2625" s="117"/>
      <c r="BC2625" s="117"/>
      <c r="BD2625" s="117"/>
    </row>
    <row r="2626" spans="1:56" ht="18">
      <c r="A2626" s="114"/>
      <c r="B2626" s="398" t="s">
        <v>1128</v>
      </c>
      <c r="C2626" s="172"/>
      <c r="D2626" s="173"/>
      <c r="E2626" s="402">
        <f>E2616*0.05</f>
        <v>0.81199999999999994</v>
      </c>
      <c r="F2626" s="390" t="s">
        <v>1124</v>
      </c>
      <c r="G2626" s="362"/>
      <c r="H2626" s="362"/>
      <c r="I2626" s="362"/>
      <c r="J2626" s="362"/>
      <c r="AX2626" s="117"/>
      <c r="AY2626" s="117"/>
      <c r="AZ2626" s="117"/>
      <c r="BA2626" s="117"/>
      <c r="BB2626" s="117"/>
      <c r="BC2626" s="117"/>
      <c r="BD2626" s="117"/>
    </row>
    <row r="2627" spans="1:56" ht="15">
      <c r="A2627" s="114"/>
      <c r="B2627" s="398" t="s">
        <v>1129</v>
      </c>
      <c r="C2627" s="172"/>
      <c r="D2627" s="173"/>
      <c r="E2627" s="397">
        <f>(2*(C2602+C2603)*C2605)*C2606</f>
        <v>47.6</v>
      </c>
      <c r="F2627" s="390" t="s">
        <v>13</v>
      </c>
      <c r="G2627" s="362"/>
      <c r="H2627" s="362"/>
      <c r="I2627" s="362"/>
      <c r="J2627" s="362"/>
      <c r="AX2627" s="117"/>
      <c r="AY2627" s="117"/>
      <c r="AZ2627" s="117"/>
      <c r="BA2627" s="117"/>
      <c r="BB2627" s="117"/>
      <c r="BC2627" s="117"/>
      <c r="BD2627" s="117"/>
    </row>
    <row r="2628" spans="1:56" ht="18">
      <c r="A2628" s="114"/>
      <c r="B2628" s="398" t="s">
        <v>1130</v>
      </c>
      <c r="C2628" s="172"/>
      <c r="D2628" s="173"/>
      <c r="E2628" s="402">
        <f>(C2602*C2603*C2605)*C2606</f>
        <v>8.5</v>
      </c>
      <c r="F2628" s="390" t="s">
        <v>1124</v>
      </c>
      <c r="G2628" s="362"/>
      <c r="H2628" s="362"/>
      <c r="I2628" s="362"/>
      <c r="J2628" s="362"/>
      <c r="AX2628" s="117"/>
      <c r="AY2628" s="117"/>
      <c r="AZ2628" s="117"/>
      <c r="BA2628" s="117"/>
      <c r="BB2628" s="117"/>
      <c r="BC2628" s="117"/>
      <c r="BD2628" s="117"/>
    </row>
    <row r="2629" spans="1:56" ht="15">
      <c r="A2629" s="114"/>
      <c r="B2629" s="196"/>
      <c r="C2629" s="196"/>
      <c r="D2629" s="196"/>
      <c r="E2629" s="196"/>
      <c r="F2629" s="196"/>
      <c r="G2629" s="196"/>
      <c r="H2629" s="196"/>
      <c r="I2629" s="196"/>
      <c r="J2629" s="114"/>
      <c r="AW2629" s="117"/>
      <c r="AX2629" s="117"/>
      <c r="AY2629" s="117"/>
      <c r="AZ2629" s="117"/>
      <c r="BA2629" s="117"/>
      <c r="BB2629" s="117"/>
      <c r="BC2629" s="117"/>
      <c r="BD2629" s="117"/>
    </row>
    <row r="2630" spans="1:56" ht="15">
      <c r="A2630" s="114"/>
      <c r="B2630" s="196"/>
      <c r="C2630" s="196"/>
      <c r="D2630" s="196"/>
      <c r="E2630" s="196"/>
      <c r="F2630" s="196"/>
      <c r="G2630" s="196"/>
      <c r="H2630" s="196"/>
      <c r="I2630" s="196"/>
      <c r="J2630" s="114"/>
      <c r="AW2630" s="117"/>
      <c r="AX2630" s="117"/>
      <c r="AY2630" s="117"/>
      <c r="AZ2630" s="117"/>
      <c r="BA2630" s="117"/>
      <c r="BB2630" s="117"/>
      <c r="BC2630" s="117"/>
      <c r="BD2630" s="117"/>
    </row>
    <row r="2631" spans="1:56">
      <c r="A2631" s="114"/>
      <c r="B2631" s="385" t="s">
        <v>1224</v>
      </c>
      <c r="C2631" s="196"/>
      <c r="D2631" s="196"/>
      <c r="E2631" s="196"/>
      <c r="F2631" s="196"/>
      <c r="G2631" s="196"/>
      <c r="H2631" s="196"/>
      <c r="I2631" s="196"/>
      <c r="J2631" s="196"/>
      <c r="AX2631" s="117"/>
      <c r="AY2631" s="117"/>
      <c r="AZ2631" s="117"/>
      <c r="BA2631" s="117"/>
      <c r="BB2631" s="117"/>
      <c r="BC2631" s="117"/>
      <c r="BD2631" s="117"/>
    </row>
    <row r="2632" spans="1:56" ht="15">
      <c r="A2632" s="114"/>
      <c r="B2632" s="362"/>
      <c r="C2632" s="362"/>
      <c r="D2632" s="362"/>
      <c r="E2632" s="362"/>
      <c r="F2632" s="404"/>
      <c r="G2632" s="404"/>
      <c r="H2632" s="404"/>
      <c r="I2632" s="404"/>
      <c r="J2632" s="404"/>
      <c r="AX2632" s="117"/>
      <c r="AY2632" s="117"/>
      <c r="AZ2632" s="117"/>
      <c r="BA2632" s="117"/>
      <c r="BB2632" s="117"/>
      <c r="BC2632" s="117"/>
      <c r="BD2632" s="117"/>
    </row>
    <row r="2633" spans="1:56" ht="18">
      <c r="A2633" s="114"/>
      <c r="B2633" s="388" t="s">
        <v>1141</v>
      </c>
      <c r="C2633" s="389">
        <v>0.4</v>
      </c>
      <c r="D2633" s="390" t="s">
        <v>10</v>
      </c>
      <c r="E2633" s="196"/>
      <c r="F2633" s="405"/>
      <c r="G2633" s="406" t="s">
        <v>1142</v>
      </c>
      <c r="H2633" s="407">
        <f>C2633*C2634</f>
        <v>20.8</v>
      </c>
      <c r="I2633" s="405" t="s">
        <v>1143</v>
      </c>
      <c r="J2633" s="405"/>
      <c r="AX2633" s="117"/>
      <c r="AY2633" s="117"/>
      <c r="AZ2633" s="117"/>
      <c r="BA2633" s="117"/>
      <c r="BB2633" s="117"/>
      <c r="BC2633" s="117"/>
      <c r="BD2633" s="117"/>
    </row>
    <row r="2634" spans="1:56" ht="15">
      <c r="A2634" s="114"/>
      <c r="B2634" s="388" t="s">
        <v>1144</v>
      </c>
      <c r="C2634" s="389">
        <v>52</v>
      </c>
      <c r="D2634" s="390" t="s">
        <v>10</v>
      </c>
      <c r="E2634" s="196"/>
      <c r="F2634" s="405"/>
      <c r="G2634" s="406" t="e">
        <f>TEXT(C2641,"tg 0°=")</f>
        <v>#VALUE!</v>
      </c>
      <c r="H2634" s="408">
        <f>TAN(3.14159265359*C2641/180)</f>
        <v>1.732050807569153</v>
      </c>
      <c r="I2634" s="405"/>
      <c r="J2634" s="405"/>
      <c r="AX2634" s="117"/>
      <c r="AY2634" s="117"/>
      <c r="AZ2634" s="117"/>
      <c r="BA2634" s="117"/>
      <c r="BB2634" s="117"/>
      <c r="BC2634" s="117"/>
      <c r="BD2634" s="117"/>
    </row>
    <row r="2635" spans="1:56" ht="15">
      <c r="A2635" s="114"/>
      <c r="B2635" s="388" t="s">
        <v>1145</v>
      </c>
      <c r="C2635" s="389">
        <v>1.25</v>
      </c>
      <c r="D2635" s="390" t="s">
        <v>10</v>
      </c>
      <c r="E2635" s="196"/>
      <c r="F2635" s="405"/>
      <c r="G2635" s="406"/>
      <c r="H2635" s="407"/>
      <c r="I2635" s="405"/>
      <c r="J2635" s="405"/>
      <c r="AX2635" s="117"/>
      <c r="AY2635" s="117"/>
      <c r="AZ2635" s="117"/>
      <c r="BA2635" s="117"/>
      <c r="BB2635" s="117"/>
      <c r="BC2635" s="117"/>
      <c r="BD2635" s="117"/>
    </row>
    <row r="2636" spans="1:56" ht="18">
      <c r="A2636" s="114"/>
      <c r="B2636" s="388" t="s">
        <v>1146</v>
      </c>
      <c r="C2636" s="389">
        <v>1.25</v>
      </c>
      <c r="D2636" s="390" t="s">
        <v>10</v>
      </c>
      <c r="E2636" s="196"/>
      <c r="F2636" s="405"/>
      <c r="G2636" s="406" t="s">
        <v>1142</v>
      </c>
      <c r="H2636" s="409">
        <f>(C2635+2*C2643+((C2637+C2638+0.05)/H2634)*2)*(C2636+2*C2643+((C2637+C2638+0.05)/H2634)*2)</f>
        <v>14.070831482850162</v>
      </c>
      <c r="I2636" s="405" t="s">
        <v>1143</v>
      </c>
      <c r="J2636" s="405"/>
      <c r="AX2636" s="117"/>
      <c r="AY2636" s="117"/>
      <c r="AZ2636" s="117"/>
      <c r="BA2636" s="117"/>
      <c r="BB2636" s="117"/>
      <c r="BC2636" s="117"/>
      <c r="BD2636" s="117"/>
    </row>
    <row r="2637" spans="1:56" ht="18">
      <c r="A2637" s="114"/>
      <c r="B2637" s="388" t="s">
        <v>1112</v>
      </c>
      <c r="C2637" s="389">
        <v>0.4</v>
      </c>
      <c r="D2637" s="390" t="s">
        <v>10</v>
      </c>
      <c r="E2637" s="196"/>
      <c r="F2637" s="405"/>
      <c r="G2637" s="406" t="s">
        <v>1147</v>
      </c>
      <c r="H2637" s="409">
        <f>(C2635+2*C2643)*(C2636+2*C2643)</f>
        <v>5.0625</v>
      </c>
      <c r="I2637" s="405" t="s">
        <v>1143</v>
      </c>
      <c r="J2637" s="405"/>
      <c r="AX2637" s="117"/>
      <c r="AY2637" s="117"/>
      <c r="AZ2637" s="117"/>
      <c r="BA2637" s="117"/>
      <c r="BB2637" s="117"/>
      <c r="BC2637" s="117"/>
      <c r="BD2637" s="117"/>
    </row>
    <row r="2638" spans="1:56" ht="15">
      <c r="A2638" s="114"/>
      <c r="B2638" s="388" t="s">
        <v>1113</v>
      </c>
      <c r="C2638" s="389">
        <v>0.85</v>
      </c>
      <c r="D2638" s="390" t="s">
        <v>10</v>
      </c>
      <c r="E2638" s="196"/>
      <c r="F2638" s="405"/>
      <c r="G2638" s="406"/>
      <c r="H2638" s="407"/>
      <c r="I2638" s="405"/>
      <c r="J2638" s="405"/>
      <c r="AX2638" s="117"/>
      <c r="AY2638" s="117"/>
      <c r="AZ2638" s="117"/>
      <c r="BA2638" s="117"/>
      <c r="BB2638" s="117"/>
      <c r="BC2638" s="117"/>
      <c r="BD2638" s="117"/>
    </row>
    <row r="2639" spans="1:56" ht="15">
      <c r="A2639" s="114"/>
      <c r="B2639" s="388" t="s">
        <v>1117</v>
      </c>
      <c r="C2639" s="391">
        <v>2</v>
      </c>
      <c r="D2639" s="390" t="s">
        <v>1118</v>
      </c>
      <c r="E2639" s="196"/>
      <c r="F2639" s="405"/>
      <c r="G2639" s="406"/>
      <c r="H2639" s="407"/>
      <c r="I2639" s="405"/>
      <c r="J2639" s="405"/>
      <c r="AX2639" s="117"/>
      <c r="AY2639" s="117"/>
      <c r="AZ2639" s="117"/>
      <c r="BA2639" s="117"/>
      <c r="BB2639" s="117"/>
      <c r="BC2639" s="117"/>
      <c r="BD2639" s="117"/>
    </row>
    <row r="2640" spans="1:56" ht="15">
      <c r="A2640" s="114"/>
      <c r="B2640" s="196" t="s">
        <v>1148</v>
      </c>
      <c r="C2640" s="393"/>
      <c r="D2640" s="196"/>
      <c r="E2640" s="196"/>
      <c r="F2640" s="405"/>
      <c r="G2640" s="406"/>
      <c r="H2640" s="407"/>
      <c r="I2640" s="405"/>
      <c r="J2640" s="405"/>
      <c r="AX2640" s="117"/>
      <c r="AY2640" s="117"/>
      <c r="AZ2640" s="117"/>
      <c r="BA2640" s="117"/>
      <c r="BB2640" s="117"/>
      <c r="BC2640" s="117"/>
      <c r="BD2640" s="117"/>
    </row>
    <row r="2641" spans="1:56" ht="15">
      <c r="A2641" s="114"/>
      <c r="B2641" s="388" t="s">
        <v>1149</v>
      </c>
      <c r="C2641" s="389">
        <v>60</v>
      </c>
      <c r="D2641" s="390" t="s">
        <v>1150</v>
      </c>
      <c r="E2641" s="196"/>
      <c r="F2641" s="196"/>
      <c r="G2641" s="392"/>
      <c r="H2641" s="393"/>
      <c r="I2641" s="196"/>
      <c r="J2641" s="196"/>
      <c r="AX2641" s="117"/>
      <c r="AY2641" s="117"/>
      <c r="AZ2641" s="117"/>
      <c r="BA2641" s="117"/>
      <c r="BB2641" s="117"/>
      <c r="BC2641" s="117"/>
      <c r="BD2641" s="117"/>
    </row>
    <row r="2642" spans="1:56" ht="15">
      <c r="A2642" s="114"/>
      <c r="B2642" s="362"/>
      <c r="C2642" s="196"/>
      <c r="D2642" s="196"/>
      <c r="E2642" s="196"/>
      <c r="F2642" s="196"/>
      <c r="G2642" s="362"/>
      <c r="H2642" s="362"/>
      <c r="I2642" s="362"/>
      <c r="J2642" s="196"/>
      <c r="AX2642" s="117"/>
      <c r="AY2642" s="117"/>
      <c r="AZ2642" s="117"/>
      <c r="BA2642" s="117"/>
      <c r="BB2642" s="117"/>
      <c r="BC2642" s="117"/>
      <c r="BD2642" s="117"/>
    </row>
    <row r="2643" spans="1:56" ht="15">
      <c r="A2643" s="114"/>
      <c r="B2643" s="388" t="s">
        <v>1114</v>
      </c>
      <c r="C2643" s="389">
        <v>0.5</v>
      </c>
      <c r="D2643" s="390" t="s">
        <v>10</v>
      </c>
      <c r="E2643" s="288" t="s">
        <v>1120</v>
      </c>
      <c r="F2643" s="196"/>
      <c r="G2643" s="362"/>
      <c r="H2643" s="196" t="s">
        <v>1131</v>
      </c>
      <c r="I2643" s="362"/>
      <c r="J2643" s="196"/>
      <c r="AX2643" s="117"/>
      <c r="AY2643" s="117"/>
      <c r="AZ2643" s="117"/>
      <c r="BA2643" s="117"/>
      <c r="BB2643" s="117"/>
      <c r="BC2643" s="117"/>
      <c r="BD2643" s="117"/>
    </row>
    <row r="2644" spans="1:56" ht="15">
      <c r="A2644" s="114"/>
      <c r="B2644" s="388" t="s">
        <v>1114</v>
      </c>
      <c r="C2644" s="389">
        <v>0.1</v>
      </c>
      <c r="D2644" s="390" t="s">
        <v>10</v>
      </c>
      <c r="E2644" s="288" t="s">
        <v>1121</v>
      </c>
      <c r="F2644" s="196"/>
      <c r="G2644" s="196"/>
      <c r="H2644" s="196"/>
      <c r="I2644" s="196"/>
      <c r="J2644" s="196"/>
      <c r="AX2644" s="117"/>
      <c r="AY2644" s="117"/>
      <c r="AZ2644" s="117"/>
      <c r="BA2644" s="117"/>
      <c r="BB2644" s="117"/>
      <c r="BC2644" s="117"/>
      <c r="BD2644" s="117"/>
    </row>
    <row r="2645" spans="1:56" ht="15">
      <c r="A2645" s="114"/>
      <c r="B2645" s="362"/>
      <c r="C2645" s="362"/>
      <c r="D2645" s="362"/>
      <c r="E2645" s="362"/>
      <c r="F2645" s="362"/>
      <c r="G2645" s="114"/>
      <c r="H2645" s="362"/>
      <c r="I2645" s="196"/>
      <c r="J2645" s="196"/>
      <c r="AX2645" s="117"/>
      <c r="AY2645" s="117"/>
      <c r="AZ2645" s="117"/>
      <c r="BA2645" s="117"/>
      <c r="BB2645" s="117"/>
      <c r="BC2645" s="117"/>
      <c r="BD2645" s="117"/>
    </row>
    <row r="2646" spans="1:56" ht="15">
      <c r="A2646" s="114"/>
      <c r="B2646" s="303" t="s">
        <v>1122</v>
      </c>
      <c r="C2646" s="362"/>
      <c r="D2646" s="362"/>
      <c r="E2646" s="362"/>
      <c r="F2646" s="362"/>
      <c r="G2646" s="196"/>
      <c r="H2646" s="196"/>
      <c r="I2646" s="196"/>
      <c r="J2646" s="196"/>
      <c r="AX2646" s="117"/>
      <c r="AY2646" s="117"/>
      <c r="AZ2646" s="117"/>
      <c r="BA2646" s="117"/>
      <c r="BB2646" s="117"/>
      <c r="BC2646" s="117"/>
      <c r="BD2646" s="117"/>
    </row>
    <row r="2647" spans="1:56" ht="18">
      <c r="A2647" s="114"/>
      <c r="B2647" s="398" t="s">
        <v>1123</v>
      </c>
      <c r="C2647" s="172"/>
      <c r="D2647" s="173"/>
      <c r="E2647" s="397">
        <f>C2639*((H2637+H2636)/2)*(C2637+C2638+0.05)</f>
        <v>24.873330927705208</v>
      </c>
      <c r="F2647" s="390" t="s">
        <v>1124</v>
      </c>
      <c r="G2647" s="196"/>
      <c r="H2647" s="362"/>
      <c r="I2647" s="362"/>
      <c r="J2647" s="362"/>
      <c r="AX2647" s="117"/>
      <c r="AY2647" s="117"/>
      <c r="AZ2647" s="117"/>
      <c r="BA2647" s="117"/>
      <c r="BB2647" s="117"/>
      <c r="BC2647" s="117"/>
      <c r="BD2647" s="117"/>
    </row>
    <row r="2648" spans="1:56" ht="18">
      <c r="A2648" s="114"/>
      <c r="B2648" s="398" t="s">
        <v>1125</v>
      </c>
      <c r="C2648" s="172"/>
      <c r="D2648" s="173"/>
      <c r="E2648" s="400">
        <f>E2647-(E2659+E2661)</f>
        <v>22.006830927705209</v>
      </c>
      <c r="F2648" s="390" t="s">
        <v>1124</v>
      </c>
      <c r="G2648" s="196"/>
      <c r="H2648" s="196"/>
      <c r="I2648" s="196"/>
      <c r="J2648" s="196"/>
      <c r="AX2648" s="117"/>
      <c r="AY2648" s="117"/>
      <c r="AZ2648" s="117"/>
      <c r="BA2648" s="117"/>
      <c r="BB2648" s="117"/>
      <c r="BC2648" s="117"/>
      <c r="BD2648" s="117"/>
    </row>
    <row r="2649" spans="1:56" ht="15">
      <c r="A2649" s="114"/>
      <c r="B2649" s="398" t="s">
        <v>1126</v>
      </c>
      <c r="C2649" s="172"/>
      <c r="D2649" s="173"/>
      <c r="E2649" s="400">
        <f>((C2635+2*C2644)*(C2636+2*C2644))*C2639</f>
        <v>4.2050000000000001</v>
      </c>
      <c r="F2649" s="390" t="s">
        <v>13</v>
      </c>
      <c r="G2649" s="362"/>
      <c r="H2649" s="362"/>
      <c r="I2649" s="362"/>
      <c r="J2649" s="362"/>
      <c r="AX2649" s="117"/>
      <c r="AY2649" s="117"/>
      <c r="AZ2649" s="117"/>
      <c r="BA2649" s="117"/>
      <c r="BB2649" s="117"/>
      <c r="BC2649" s="117"/>
      <c r="BD2649" s="117"/>
    </row>
    <row r="2650" spans="1:56" ht="15">
      <c r="A2650" s="114"/>
      <c r="B2650" s="362"/>
      <c r="C2650" s="362"/>
      <c r="D2650" s="362"/>
      <c r="E2650" s="401"/>
      <c r="F2650" s="196"/>
      <c r="G2650" s="362"/>
      <c r="H2650" s="362"/>
      <c r="I2650" s="362"/>
      <c r="J2650" s="362"/>
      <c r="AX2650" s="117"/>
      <c r="AY2650" s="117"/>
      <c r="AZ2650" s="117"/>
      <c r="BA2650" s="117"/>
      <c r="BB2650" s="117"/>
      <c r="BC2650" s="117"/>
      <c r="BD2650" s="117"/>
    </row>
    <row r="2651" spans="1:56" ht="15">
      <c r="A2651" s="114"/>
      <c r="B2651" s="303" t="s">
        <v>1162</v>
      </c>
      <c r="C2651" s="362"/>
      <c r="D2651" s="362"/>
      <c r="E2651" s="410"/>
      <c r="F2651" s="362"/>
      <c r="G2651" s="362"/>
      <c r="H2651" s="362"/>
      <c r="I2651" s="362"/>
      <c r="J2651" s="362"/>
      <c r="AX2651" s="117"/>
      <c r="AY2651" s="117"/>
      <c r="AZ2651" s="117"/>
      <c r="BA2651" s="117"/>
      <c r="BB2651" s="117"/>
      <c r="BC2651" s="117"/>
      <c r="BD2651" s="117"/>
    </row>
    <row r="2652" spans="1:56" ht="15">
      <c r="A2652" s="114"/>
      <c r="B2652" s="398" t="s">
        <v>1152</v>
      </c>
      <c r="C2652" s="398"/>
      <c r="D2652" s="366"/>
      <c r="E2652" s="411">
        <v>4</v>
      </c>
      <c r="F2652" s="390" t="s">
        <v>1153</v>
      </c>
      <c r="G2652" s="362"/>
      <c r="H2652" s="362"/>
      <c r="I2652" s="362"/>
      <c r="J2652" s="362"/>
      <c r="AX2652" s="117"/>
      <c r="AY2652" s="117"/>
      <c r="AZ2652" s="117"/>
      <c r="BA2652" s="117"/>
      <c r="BB2652" s="117"/>
      <c r="BC2652" s="117"/>
      <c r="BD2652" s="117"/>
    </row>
    <row r="2653" spans="1:56" ht="15">
      <c r="A2653" s="114"/>
      <c r="B2653" s="399" t="s">
        <v>1154</v>
      </c>
      <c r="C2653" s="31"/>
      <c r="D2653" s="32"/>
      <c r="E2653" s="412">
        <f>C2639*E2652</f>
        <v>8</v>
      </c>
      <c r="F2653" s="390" t="s">
        <v>1153</v>
      </c>
      <c r="G2653" s="362"/>
      <c r="H2653" s="362"/>
      <c r="I2653" s="362"/>
      <c r="J2653" s="362"/>
      <c r="AX2653" s="117"/>
      <c r="AY2653" s="117"/>
      <c r="AZ2653" s="117"/>
      <c r="BA2653" s="117"/>
      <c r="BB2653" s="117"/>
      <c r="BC2653" s="117"/>
      <c r="BD2653" s="117"/>
    </row>
    <row r="2654" spans="1:56" ht="15">
      <c r="A2654" s="114"/>
      <c r="B2654" s="398" t="s">
        <v>1155</v>
      </c>
      <c r="C2654" s="21"/>
      <c r="D2654" s="413"/>
      <c r="E2654" s="411">
        <v>250</v>
      </c>
      <c r="F2654" s="390" t="s">
        <v>1156</v>
      </c>
      <c r="G2654" s="362"/>
      <c r="H2654" s="414"/>
      <c r="I2654" s="362"/>
      <c r="J2654" s="415"/>
      <c r="AX2654" s="117"/>
      <c r="AY2654" s="117"/>
      <c r="AZ2654" s="117"/>
      <c r="BA2654" s="117"/>
      <c r="BB2654" s="117"/>
      <c r="BC2654" s="117"/>
      <c r="BD2654" s="117"/>
    </row>
    <row r="2655" spans="1:56" ht="15">
      <c r="A2655" s="114"/>
      <c r="B2655" s="398" t="s">
        <v>1157</v>
      </c>
      <c r="C2655" s="21"/>
      <c r="D2655" s="413"/>
      <c r="E2655" s="411">
        <v>12</v>
      </c>
      <c r="F2655" s="390" t="s">
        <v>10</v>
      </c>
      <c r="G2655" s="362"/>
      <c r="H2655" s="6"/>
      <c r="I2655" s="362"/>
      <c r="J2655" s="362"/>
      <c r="AX2655" s="117"/>
      <c r="AY2655" s="117"/>
      <c r="AZ2655" s="117"/>
      <c r="BA2655" s="117"/>
      <c r="BB2655" s="117"/>
      <c r="BC2655" s="117"/>
      <c r="BD2655" s="117"/>
    </row>
    <row r="2656" spans="1:56" ht="15">
      <c r="A2656" s="114"/>
      <c r="B2656" s="398" t="s">
        <v>1158</v>
      </c>
      <c r="C2656" s="21"/>
      <c r="D2656" s="413"/>
      <c r="E2656" s="412">
        <f>E2653*E2655</f>
        <v>96</v>
      </c>
      <c r="F2656" s="390" t="s">
        <v>10</v>
      </c>
      <c r="G2656" s="362"/>
      <c r="H2656" s="362"/>
      <c r="I2656" s="362"/>
      <c r="J2656" s="362"/>
      <c r="AX2656" s="117"/>
      <c r="AY2656" s="117"/>
      <c r="AZ2656" s="117"/>
      <c r="BA2656" s="117"/>
      <c r="BB2656" s="117"/>
      <c r="BC2656" s="117"/>
      <c r="BD2656" s="117"/>
    </row>
    <row r="2657" spans="1:56" ht="15">
      <c r="A2657" s="114"/>
      <c r="B2657" s="362"/>
      <c r="C2657" s="362"/>
      <c r="D2657" s="362"/>
      <c r="E2657" s="410"/>
      <c r="F2657" s="362"/>
      <c r="G2657" s="362"/>
      <c r="H2657" s="362"/>
      <c r="I2657" s="362"/>
      <c r="J2657" s="362"/>
      <c r="AX2657" s="117"/>
      <c r="AY2657" s="117"/>
      <c r="AZ2657" s="117"/>
      <c r="BA2657" s="117"/>
      <c r="BB2657" s="117"/>
      <c r="BC2657" s="117"/>
      <c r="BD2657" s="117"/>
    </row>
    <row r="2658" spans="1:56" ht="15">
      <c r="A2658" s="114"/>
      <c r="B2658" s="303" t="s">
        <v>1160</v>
      </c>
      <c r="C2658" s="362"/>
      <c r="D2658" s="362"/>
      <c r="E2658" s="410"/>
      <c r="F2658" s="362"/>
      <c r="G2658" s="362"/>
      <c r="H2658" s="362"/>
      <c r="I2658" s="362"/>
      <c r="J2658" s="362"/>
      <c r="AX2658" s="117"/>
      <c r="AY2658" s="117"/>
      <c r="AZ2658" s="117"/>
      <c r="BA2658" s="117"/>
      <c r="BB2658" s="117"/>
      <c r="BC2658" s="117"/>
      <c r="BD2658" s="117"/>
    </row>
    <row r="2659" spans="1:56" ht="18">
      <c r="A2659" s="114"/>
      <c r="B2659" s="398" t="s">
        <v>1128</v>
      </c>
      <c r="C2659" s="172"/>
      <c r="D2659" s="173"/>
      <c r="E2659" s="402">
        <f>E2649*0.05</f>
        <v>0.21025000000000002</v>
      </c>
      <c r="F2659" s="390" t="s">
        <v>1124</v>
      </c>
      <c r="G2659" s="362"/>
      <c r="H2659" s="362"/>
      <c r="I2659" s="362"/>
      <c r="J2659" s="362"/>
      <c r="AX2659" s="117"/>
      <c r="AY2659" s="117"/>
      <c r="AZ2659" s="117"/>
      <c r="BA2659" s="117"/>
      <c r="BB2659" s="117"/>
      <c r="BC2659" s="117"/>
      <c r="BD2659" s="117"/>
    </row>
    <row r="2660" spans="1:56" ht="15">
      <c r="A2660" s="114"/>
      <c r="B2660" s="398" t="s">
        <v>1129</v>
      </c>
      <c r="C2660" s="172"/>
      <c r="D2660" s="173"/>
      <c r="E2660" s="397">
        <f>(2*(C2635+C2636)*C2638)*C2639</f>
        <v>8.5</v>
      </c>
      <c r="F2660" s="390" t="s">
        <v>13</v>
      </c>
      <c r="G2660" s="362"/>
      <c r="H2660" s="362"/>
      <c r="I2660" s="362"/>
      <c r="J2660" s="362"/>
      <c r="AX2660" s="117"/>
      <c r="AY2660" s="117"/>
      <c r="AZ2660" s="117"/>
      <c r="BA2660" s="117"/>
      <c r="BB2660" s="117"/>
      <c r="BC2660" s="117"/>
      <c r="BD2660" s="117"/>
    </row>
    <row r="2661" spans="1:56" ht="18">
      <c r="A2661" s="114"/>
      <c r="B2661" s="398" t="s">
        <v>1130</v>
      </c>
      <c r="C2661" s="172"/>
      <c r="D2661" s="173"/>
      <c r="E2661" s="402">
        <f>(C2635*C2636*C2638)*C2639</f>
        <v>2.65625</v>
      </c>
      <c r="F2661" s="390" t="s">
        <v>1124</v>
      </c>
      <c r="G2661" s="362"/>
      <c r="H2661" s="362"/>
      <c r="I2661" s="362"/>
      <c r="J2661" s="362"/>
      <c r="AX2661" s="117"/>
      <c r="AY2661" s="117"/>
      <c r="AZ2661" s="117"/>
      <c r="BA2661" s="117"/>
      <c r="BB2661" s="117"/>
      <c r="BC2661" s="117"/>
      <c r="BD2661" s="117"/>
    </row>
    <row r="2662" spans="1:56" ht="15">
      <c r="A2662" s="114"/>
      <c r="B2662" s="196"/>
      <c r="C2662" s="196"/>
      <c r="D2662" s="196"/>
      <c r="E2662" s="196"/>
      <c r="F2662" s="196"/>
      <c r="G2662" s="196"/>
      <c r="H2662" s="196"/>
      <c r="I2662" s="196"/>
      <c r="J2662" s="114"/>
      <c r="AW2662" s="117"/>
      <c r="AX2662" s="117"/>
      <c r="AY2662" s="117"/>
      <c r="AZ2662" s="117"/>
      <c r="BA2662" s="117"/>
      <c r="BB2662" s="117"/>
      <c r="BC2662" s="117"/>
      <c r="BD2662" s="117"/>
    </row>
    <row r="2663" spans="1:56">
      <c r="A2663" s="114"/>
      <c r="B2663" s="385" t="s">
        <v>1230</v>
      </c>
      <c r="C2663" s="196"/>
      <c r="D2663" s="196"/>
      <c r="E2663" s="196"/>
      <c r="F2663" s="196"/>
      <c r="G2663" s="196"/>
      <c r="H2663" s="196"/>
      <c r="I2663" s="196"/>
      <c r="J2663" s="196"/>
      <c r="AX2663" s="117"/>
      <c r="AY2663" s="117"/>
      <c r="AZ2663" s="117"/>
      <c r="BA2663" s="117"/>
      <c r="BB2663" s="117"/>
      <c r="BC2663" s="117"/>
      <c r="BD2663" s="117"/>
    </row>
    <row r="2664" spans="1:56" ht="15">
      <c r="A2664" s="114"/>
      <c r="B2664" s="362"/>
      <c r="C2664" s="362"/>
      <c r="D2664" s="362"/>
      <c r="E2664" s="362"/>
      <c r="F2664" s="404"/>
      <c r="G2664" s="404"/>
      <c r="H2664" s="404"/>
      <c r="I2664" s="404"/>
      <c r="J2664" s="404"/>
      <c r="AX2664" s="117"/>
      <c r="AY2664" s="117"/>
      <c r="AZ2664" s="117"/>
      <c r="BA2664" s="117"/>
      <c r="BB2664" s="117"/>
      <c r="BC2664" s="117"/>
      <c r="BD2664" s="117"/>
    </row>
    <row r="2665" spans="1:56" ht="18">
      <c r="A2665" s="114"/>
      <c r="B2665" s="388" t="s">
        <v>1141</v>
      </c>
      <c r="C2665" s="389">
        <v>0</v>
      </c>
      <c r="D2665" s="390" t="s">
        <v>10</v>
      </c>
      <c r="E2665" s="196"/>
      <c r="F2665" s="405"/>
      <c r="G2665" s="406" t="s">
        <v>1142</v>
      </c>
      <c r="H2665" s="407">
        <f>C2665*C2666</f>
        <v>0</v>
      </c>
      <c r="I2665" s="405" t="s">
        <v>1143</v>
      </c>
      <c r="J2665" s="405"/>
      <c r="AX2665" s="117"/>
      <c r="AY2665" s="117"/>
      <c r="AZ2665" s="117"/>
      <c r="BA2665" s="117"/>
      <c r="BB2665" s="117"/>
      <c r="BC2665" s="117"/>
      <c r="BD2665" s="117"/>
    </row>
    <row r="2666" spans="1:56" ht="15">
      <c r="A2666" s="114"/>
      <c r="B2666" s="388" t="s">
        <v>1144</v>
      </c>
      <c r="C2666" s="389">
        <v>0</v>
      </c>
      <c r="D2666" s="390" t="s">
        <v>10</v>
      </c>
      <c r="E2666" s="196"/>
      <c r="F2666" s="405"/>
      <c r="G2666" s="406" t="e">
        <f>TEXT(C2673,"tg 0°=")</f>
        <v>#VALUE!</v>
      </c>
      <c r="H2666" s="408">
        <f>TAN(3.14159265359*C2673/180)</f>
        <v>1.732050807569153</v>
      </c>
      <c r="I2666" s="405"/>
      <c r="J2666" s="405"/>
      <c r="AX2666" s="117"/>
      <c r="AY2666" s="117"/>
      <c r="AZ2666" s="117"/>
      <c r="BA2666" s="117"/>
      <c r="BB2666" s="117"/>
      <c r="BC2666" s="117"/>
      <c r="BD2666" s="117"/>
    </row>
    <row r="2667" spans="1:56" ht="15">
      <c r="A2667" s="114"/>
      <c r="B2667" s="388" t="s">
        <v>1145</v>
      </c>
      <c r="C2667" s="389">
        <v>0.5</v>
      </c>
      <c r="D2667" s="390" t="s">
        <v>10</v>
      </c>
      <c r="E2667" s="196"/>
      <c r="F2667" s="405"/>
      <c r="G2667" s="406"/>
      <c r="H2667" s="407"/>
      <c r="I2667" s="405"/>
      <c r="J2667" s="405"/>
      <c r="AX2667" s="117"/>
      <c r="AY2667" s="117"/>
      <c r="AZ2667" s="117"/>
      <c r="BA2667" s="117"/>
      <c r="BB2667" s="117"/>
      <c r="BC2667" s="117"/>
      <c r="BD2667" s="117"/>
    </row>
    <row r="2668" spans="1:56" ht="18">
      <c r="A2668" s="114"/>
      <c r="B2668" s="388" t="s">
        <v>1146</v>
      </c>
      <c r="C2668" s="389">
        <v>0.5</v>
      </c>
      <c r="D2668" s="390" t="s">
        <v>10</v>
      </c>
      <c r="E2668" s="196"/>
      <c r="F2668" s="405"/>
      <c r="G2668" s="406" t="s">
        <v>1142</v>
      </c>
      <c r="H2668" s="409">
        <f>(C2667+2*C2675+((C2669+C2670+0.05)/H2666)*2)*(C2668+2*C2675+((C2669+C2670+0.05)/H2666)*2)</f>
        <v>9.0066654330109799</v>
      </c>
      <c r="I2668" s="405" t="s">
        <v>1143</v>
      </c>
      <c r="J2668" s="405"/>
      <c r="AX2668" s="117"/>
      <c r="AY2668" s="117"/>
      <c r="AZ2668" s="117"/>
      <c r="BA2668" s="117"/>
      <c r="BB2668" s="117"/>
      <c r="BC2668" s="117"/>
      <c r="BD2668" s="117"/>
    </row>
    <row r="2669" spans="1:56" ht="18">
      <c r="A2669" s="114"/>
      <c r="B2669" s="388" t="s">
        <v>1112</v>
      </c>
      <c r="C2669" s="389">
        <v>0.4</v>
      </c>
      <c r="D2669" s="390" t="s">
        <v>10</v>
      </c>
      <c r="E2669" s="196"/>
      <c r="F2669" s="405"/>
      <c r="G2669" s="406" t="s">
        <v>1147</v>
      </c>
      <c r="H2669" s="409">
        <f>(C2667+2*C2675)*(C2668+2*C2675)</f>
        <v>2.25</v>
      </c>
      <c r="I2669" s="405" t="s">
        <v>1143</v>
      </c>
      <c r="J2669" s="405"/>
      <c r="AX2669" s="117"/>
      <c r="AY2669" s="117"/>
      <c r="AZ2669" s="117"/>
      <c r="BA2669" s="117"/>
      <c r="BB2669" s="117"/>
      <c r="BC2669" s="117"/>
      <c r="BD2669" s="117"/>
    </row>
    <row r="2670" spans="1:56" ht="15">
      <c r="A2670" s="114"/>
      <c r="B2670" s="388" t="s">
        <v>1113</v>
      </c>
      <c r="C2670" s="389">
        <v>0.85</v>
      </c>
      <c r="D2670" s="390" t="s">
        <v>10</v>
      </c>
      <c r="E2670" s="196"/>
      <c r="F2670" s="405"/>
      <c r="G2670" s="406"/>
      <c r="H2670" s="407"/>
      <c r="I2670" s="405"/>
      <c r="J2670" s="405"/>
      <c r="AX2670" s="117"/>
      <c r="AY2670" s="117"/>
      <c r="AZ2670" s="117"/>
      <c r="BA2670" s="117"/>
      <c r="BB2670" s="117"/>
      <c r="BC2670" s="117"/>
      <c r="BD2670" s="117"/>
    </row>
    <row r="2671" spans="1:56" ht="15">
      <c r="A2671" s="114"/>
      <c r="B2671" s="388" t="s">
        <v>1117</v>
      </c>
      <c r="C2671" s="391">
        <v>8</v>
      </c>
      <c r="D2671" s="390" t="s">
        <v>1118</v>
      </c>
      <c r="E2671" s="196"/>
      <c r="F2671" s="405"/>
      <c r="G2671" s="406"/>
      <c r="H2671" s="407"/>
      <c r="I2671" s="405"/>
      <c r="J2671" s="405"/>
      <c r="AX2671" s="117"/>
      <c r="AY2671" s="117"/>
      <c r="AZ2671" s="117"/>
      <c r="BA2671" s="117"/>
      <c r="BB2671" s="117"/>
      <c r="BC2671" s="117"/>
      <c r="BD2671" s="117"/>
    </row>
    <row r="2672" spans="1:56" ht="15">
      <c r="A2672" s="114"/>
      <c r="B2672" s="196" t="s">
        <v>1148</v>
      </c>
      <c r="C2672" s="393"/>
      <c r="D2672" s="196"/>
      <c r="E2672" s="196"/>
      <c r="F2672" s="405"/>
      <c r="G2672" s="406"/>
      <c r="H2672" s="407"/>
      <c r="I2672" s="405"/>
      <c r="J2672" s="405"/>
      <c r="AX2672" s="117"/>
      <c r="AY2672" s="117"/>
      <c r="AZ2672" s="117"/>
      <c r="BA2672" s="117"/>
      <c r="BB2672" s="117"/>
      <c r="BC2672" s="117"/>
      <c r="BD2672" s="117"/>
    </row>
    <row r="2673" spans="1:56" ht="15">
      <c r="A2673" s="114"/>
      <c r="B2673" s="388" t="s">
        <v>1149</v>
      </c>
      <c r="C2673" s="389">
        <v>60</v>
      </c>
      <c r="D2673" s="390" t="s">
        <v>1150</v>
      </c>
      <c r="E2673" s="196"/>
      <c r="F2673" s="196"/>
      <c r="G2673" s="392"/>
      <c r="H2673" s="393"/>
      <c r="I2673" s="196"/>
      <c r="J2673" s="196"/>
      <c r="AX2673" s="117"/>
      <c r="AY2673" s="117"/>
      <c r="AZ2673" s="117"/>
      <c r="BA2673" s="117"/>
      <c r="BB2673" s="117"/>
      <c r="BC2673" s="117"/>
      <c r="BD2673" s="117"/>
    </row>
    <row r="2674" spans="1:56" ht="15">
      <c r="A2674" s="114"/>
      <c r="B2674" s="362"/>
      <c r="C2674" s="196"/>
      <c r="D2674" s="196"/>
      <c r="E2674" s="196"/>
      <c r="F2674" s="196"/>
      <c r="G2674" s="362"/>
      <c r="H2674" s="362"/>
      <c r="I2674" s="362"/>
      <c r="J2674" s="196"/>
      <c r="AX2674" s="117"/>
      <c r="AY2674" s="117"/>
      <c r="AZ2674" s="117"/>
      <c r="BA2674" s="117"/>
      <c r="BB2674" s="117"/>
      <c r="BC2674" s="117"/>
      <c r="BD2674" s="117"/>
    </row>
    <row r="2675" spans="1:56" ht="15">
      <c r="A2675" s="114"/>
      <c r="B2675" s="388" t="s">
        <v>1114</v>
      </c>
      <c r="C2675" s="389">
        <v>0.5</v>
      </c>
      <c r="D2675" s="390" t="s">
        <v>10</v>
      </c>
      <c r="E2675" s="288" t="s">
        <v>1120</v>
      </c>
      <c r="F2675" s="196"/>
      <c r="G2675" s="362"/>
      <c r="H2675" s="196" t="s">
        <v>1131</v>
      </c>
      <c r="I2675" s="362"/>
      <c r="J2675" s="196"/>
      <c r="AX2675" s="117"/>
      <c r="AY2675" s="117"/>
      <c r="AZ2675" s="117"/>
      <c r="BA2675" s="117"/>
      <c r="BB2675" s="117"/>
      <c r="BC2675" s="117"/>
      <c r="BD2675" s="117"/>
    </row>
    <row r="2676" spans="1:56" ht="15">
      <c r="A2676" s="114"/>
      <c r="B2676" s="388" t="s">
        <v>1114</v>
      </c>
      <c r="C2676" s="389">
        <v>0.1</v>
      </c>
      <c r="D2676" s="390" t="s">
        <v>10</v>
      </c>
      <c r="E2676" s="288" t="s">
        <v>1121</v>
      </c>
      <c r="F2676" s="196"/>
      <c r="G2676" s="196"/>
      <c r="H2676" s="196"/>
      <c r="I2676" s="196"/>
      <c r="J2676" s="196"/>
      <c r="AX2676" s="117"/>
      <c r="AY2676" s="117"/>
      <c r="AZ2676" s="117"/>
      <c r="BA2676" s="117"/>
      <c r="BB2676" s="117"/>
      <c r="BC2676" s="117"/>
      <c r="BD2676" s="117"/>
    </row>
    <row r="2677" spans="1:56" ht="15">
      <c r="A2677" s="114"/>
      <c r="B2677" s="362"/>
      <c r="C2677" s="362"/>
      <c r="D2677" s="362"/>
      <c r="E2677" s="362"/>
      <c r="F2677" s="362"/>
      <c r="G2677" s="114"/>
      <c r="H2677" s="362"/>
      <c r="I2677" s="196"/>
      <c r="J2677" s="196"/>
      <c r="AX2677" s="117"/>
      <c r="AY2677" s="117"/>
      <c r="AZ2677" s="117"/>
      <c r="BA2677" s="117"/>
      <c r="BB2677" s="117"/>
      <c r="BC2677" s="117"/>
      <c r="BD2677" s="117"/>
    </row>
    <row r="2678" spans="1:56" ht="15">
      <c r="A2678" s="114"/>
      <c r="B2678" s="303" t="s">
        <v>1122</v>
      </c>
      <c r="C2678" s="362"/>
      <c r="D2678" s="362"/>
      <c r="E2678" s="362"/>
      <c r="F2678" s="362"/>
      <c r="G2678" s="196"/>
      <c r="H2678" s="196"/>
      <c r="I2678" s="196"/>
      <c r="J2678" s="196"/>
      <c r="AX2678" s="117"/>
      <c r="AY2678" s="117"/>
      <c r="AZ2678" s="117"/>
      <c r="BA2678" s="117"/>
      <c r="BB2678" s="117"/>
      <c r="BC2678" s="117"/>
      <c r="BD2678" s="117"/>
    </row>
    <row r="2679" spans="1:56" ht="18">
      <c r="A2679" s="114"/>
      <c r="B2679" s="398" t="s">
        <v>1123</v>
      </c>
      <c r="C2679" s="172"/>
      <c r="D2679" s="173"/>
      <c r="E2679" s="397">
        <f>C2671*((H2669+H2668)/2)*(C2669+C2670+0.05)</f>
        <v>58.534660251657094</v>
      </c>
      <c r="F2679" s="390" t="s">
        <v>1124</v>
      </c>
      <c r="G2679" s="196"/>
      <c r="H2679" s="362"/>
      <c r="I2679" s="362"/>
      <c r="J2679" s="362"/>
      <c r="AX2679" s="117"/>
      <c r="AY2679" s="117"/>
      <c r="AZ2679" s="117"/>
      <c r="BA2679" s="117"/>
      <c r="BB2679" s="117"/>
      <c r="BC2679" s="117"/>
      <c r="BD2679" s="117"/>
    </row>
    <row r="2680" spans="1:56" ht="18">
      <c r="A2680" s="114"/>
      <c r="B2680" s="398" t="s">
        <v>1125</v>
      </c>
      <c r="C2680" s="172"/>
      <c r="D2680" s="173"/>
      <c r="E2680" s="400">
        <f>E2679-(E2691+E2693)</f>
        <v>56.638660251657093</v>
      </c>
      <c r="F2680" s="390" t="s">
        <v>1124</v>
      </c>
      <c r="G2680" s="196"/>
      <c r="H2680" s="196"/>
      <c r="I2680" s="196"/>
      <c r="J2680" s="196"/>
      <c r="AX2680" s="117"/>
      <c r="AY2680" s="117"/>
      <c r="AZ2680" s="117"/>
      <c r="BA2680" s="117"/>
      <c r="BB2680" s="117"/>
      <c r="BC2680" s="117"/>
      <c r="BD2680" s="117"/>
    </row>
    <row r="2681" spans="1:56" ht="15">
      <c r="A2681" s="114"/>
      <c r="B2681" s="398" t="s">
        <v>1126</v>
      </c>
      <c r="C2681" s="172"/>
      <c r="D2681" s="173"/>
      <c r="E2681" s="400">
        <f>((C2667+2*C2676)*(C2668+2*C2676))*C2671</f>
        <v>3.9199999999999995</v>
      </c>
      <c r="F2681" s="390" t="s">
        <v>13</v>
      </c>
      <c r="G2681" s="362"/>
      <c r="H2681" s="362"/>
      <c r="I2681" s="362"/>
      <c r="J2681" s="362"/>
      <c r="AX2681" s="117"/>
      <c r="AY2681" s="117"/>
      <c r="AZ2681" s="117"/>
      <c r="BA2681" s="117"/>
      <c r="BB2681" s="117"/>
      <c r="BC2681" s="117"/>
      <c r="BD2681" s="117"/>
    </row>
    <row r="2682" spans="1:56" ht="15">
      <c r="A2682" s="114"/>
      <c r="B2682" s="362"/>
      <c r="C2682" s="362"/>
      <c r="D2682" s="362"/>
      <c r="E2682" s="401"/>
      <c r="F2682" s="196"/>
      <c r="G2682" s="362"/>
      <c r="H2682" s="362"/>
      <c r="I2682" s="362"/>
      <c r="J2682" s="362"/>
      <c r="AX2682" s="117"/>
      <c r="AY2682" s="117"/>
      <c r="AZ2682" s="117"/>
      <c r="BA2682" s="117"/>
      <c r="BB2682" s="117"/>
      <c r="BC2682" s="117"/>
      <c r="BD2682" s="117"/>
    </row>
    <row r="2683" spans="1:56" ht="15">
      <c r="A2683" s="114"/>
      <c r="B2683" s="303" t="s">
        <v>1162</v>
      </c>
      <c r="C2683" s="362"/>
      <c r="D2683" s="362"/>
      <c r="E2683" s="410"/>
      <c r="F2683" s="362"/>
      <c r="G2683" s="362"/>
      <c r="H2683" s="362"/>
      <c r="I2683" s="362"/>
      <c r="J2683" s="362"/>
      <c r="AX2683" s="117"/>
      <c r="AY2683" s="117"/>
      <c r="AZ2683" s="117"/>
      <c r="BA2683" s="117"/>
      <c r="BB2683" s="117"/>
      <c r="BC2683" s="117"/>
      <c r="BD2683" s="117"/>
    </row>
    <row r="2684" spans="1:56" ht="15">
      <c r="A2684" s="114"/>
      <c r="B2684" s="398" t="s">
        <v>1152</v>
      </c>
      <c r="C2684" s="398"/>
      <c r="D2684" s="366"/>
      <c r="E2684" s="411">
        <v>1</v>
      </c>
      <c r="F2684" s="390" t="s">
        <v>1153</v>
      </c>
      <c r="G2684" s="362"/>
      <c r="H2684" s="362"/>
      <c r="I2684" s="362"/>
      <c r="J2684" s="362"/>
      <c r="AX2684" s="117"/>
      <c r="AY2684" s="117"/>
      <c r="AZ2684" s="117"/>
      <c r="BA2684" s="117"/>
      <c r="BB2684" s="117"/>
      <c r="BC2684" s="117"/>
      <c r="BD2684" s="117"/>
    </row>
    <row r="2685" spans="1:56" ht="15">
      <c r="A2685" s="114"/>
      <c r="B2685" s="399" t="s">
        <v>1154</v>
      </c>
      <c r="C2685" s="31"/>
      <c r="D2685" s="32"/>
      <c r="E2685" s="412">
        <f>C2671*E2684</f>
        <v>8</v>
      </c>
      <c r="F2685" s="390" t="s">
        <v>1153</v>
      </c>
      <c r="G2685" s="362"/>
      <c r="H2685" s="362"/>
      <c r="I2685" s="362"/>
      <c r="J2685" s="362"/>
      <c r="AX2685" s="117"/>
      <c r="AY2685" s="117"/>
      <c r="AZ2685" s="117"/>
      <c r="BA2685" s="117"/>
      <c r="BB2685" s="117"/>
      <c r="BC2685" s="117"/>
      <c r="BD2685" s="117"/>
    </row>
    <row r="2686" spans="1:56" ht="15">
      <c r="A2686" s="114"/>
      <c r="B2686" s="398" t="s">
        <v>1155</v>
      </c>
      <c r="C2686" s="21"/>
      <c r="D2686" s="413"/>
      <c r="E2686" s="411">
        <v>250</v>
      </c>
      <c r="F2686" s="390" t="s">
        <v>1156</v>
      </c>
      <c r="G2686" s="362"/>
      <c r="H2686" s="414"/>
      <c r="I2686" s="362"/>
      <c r="J2686" s="415"/>
      <c r="AX2686" s="117"/>
      <c r="AY2686" s="117"/>
      <c r="AZ2686" s="117"/>
      <c r="BA2686" s="117"/>
      <c r="BB2686" s="117"/>
      <c r="BC2686" s="117"/>
      <c r="BD2686" s="117"/>
    </row>
    <row r="2687" spans="1:56" ht="15">
      <c r="A2687" s="114"/>
      <c r="B2687" s="398" t="s">
        <v>1157</v>
      </c>
      <c r="C2687" s="21"/>
      <c r="D2687" s="413"/>
      <c r="E2687" s="411">
        <v>12</v>
      </c>
      <c r="F2687" s="390" t="s">
        <v>10</v>
      </c>
      <c r="G2687" s="362"/>
      <c r="H2687" s="6"/>
      <c r="I2687" s="362"/>
      <c r="J2687" s="362"/>
      <c r="AX2687" s="117"/>
      <c r="AY2687" s="117"/>
      <c r="AZ2687" s="117"/>
      <c r="BA2687" s="117"/>
      <c r="BB2687" s="117"/>
      <c r="BC2687" s="117"/>
      <c r="BD2687" s="117"/>
    </row>
    <row r="2688" spans="1:56" ht="15">
      <c r="A2688" s="114"/>
      <c r="B2688" s="398" t="s">
        <v>1158</v>
      </c>
      <c r="C2688" s="21"/>
      <c r="D2688" s="413"/>
      <c r="E2688" s="412">
        <f>E2685*E2687</f>
        <v>96</v>
      </c>
      <c r="F2688" s="390" t="s">
        <v>10</v>
      </c>
      <c r="G2688" s="362"/>
      <c r="H2688" s="362"/>
      <c r="I2688" s="362"/>
      <c r="J2688" s="362"/>
      <c r="AX2688" s="117"/>
      <c r="AY2688" s="117"/>
      <c r="AZ2688" s="117"/>
      <c r="BA2688" s="117"/>
      <c r="BB2688" s="117"/>
      <c r="BC2688" s="117"/>
      <c r="BD2688" s="117"/>
    </row>
    <row r="2689" spans="1:56" ht="15">
      <c r="A2689" s="114"/>
      <c r="B2689" s="362"/>
      <c r="C2689" s="362"/>
      <c r="D2689" s="362"/>
      <c r="E2689" s="410"/>
      <c r="F2689" s="362"/>
      <c r="G2689" s="362"/>
      <c r="H2689" s="362"/>
      <c r="I2689" s="362"/>
      <c r="J2689" s="362"/>
      <c r="AX2689" s="117"/>
      <c r="AY2689" s="117"/>
      <c r="AZ2689" s="117"/>
      <c r="BA2689" s="117"/>
      <c r="BB2689" s="117"/>
      <c r="BC2689" s="117"/>
      <c r="BD2689" s="117"/>
    </row>
    <row r="2690" spans="1:56" ht="15">
      <c r="A2690" s="114"/>
      <c r="B2690" s="303" t="s">
        <v>1160</v>
      </c>
      <c r="C2690" s="362"/>
      <c r="D2690" s="362"/>
      <c r="E2690" s="410"/>
      <c r="F2690" s="362"/>
      <c r="G2690" s="362"/>
      <c r="H2690" s="362"/>
      <c r="I2690" s="362"/>
      <c r="J2690" s="362"/>
      <c r="AX2690" s="117"/>
      <c r="AY2690" s="117"/>
      <c r="AZ2690" s="117"/>
      <c r="BA2690" s="117"/>
      <c r="BB2690" s="117"/>
      <c r="BC2690" s="117"/>
      <c r="BD2690" s="117"/>
    </row>
    <row r="2691" spans="1:56" ht="18">
      <c r="A2691" s="114"/>
      <c r="B2691" s="398" t="s">
        <v>1128</v>
      </c>
      <c r="C2691" s="172"/>
      <c r="D2691" s="173"/>
      <c r="E2691" s="402">
        <f>E2681*0.05</f>
        <v>0.19599999999999998</v>
      </c>
      <c r="F2691" s="390" t="s">
        <v>1124</v>
      </c>
      <c r="G2691" s="362"/>
      <c r="H2691" s="362"/>
      <c r="I2691" s="362"/>
      <c r="J2691" s="362"/>
      <c r="AX2691" s="117"/>
      <c r="AY2691" s="117"/>
      <c r="AZ2691" s="117"/>
      <c r="BA2691" s="117"/>
      <c r="BB2691" s="117"/>
      <c r="BC2691" s="117"/>
      <c r="BD2691" s="117"/>
    </row>
    <row r="2692" spans="1:56" ht="15">
      <c r="A2692" s="114"/>
      <c r="B2692" s="398" t="s">
        <v>1129</v>
      </c>
      <c r="C2692" s="172"/>
      <c r="D2692" s="173"/>
      <c r="E2692" s="397">
        <f>(2*(C2667+C2668)*C2670)*C2671</f>
        <v>13.6</v>
      </c>
      <c r="F2692" s="390" t="s">
        <v>13</v>
      </c>
      <c r="G2692" s="362"/>
      <c r="H2692" s="362"/>
      <c r="I2692" s="362"/>
      <c r="J2692" s="362"/>
      <c r="AX2692" s="117"/>
      <c r="AY2692" s="117"/>
      <c r="AZ2692" s="117"/>
      <c r="BA2692" s="117"/>
      <c r="BB2692" s="117"/>
      <c r="BC2692" s="117"/>
      <c r="BD2692" s="117"/>
    </row>
    <row r="2693" spans="1:56" ht="18">
      <c r="A2693" s="114"/>
      <c r="B2693" s="398" t="s">
        <v>1130</v>
      </c>
      <c r="C2693" s="172"/>
      <c r="D2693" s="173"/>
      <c r="E2693" s="402">
        <f>(C2667*C2668*C2670)*C2671</f>
        <v>1.7</v>
      </c>
      <c r="F2693" s="390" t="s">
        <v>1124</v>
      </c>
      <c r="G2693" s="362"/>
      <c r="H2693" s="362"/>
      <c r="I2693" s="362"/>
      <c r="J2693" s="362"/>
      <c r="AX2693" s="117"/>
      <c r="AY2693" s="117"/>
      <c r="AZ2693" s="117"/>
      <c r="BA2693" s="117"/>
      <c r="BB2693" s="117"/>
      <c r="BC2693" s="117"/>
      <c r="BD2693" s="117"/>
    </row>
    <row r="2694" spans="1:56" ht="15">
      <c r="A2694" s="114"/>
      <c r="B2694" s="196"/>
      <c r="C2694" s="196"/>
      <c r="D2694" s="196"/>
      <c r="E2694" s="196"/>
      <c r="F2694" s="196"/>
      <c r="G2694" s="196"/>
      <c r="H2694" s="196"/>
      <c r="I2694" s="196"/>
      <c r="J2694" s="114"/>
      <c r="AU2694" s="117"/>
      <c r="AV2694" s="117"/>
      <c r="AW2694" s="117"/>
      <c r="AX2694" s="117"/>
      <c r="AY2694" s="117"/>
      <c r="AZ2694" s="117"/>
      <c r="BA2694" s="117"/>
      <c r="BB2694" s="117"/>
      <c r="BC2694" s="117"/>
      <c r="BD2694" s="117"/>
    </row>
    <row r="2695" spans="1:56" thickBot="1">
      <c r="A2695" s="114"/>
      <c r="B2695" s="196"/>
      <c r="C2695" s="196"/>
      <c r="D2695" s="196"/>
      <c r="E2695" s="196"/>
      <c r="F2695" s="196"/>
      <c r="G2695" s="196"/>
      <c r="H2695" s="196"/>
      <c r="I2695" s="196"/>
      <c r="J2695" s="114"/>
      <c r="AT2695" s="117"/>
      <c r="AU2695" s="117"/>
      <c r="AV2695" s="117"/>
      <c r="AW2695" s="117"/>
      <c r="AX2695" s="117"/>
      <c r="AY2695" s="117"/>
      <c r="AZ2695" s="117"/>
      <c r="BA2695" s="117"/>
      <c r="BB2695" s="117"/>
      <c r="BC2695" s="117"/>
      <c r="BD2695" s="117"/>
    </row>
    <row r="2696" spans="1:56">
      <c r="A2696" s="114"/>
      <c r="B2696" s="702" t="s">
        <v>1189</v>
      </c>
      <c r="C2696" s="282"/>
      <c r="D2696" s="282"/>
      <c r="E2696" s="282"/>
      <c r="F2696" s="283"/>
      <c r="G2696" s="362"/>
      <c r="H2696" s="362"/>
      <c r="I2696" s="362"/>
      <c r="J2696" s="114"/>
      <c r="AU2696" s="117"/>
      <c r="AV2696" s="117"/>
      <c r="AW2696" s="117"/>
      <c r="AX2696" s="117"/>
      <c r="AY2696" s="117"/>
      <c r="AZ2696" s="117"/>
      <c r="BA2696" s="117"/>
      <c r="BB2696" s="117"/>
      <c r="BC2696" s="117"/>
      <c r="BD2696" s="117"/>
    </row>
    <row r="2697" spans="1:56" ht="15">
      <c r="A2697" s="114"/>
      <c r="B2697" s="693"/>
      <c r="C2697" s="196"/>
      <c r="D2697" s="196"/>
      <c r="E2697" s="196"/>
      <c r="F2697" s="284"/>
      <c r="G2697" s="362"/>
      <c r="H2697" s="362"/>
      <c r="I2697" s="362"/>
      <c r="J2697" s="114"/>
      <c r="AU2697" s="117"/>
      <c r="AV2697" s="117"/>
      <c r="AW2697" s="117"/>
      <c r="AX2697" s="117"/>
      <c r="AY2697" s="117"/>
      <c r="AZ2697" s="117"/>
      <c r="BA2697" s="117"/>
      <c r="BB2697" s="117"/>
      <c r="BC2697" s="117"/>
      <c r="BD2697" s="117"/>
    </row>
    <row r="2698" spans="1:56" ht="15">
      <c r="A2698" s="114"/>
      <c r="B2698" s="691" t="s">
        <v>1122</v>
      </c>
      <c r="C2698" s="410"/>
      <c r="D2698" s="1008"/>
      <c r="E2698" s="1008"/>
      <c r="F2698" s="424"/>
      <c r="G2698" s="362"/>
      <c r="H2698" s="362"/>
      <c r="I2698" s="362"/>
      <c r="J2698" s="114"/>
      <c r="AU2698" s="117"/>
      <c r="AV2698" s="117"/>
      <c r="AW2698" s="117"/>
      <c r="AX2698" s="117"/>
      <c r="AY2698" s="117"/>
      <c r="AZ2698" s="117"/>
      <c r="BA2698" s="117"/>
      <c r="BB2698" s="117"/>
      <c r="BC2698" s="117"/>
      <c r="BD2698" s="117"/>
    </row>
    <row r="2699" spans="1:56" ht="18">
      <c r="A2699" s="114"/>
      <c r="B2699" s="1011" t="s">
        <v>1123</v>
      </c>
      <c r="C2699" s="172"/>
      <c r="D2699" s="173"/>
      <c r="E2699" s="425">
        <f>E2679+E2647+E2614+E2587+E2565+E2543</f>
        <v>576.62597514184017</v>
      </c>
      <c r="F2699" s="139" t="s">
        <v>1124</v>
      </c>
      <c r="G2699" s="362"/>
      <c r="H2699" s="362"/>
      <c r="I2699" s="362"/>
      <c r="J2699" s="114"/>
      <c r="AU2699" s="117"/>
      <c r="AV2699" s="117"/>
      <c r="AW2699" s="117"/>
      <c r="AX2699" s="117"/>
      <c r="AY2699" s="117"/>
      <c r="AZ2699" s="117"/>
      <c r="BA2699" s="117"/>
      <c r="BB2699" s="117"/>
      <c r="BC2699" s="117"/>
      <c r="BD2699" s="117"/>
    </row>
    <row r="2700" spans="1:56" ht="18">
      <c r="A2700" s="114"/>
      <c r="B2700" s="1011" t="s">
        <v>1190</v>
      </c>
      <c r="C2700" s="172"/>
      <c r="D2700" s="173"/>
      <c r="E2700" s="425">
        <f>E2680+E2648+E2615+E2588+E2566+E2544</f>
        <v>522.23147514184018</v>
      </c>
      <c r="F2700" s="139" t="s">
        <v>1124</v>
      </c>
      <c r="G2700" s="362"/>
      <c r="H2700" s="362"/>
      <c r="I2700" s="362"/>
      <c r="J2700" s="114"/>
      <c r="AU2700" s="117"/>
      <c r="AV2700" s="117"/>
      <c r="AW2700" s="117"/>
      <c r="AX2700" s="117"/>
      <c r="AY2700" s="117"/>
      <c r="AZ2700" s="117"/>
      <c r="BA2700" s="117"/>
      <c r="BB2700" s="117"/>
      <c r="BC2700" s="117"/>
      <c r="BD2700" s="117"/>
    </row>
    <row r="2701" spans="1:56" ht="15">
      <c r="A2701" s="114"/>
      <c r="B2701" s="1011" t="s">
        <v>1191</v>
      </c>
      <c r="C2701" s="172"/>
      <c r="D2701" s="173"/>
      <c r="E2701" s="425">
        <f>E2681+E2649+E2616+E2589+E2567+E2545</f>
        <v>118.76500000000001</v>
      </c>
      <c r="F2701" s="139" t="s">
        <v>13</v>
      </c>
      <c r="G2701" s="362"/>
      <c r="H2701" s="362"/>
      <c r="I2701" s="362"/>
      <c r="J2701" s="114"/>
      <c r="AU2701" s="117"/>
      <c r="AV2701" s="117"/>
      <c r="AW2701" s="117"/>
      <c r="AX2701" s="117"/>
      <c r="AY2701" s="117"/>
      <c r="AZ2701" s="117"/>
      <c r="BA2701" s="117"/>
      <c r="BB2701" s="117"/>
      <c r="BC2701" s="117"/>
      <c r="BD2701" s="117"/>
    </row>
    <row r="2702" spans="1:56" ht="15">
      <c r="A2702" s="114"/>
      <c r="B2702" s="40"/>
      <c r="C2702" s="1008"/>
      <c r="D2702" s="1008"/>
      <c r="E2702" s="401"/>
      <c r="F2702" s="284"/>
      <c r="G2702" s="362"/>
      <c r="H2702" s="362"/>
      <c r="I2702" s="362"/>
      <c r="J2702" s="114"/>
      <c r="AU2702" s="117"/>
      <c r="AV2702" s="117"/>
      <c r="AW2702" s="117"/>
      <c r="AX2702" s="117"/>
      <c r="AY2702" s="117"/>
      <c r="AZ2702" s="117"/>
      <c r="BA2702" s="117"/>
      <c r="BB2702" s="117"/>
      <c r="BC2702" s="117"/>
      <c r="BD2702" s="117"/>
    </row>
    <row r="2703" spans="1:56" ht="18">
      <c r="A2703" s="114"/>
      <c r="B2703" s="1011" t="s">
        <v>317</v>
      </c>
      <c r="C2703" s="172"/>
      <c r="D2703" s="173"/>
      <c r="E2703" s="425">
        <f>E2691+E2659+E2626+E2592+E2570+E2548</f>
        <v>5.9382500000000009</v>
      </c>
      <c r="F2703" s="139" t="s">
        <v>1124</v>
      </c>
      <c r="G2703" s="196"/>
      <c r="H2703" s="196"/>
      <c r="I2703" s="196"/>
      <c r="J2703" s="114"/>
      <c r="AU2703" s="117"/>
      <c r="AV2703" s="117"/>
      <c r="AW2703" s="117"/>
      <c r="AX2703" s="117"/>
      <c r="AY2703" s="117"/>
      <c r="AZ2703" s="117"/>
      <c r="BA2703" s="117"/>
      <c r="BB2703" s="117"/>
      <c r="BC2703" s="117"/>
      <c r="BD2703" s="117"/>
    </row>
    <row r="2704" spans="1:56" ht="15">
      <c r="A2704" s="114"/>
      <c r="B2704" s="1011" t="s">
        <v>1192</v>
      </c>
      <c r="C2704" s="172"/>
      <c r="D2704" s="173"/>
      <c r="E2704" s="425">
        <f>E2692+E2660+E2627+E2593+E2571+E2549</f>
        <v>425.70000000000005</v>
      </c>
      <c r="F2704" s="139" t="s">
        <v>13</v>
      </c>
      <c r="G2704" s="196"/>
      <c r="H2704" s="196"/>
      <c r="I2704" s="196"/>
      <c r="J2704" s="114"/>
      <c r="AU2704" s="117"/>
      <c r="AV2704" s="117"/>
      <c r="AW2704" s="117"/>
      <c r="AX2704" s="117"/>
      <c r="AY2704" s="117"/>
      <c r="AZ2704" s="117"/>
      <c r="BA2704" s="117"/>
      <c r="BB2704" s="117"/>
      <c r="BC2704" s="117"/>
      <c r="BD2704" s="117"/>
    </row>
    <row r="2705" spans="1:56" ht="18">
      <c r="A2705" s="114"/>
      <c r="B2705" s="1011" t="s">
        <v>316</v>
      </c>
      <c r="C2705" s="172"/>
      <c r="D2705" s="173"/>
      <c r="E2705" s="425">
        <f>E2693+E2661+E2628+E2594+E2572+E2550</f>
        <v>48.456250000000004</v>
      </c>
      <c r="F2705" s="139" t="s">
        <v>1124</v>
      </c>
      <c r="G2705" s="196"/>
      <c r="H2705" s="196"/>
      <c r="I2705" s="196"/>
      <c r="J2705" s="114"/>
      <c r="AU2705" s="117"/>
      <c r="AV2705" s="117"/>
      <c r="AW2705" s="117"/>
      <c r="AX2705" s="117"/>
      <c r="AY2705" s="117"/>
      <c r="AZ2705" s="117"/>
      <c r="BA2705" s="117"/>
      <c r="BB2705" s="117"/>
      <c r="BC2705" s="117"/>
      <c r="BD2705" s="117"/>
    </row>
    <row r="2706" spans="1:56">
      <c r="A2706" s="114"/>
      <c r="B2706" s="690"/>
      <c r="C2706" s="115"/>
      <c r="D2706" s="115"/>
      <c r="E2706" s="115"/>
      <c r="F2706" s="182"/>
      <c r="G2706" s="362"/>
      <c r="H2706" s="362"/>
      <c r="I2706" s="362"/>
      <c r="J2706" s="114"/>
      <c r="AU2706" s="117"/>
      <c r="AV2706" s="117"/>
      <c r="AW2706" s="117"/>
      <c r="AX2706" s="117"/>
      <c r="AY2706" s="117"/>
      <c r="AZ2706" s="117"/>
      <c r="BA2706" s="117"/>
      <c r="BB2706" s="117"/>
      <c r="BC2706" s="117"/>
      <c r="BD2706" s="117"/>
    </row>
    <row r="2707" spans="1:56">
      <c r="A2707" s="114"/>
      <c r="B2707" s="691" t="s">
        <v>1193</v>
      </c>
      <c r="C2707" s="1008"/>
      <c r="D2707" s="452" t="s">
        <v>1194</v>
      </c>
      <c r="E2707" s="452" t="s">
        <v>67</v>
      </c>
      <c r="F2707" s="182"/>
      <c r="G2707" s="362"/>
      <c r="H2707" s="362"/>
      <c r="I2707" s="362"/>
      <c r="J2707" s="114"/>
      <c r="AU2707" s="117"/>
      <c r="AV2707" s="117"/>
      <c r="AW2707" s="117"/>
      <c r="AX2707" s="117"/>
      <c r="AY2707" s="117"/>
      <c r="AZ2707" s="117"/>
      <c r="BA2707" s="117"/>
      <c r="BB2707" s="117"/>
      <c r="BC2707" s="117"/>
      <c r="BD2707" s="117"/>
    </row>
    <row r="2708" spans="1:56">
      <c r="A2708" s="114"/>
      <c r="B2708" s="1011" t="s">
        <v>1195</v>
      </c>
      <c r="C2708" s="413"/>
      <c r="D2708" s="291">
        <f>E2688+E2656+E2623</f>
        <v>576</v>
      </c>
      <c r="E2708" s="427">
        <f>E2685+E2653+E2620</f>
        <v>48</v>
      </c>
      <c r="F2708" s="182"/>
      <c r="G2708" s="362"/>
      <c r="H2708" s="362"/>
      <c r="I2708" s="362"/>
      <c r="J2708" s="114"/>
      <c r="AU2708" s="117"/>
      <c r="AV2708" s="117"/>
      <c r="AW2708" s="117"/>
      <c r="AX2708" s="117"/>
      <c r="AY2708" s="117"/>
      <c r="AZ2708" s="117"/>
      <c r="BA2708" s="117"/>
      <c r="BB2708" s="117"/>
      <c r="BC2708" s="117"/>
      <c r="BD2708" s="117"/>
    </row>
    <row r="2709" spans="1:56">
      <c r="A2709" s="114"/>
      <c r="B2709" s="694"/>
      <c r="C2709" s="1008"/>
      <c r="D2709" s="196"/>
      <c r="E2709" s="196"/>
      <c r="F2709" s="182"/>
      <c r="G2709" s="1008"/>
      <c r="H2709" s="1008"/>
      <c r="I2709" s="1008"/>
      <c r="J2709" s="114"/>
      <c r="AU2709" s="117"/>
      <c r="AV2709" s="117"/>
      <c r="AW2709" s="117"/>
      <c r="AX2709" s="117"/>
      <c r="AY2709" s="117"/>
      <c r="AZ2709" s="117"/>
      <c r="BA2709" s="117"/>
      <c r="BB2709" s="117"/>
      <c r="BC2709" s="117"/>
      <c r="BD2709" s="117"/>
    </row>
    <row r="2710" spans="1:56" thickBot="1">
      <c r="A2710" s="114"/>
      <c r="B2710" s="1012" t="s">
        <v>102</v>
      </c>
      <c r="C2710" s="1016">
        <v>2496</v>
      </c>
      <c r="D2710" s="1022" t="s">
        <v>12</v>
      </c>
      <c r="E2710" s="1020" t="s">
        <v>1231</v>
      </c>
      <c r="F2710" s="440"/>
      <c r="G2710" s="1008"/>
      <c r="H2710" s="1008"/>
      <c r="I2710" s="1008"/>
      <c r="J2710" s="114"/>
      <c r="AU2710" s="117"/>
      <c r="AV2710" s="117"/>
      <c r="AW2710" s="117"/>
      <c r="AX2710" s="117"/>
      <c r="AY2710" s="117"/>
      <c r="AZ2710" s="117"/>
      <c r="BA2710" s="117"/>
      <c r="BB2710" s="117"/>
      <c r="BC2710" s="117"/>
      <c r="BD2710" s="117"/>
    </row>
    <row r="2711" spans="1:56" ht="15">
      <c r="A2711" s="114"/>
      <c r="B2711" s="196"/>
      <c r="C2711" s="196"/>
      <c r="D2711" s="196"/>
      <c r="E2711" s="196"/>
      <c r="F2711" s="196"/>
      <c r="G2711" s="196"/>
      <c r="H2711" s="196"/>
      <c r="I2711" s="196"/>
      <c r="J2711" s="114"/>
      <c r="AT2711" s="117"/>
      <c r="AU2711" s="117"/>
      <c r="AV2711" s="117"/>
      <c r="AW2711" s="117"/>
      <c r="AX2711" s="117"/>
      <c r="AY2711" s="117"/>
      <c r="AZ2711" s="117"/>
      <c r="BA2711" s="117"/>
      <c r="BB2711" s="117"/>
      <c r="BC2711" s="117"/>
      <c r="BD2711" s="117"/>
    </row>
    <row r="2712" spans="1:56" thickBot="1">
      <c r="A2712" s="114"/>
      <c r="B2712" s="196"/>
      <c r="C2712" s="196"/>
      <c r="D2712" s="196"/>
      <c r="E2712" s="196"/>
      <c r="F2712" s="196"/>
      <c r="G2712" s="196"/>
      <c r="H2712" s="196"/>
      <c r="I2712" s="196"/>
      <c r="J2712" s="114"/>
      <c r="AW2712" s="117"/>
      <c r="AX2712" s="117"/>
      <c r="AY2712" s="117"/>
      <c r="AZ2712" s="117"/>
      <c r="BA2712" s="117"/>
      <c r="BB2712" s="117"/>
      <c r="BC2712" s="117"/>
      <c r="BD2712" s="117"/>
    </row>
    <row r="2713" spans="1:56">
      <c r="A2713" s="114"/>
      <c r="B2713" s="702" t="s">
        <v>320</v>
      </c>
      <c r="C2713" s="282"/>
      <c r="D2713" s="282"/>
      <c r="E2713" s="282"/>
      <c r="F2713" s="283"/>
      <c r="G2713" s="196"/>
      <c r="H2713" s="196"/>
      <c r="I2713" s="196"/>
      <c r="J2713" s="114"/>
      <c r="AW2713" s="117"/>
      <c r="AX2713" s="117"/>
      <c r="AY2713" s="117"/>
      <c r="AZ2713" s="117"/>
      <c r="BA2713" s="117"/>
      <c r="BB2713" s="117"/>
      <c r="BC2713" s="117"/>
      <c r="BD2713" s="117"/>
    </row>
    <row r="2714" spans="1:56" ht="15">
      <c r="A2714" s="114"/>
      <c r="B2714" s="693"/>
      <c r="C2714" s="196"/>
      <c r="D2714" s="196"/>
      <c r="E2714" s="196"/>
      <c r="F2714" s="284"/>
      <c r="G2714" s="196"/>
      <c r="H2714" s="196"/>
      <c r="I2714" s="196"/>
      <c r="J2714" s="114"/>
      <c r="AW2714" s="117"/>
      <c r="AX2714" s="117"/>
      <c r="AY2714" s="117"/>
      <c r="AZ2714" s="117"/>
      <c r="BA2714" s="117"/>
      <c r="BB2714" s="117"/>
      <c r="BC2714" s="117"/>
      <c r="BD2714" s="117"/>
    </row>
    <row r="2715" spans="1:56" ht="15">
      <c r="A2715" s="114"/>
      <c r="B2715" s="691" t="s">
        <v>1232</v>
      </c>
      <c r="C2715" s="196"/>
      <c r="D2715" s="196"/>
      <c r="E2715" s="196"/>
      <c r="F2715" s="284"/>
      <c r="G2715" s="196"/>
      <c r="H2715" s="196"/>
      <c r="I2715" s="196"/>
      <c r="J2715" s="114"/>
      <c r="AW2715" s="117"/>
      <c r="AX2715" s="117"/>
      <c r="AY2715" s="117"/>
      <c r="AZ2715" s="117"/>
      <c r="BA2715" s="117"/>
      <c r="BB2715" s="117"/>
      <c r="BC2715" s="117"/>
      <c r="BD2715" s="117"/>
    </row>
    <row r="2716" spans="1:56" ht="15">
      <c r="A2716" s="114"/>
      <c r="B2716" s="703" t="s">
        <v>102</v>
      </c>
      <c r="C2716" s="285">
        <v>4716</v>
      </c>
      <c r="D2716" s="286" t="s">
        <v>12</v>
      </c>
      <c r="E2716" s="1199" t="s">
        <v>1233</v>
      </c>
      <c r="F2716" s="1200"/>
      <c r="G2716" s="196"/>
      <c r="H2716" s="196"/>
      <c r="I2716" s="196"/>
      <c r="J2716" s="114"/>
      <c r="AW2716" s="117"/>
      <c r="AX2716" s="117"/>
      <c r="AY2716" s="117"/>
      <c r="AZ2716" s="117"/>
      <c r="BA2716" s="117"/>
      <c r="BB2716" s="117"/>
      <c r="BC2716" s="117"/>
      <c r="BD2716" s="117"/>
    </row>
    <row r="2717" spans="1:56" ht="15">
      <c r="A2717" s="114"/>
      <c r="B2717" s="703" t="s">
        <v>329</v>
      </c>
      <c r="C2717" s="285">
        <v>19</v>
      </c>
      <c r="D2717" s="286" t="s">
        <v>12</v>
      </c>
      <c r="E2717" s="1201"/>
      <c r="F2717" s="1202"/>
      <c r="G2717" s="196"/>
      <c r="H2717" s="196"/>
      <c r="I2717" s="196"/>
      <c r="J2717" s="114"/>
      <c r="AW2717" s="117"/>
      <c r="AX2717" s="117"/>
      <c r="AY2717" s="117"/>
      <c r="AZ2717" s="117"/>
      <c r="BA2717" s="117"/>
      <c r="BB2717" s="117"/>
      <c r="BC2717" s="117"/>
      <c r="BD2717" s="117"/>
    </row>
    <row r="2718" spans="1:56" ht="15">
      <c r="A2718" s="114"/>
      <c r="B2718" s="776"/>
      <c r="C2718" s="387"/>
      <c r="D2718" s="387"/>
      <c r="E2718" s="387"/>
      <c r="F2718" s="455"/>
      <c r="G2718" s="387"/>
      <c r="H2718" s="386"/>
      <c r="I2718" s="386"/>
      <c r="J2718" s="114"/>
      <c r="AW2718" s="117"/>
      <c r="AX2718" s="117"/>
      <c r="AY2718" s="117"/>
      <c r="AZ2718" s="117"/>
      <c r="BA2718" s="117"/>
      <c r="BB2718" s="117"/>
      <c r="BC2718" s="117"/>
      <c r="BD2718" s="117"/>
    </row>
    <row r="2719" spans="1:56" ht="15">
      <c r="A2719" s="114"/>
      <c r="B2719" s="691" t="s">
        <v>351</v>
      </c>
      <c r="C2719" s="387"/>
      <c r="D2719" s="387"/>
      <c r="E2719" s="387"/>
      <c r="F2719" s="455"/>
      <c r="G2719" s="387"/>
      <c r="H2719" s="386"/>
      <c r="I2719" s="386"/>
      <c r="J2719" s="114"/>
      <c r="AW2719" s="117"/>
      <c r="AX2719" s="117"/>
      <c r="AY2719" s="117"/>
      <c r="AZ2719" s="117"/>
      <c r="BA2719" s="117"/>
      <c r="BB2719" s="117"/>
      <c r="BC2719" s="117"/>
      <c r="BD2719" s="117"/>
    </row>
    <row r="2720" spans="1:56" ht="15">
      <c r="A2720" s="114"/>
      <c r="B2720" s="703" t="s">
        <v>352</v>
      </c>
      <c r="C2720" s="172"/>
      <c r="D2720" s="173"/>
      <c r="E2720" s="291">
        <f>C2710+C2716</f>
        <v>7212</v>
      </c>
      <c r="F2720" s="139" t="s">
        <v>12</v>
      </c>
      <c r="G2720" s="196"/>
      <c r="H2720" s="196"/>
      <c r="I2720" s="196"/>
      <c r="J2720" s="114"/>
      <c r="AU2720" s="117"/>
      <c r="AV2720" s="117"/>
      <c r="AW2720" s="117"/>
      <c r="AX2720" s="117"/>
      <c r="AY2720" s="117"/>
      <c r="AZ2720" s="117"/>
      <c r="BA2720" s="117"/>
      <c r="BB2720" s="117"/>
      <c r="BC2720" s="117"/>
      <c r="BD2720" s="117"/>
    </row>
    <row r="2721" spans="1:56" thickBot="1">
      <c r="A2721" s="114"/>
      <c r="B2721" s="720" t="s">
        <v>353</v>
      </c>
      <c r="C2721" s="174"/>
      <c r="D2721" s="176"/>
      <c r="E2721" s="428">
        <f>C2717</f>
        <v>19</v>
      </c>
      <c r="F2721" s="440" t="s">
        <v>12</v>
      </c>
      <c r="G2721" s="196"/>
      <c r="H2721" s="196"/>
      <c r="I2721" s="196"/>
      <c r="J2721" s="114"/>
      <c r="AU2721" s="117"/>
      <c r="AV2721" s="117"/>
      <c r="AW2721" s="117"/>
      <c r="AX2721" s="117"/>
      <c r="AY2721" s="117"/>
      <c r="AZ2721" s="117"/>
      <c r="BA2721" s="117"/>
      <c r="BB2721" s="117"/>
      <c r="BC2721" s="117"/>
      <c r="BD2721" s="117"/>
    </row>
    <row r="2722" spans="1:56" ht="15">
      <c r="A2722" s="114"/>
      <c r="B2722" s="293"/>
      <c r="C2722" s="387"/>
      <c r="D2722" s="387"/>
      <c r="E2722" s="387"/>
      <c r="F2722" s="387"/>
      <c r="G2722" s="387"/>
      <c r="H2722" s="386"/>
      <c r="I2722" s="386"/>
      <c r="J2722" s="114"/>
      <c r="AW2722" s="117"/>
      <c r="AX2722" s="117"/>
      <c r="AY2722" s="117"/>
      <c r="AZ2722" s="117"/>
      <c r="BA2722" s="117"/>
      <c r="BB2722" s="117"/>
      <c r="BC2722" s="117"/>
      <c r="BD2722" s="117"/>
    </row>
    <row r="2723" spans="1:56" ht="15">
      <c r="A2723" s="114"/>
      <c r="B2723" s="196"/>
      <c r="C2723" s="196"/>
      <c r="D2723" s="196"/>
      <c r="E2723" s="196"/>
      <c r="F2723" s="196"/>
      <c r="G2723" s="196"/>
      <c r="H2723" s="196"/>
      <c r="I2723" s="196"/>
      <c r="J2723" s="114"/>
      <c r="AV2723" s="117"/>
      <c r="AW2723" s="117"/>
      <c r="AX2723" s="117"/>
      <c r="AY2723" s="117"/>
      <c r="AZ2723" s="117"/>
      <c r="BA2723" s="117"/>
      <c r="BB2723" s="117"/>
      <c r="BC2723" s="117"/>
      <c r="BD2723" s="117"/>
    </row>
    <row r="2724" spans="1:56" ht="15">
      <c r="A2724" s="114"/>
      <c r="B2724" s="760" t="s">
        <v>2275</v>
      </c>
      <c r="C2724" s="382"/>
      <c r="D2724" s="382"/>
      <c r="E2724" s="382"/>
      <c r="F2724" s="382"/>
      <c r="G2724" s="382"/>
      <c r="H2724" s="383"/>
      <c r="I2724" s="383"/>
      <c r="J2724" s="351"/>
      <c r="AW2724" s="117"/>
      <c r="AX2724" s="117"/>
      <c r="AY2724" s="117"/>
      <c r="AZ2724" s="117"/>
      <c r="BA2724" s="117"/>
      <c r="BB2724" s="117"/>
      <c r="BC2724" s="117"/>
      <c r="BD2724" s="117"/>
    </row>
    <row r="2725" spans="1:56" ht="15">
      <c r="A2725" s="114"/>
      <c r="B2725" s="114"/>
      <c r="C2725" s="114"/>
      <c r="D2725" s="114"/>
      <c r="E2725" s="114"/>
      <c r="F2725" s="114"/>
      <c r="G2725" s="114"/>
      <c r="H2725" s="114"/>
      <c r="I2725" s="386"/>
      <c r="J2725" s="114"/>
      <c r="AW2725" s="117"/>
      <c r="AX2725" s="117"/>
      <c r="AY2725" s="117"/>
      <c r="AZ2725" s="117"/>
      <c r="BA2725" s="117"/>
      <c r="BB2725" s="117"/>
      <c r="BC2725" s="117"/>
      <c r="BD2725" s="117"/>
    </row>
    <row r="2726" spans="1:56" ht="15">
      <c r="A2726" s="114"/>
      <c r="B2726" s="288" t="s">
        <v>1789</v>
      </c>
      <c r="C2726" s="230"/>
      <c r="D2726" s="230"/>
      <c r="E2726" s="384"/>
      <c r="F2726" s="196"/>
      <c r="G2726" s="196"/>
      <c r="H2726" s="196"/>
      <c r="I2726" s="196"/>
      <c r="J2726" s="114"/>
      <c r="AW2726" s="117"/>
      <c r="AX2726" s="117"/>
      <c r="AY2726" s="117"/>
      <c r="AZ2726" s="117"/>
      <c r="BA2726" s="117"/>
      <c r="BB2726" s="117"/>
      <c r="BC2726" s="117"/>
      <c r="BD2726" s="117"/>
    </row>
    <row r="2727" spans="1:56" ht="15">
      <c r="A2727" s="114"/>
      <c r="B2727" s="288" t="s">
        <v>1787</v>
      </c>
      <c r="C2727" s="230"/>
      <c r="D2727" s="230"/>
      <c r="E2727" s="384"/>
      <c r="F2727" s="196"/>
      <c r="G2727" s="196"/>
      <c r="H2727" s="196"/>
      <c r="I2727" s="196"/>
      <c r="J2727" s="114"/>
      <c r="AW2727" s="117"/>
      <c r="AX2727" s="117"/>
      <c r="AY2727" s="117"/>
      <c r="AZ2727" s="117"/>
      <c r="BA2727" s="117"/>
      <c r="BB2727" s="117"/>
      <c r="BC2727" s="117"/>
      <c r="BD2727" s="117"/>
    </row>
    <row r="2728" spans="1:56" ht="15">
      <c r="A2728" s="114"/>
      <c r="B2728" s="114"/>
      <c r="C2728" s="114"/>
      <c r="D2728" s="114"/>
      <c r="E2728" s="114"/>
      <c r="F2728" s="114"/>
      <c r="G2728" s="114"/>
      <c r="H2728" s="114"/>
      <c r="I2728" s="386"/>
      <c r="J2728" s="114"/>
      <c r="AW2728" s="117"/>
      <c r="AX2728" s="117"/>
      <c r="AY2728" s="117"/>
      <c r="AZ2728" s="117"/>
      <c r="BA2728" s="117"/>
      <c r="BB2728" s="117"/>
      <c r="BC2728" s="117"/>
      <c r="BD2728" s="117"/>
    </row>
    <row r="2729" spans="1:56">
      <c r="A2729" s="114"/>
      <c r="B2729" s="385" t="s">
        <v>1234</v>
      </c>
      <c r="C2729" s="196"/>
      <c r="D2729" s="196"/>
      <c r="E2729" s="196"/>
      <c r="F2729" s="196"/>
      <c r="G2729" s="196"/>
      <c r="H2729" s="196"/>
      <c r="I2729" s="196"/>
      <c r="J2729" s="114"/>
      <c r="AW2729" s="117"/>
      <c r="AX2729" s="117"/>
      <c r="AY2729" s="117"/>
      <c r="AZ2729" s="117"/>
      <c r="BA2729" s="117"/>
      <c r="BB2729" s="117"/>
      <c r="BC2729" s="117"/>
      <c r="BD2729" s="117"/>
    </row>
    <row r="2730" spans="1:56" ht="15">
      <c r="A2730" s="114"/>
      <c r="B2730" s="196"/>
      <c r="C2730" s="196"/>
      <c r="D2730" s="196"/>
      <c r="E2730" s="196"/>
      <c r="F2730" s="196"/>
      <c r="G2730" s="196"/>
      <c r="H2730" s="196"/>
      <c r="I2730" s="196"/>
      <c r="J2730" s="114"/>
      <c r="AW2730" s="117"/>
      <c r="AX2730" s="117"/>
      <c r="AY2730" s="117"/>
      <c r="AZ2730" s="117"/>
      <c r="BA2730" s="117"/>
      <c r="BB2730" s="117"/>
      <c r="BC2730" s="117"/>
      <c r="BD2730" s="117"/>
    </row>
    <row r="2731" spans="1:56" ht="15">
      <c r="A2731" s="114"/>
      <c r="B2731" s="388" t="s">
        <v>1110</v>
      </c>
      <c r="C2731" s="389">
        <v>0.25</v>
      </c>
      <c r="D2731" s="390" t="s">
        <v>10</v>
      </c>
      <c r="E2731" s="196"/>
      <c r="F2731" s="196"/>
      <c r="G2731" s="392"/>
      <c r="H2731" s="393"/>
      <c r="I2731" s="196"/>
      <c r="J2731" s="114"/>
      <c r="AW2731" s="117"/>
      <c r="AX2731" s="117"/>
      <c r="AY2731" s="117"/>
      <c r="AZ2731" s="117"/>
      <c r="BA2731" s="117"/>
      <c r="BB2731" s="117"/>
      <c r="BC2731" s="117"/>
      <c r="BD2731" s="117"/>
    </row>
    <row r="2732" spans="1:56" ht="15">
      <c r="A2732" s="114"/>
      <c r="B2732" s="388" t="s">
        <v>1111</v>
      </c>
      <c r="C2732" s="391">
        <f>5.335+5.88+5.335+7.5+7.5+7.5+7.125+7.125+7.5+7.5+7.5+7.5+7.5+7.125+7.125+7.5+7.5+5.335+5.88+5.335+16+0.315+4.96+7.07+5.88+5.335+7.125+5.88+7.125+5.725+5.635+0.675+1.21+4.08+1.51+2.85+5.72+7.435+3.525+3.6+7.43+4.08+5.63</f>
        <v>255.39500000000001</v>
      </c>
      <c r="D2732" s="390" t="s">
        <v>10</v>
      </c>
      <c r="E2732" s="196"/>
      <c r="F2732" s="196"/>
      <c r="G2732" s="392"/>
      <c r="H2732" s="393"/>
      <c r="I2732" s="196"/>
      <c r="J2732" s="114"/>
      <c r="AW2732" s="117"/>
      <c r="AX2732" s="117"/>
      <c r="AY2732" s="117"/>
      <c r="AZ2732" s="117"/>
      <c r="BA2732" s="117"/>
      <c r="BB2732" s="117"/>
      <c r="BC2732" s="117"/>
      <c r="BD2732" s="117"/>
    </row>
    <row r="2733" spans="1:56" ht="15">
      <c r="A2733" s="114"/>
      <c r="B2733" s="388" t="s">
        <v>1112</v>
      </c>
      <c r="C2733" s="389">
        <v>0.4</v>
      </c>
      <c r="D2733" s="390" t="s">
        <v>10</v>
      </c>
      <c r="E2733" s="196"/>
      <c r="F2733" s="196"/>
      <c r="G2733" s="392"/>
      <c r="H2733" s="393"/>
      <c r="I2733" s="196"/>
      <c r="J2733" s="114"/>
      <c r="AW2733" s="117"/>
      <c r="AX2733" s="117"/>
      <c r="AY2733" s="117"/>
      <c r="AZ2733" s="117"/>
      <c r="BA2733" s="117"/>
      <c r="BB2733" s="117"/>
      <c r="BC2733" s="117"/>
      <c r="BD2733" s="117"/>
    </row>
    <row r="2734" spans="1:56" ht="15">
      <c r="A2734" s="114"/>
      <c r="B2734" s="388" t="s">
        <v>1113</v>
      </c>
      <c r="C2734" s="389">
        <v>0.8</v>
      </c>
      <c r="D2734" s="390" t="s">
        <v>10</v>
      </c>
      <c r="E2734" s="196"/>
      <c r="F2734" s="196"/>
      <c r="G2734" s="392"/>
      <c r="H2734" s="394"/>
      <c r="I2734" s="196"/>
      <c r="J2734" s="114"/>
      <c r="AW2734" s="117"/>
      <c r="AX2734" s="117"/>
      <c r="AY2734" s="117"/>
      <c r="AZ2734" s="117"/>
      <c r="BA2734" s="117"/>
      <c r="BB2734" s="117"/>
      <c r="BC2734" s="117"/>
      <c r="BD2734" s="117"/>
    </row>
    <row r="2735" spans="1:56" ht="15">
      <c r="A2735" s="114"/>
      <c r="B2735" s="388" t="s">
        <v>1117</v>
      </c>
      <c r="C2735" s="389">
        <v>1</v>
      </c>
      <c r="D2735" s="390" t="s">
        <v>1118</v>
      </c>
      <c r="E2735" s="196"/>
      <c r="F2735" s="196"/>
      <c r="G2735" s="392"/>
      <c r="H2735" s="393"/>
      <c r="I2735" s="196"/>
      <c r="J2735" s="114"/>
      <c r="AW2735" s="117"/>
      <c r="AX2735" s="117"/>
      <c r="AY2735" s="117"/>
      <c r="AZ2735" s="117"/>
      <c r="BA2735" s="117"/>
      <c r="BB2735" s="117"/>
      <c r="BC2735" s="117"/>
      <c r="BD2735" s="117"/>
    </row>
    <row r="2736" spans="1:56" ht="15">
      <c r="A2736" s="114"/>
      <c r="B2736" s="392"/>
      <c r="C2736" s="393"/>
      <c r="D2736" s="196"/>
      <c r="E2736" s="196"/>
      <c r="F2736" s="196"/>
      <c r="G2736" s="392"/>
      <c r="H2736" s="393"/>
      <c r="I2736" s="196"/>
      <c r="J2736" s="114"/>
      <c r="AW2736" s="117"/>
      <c r="AX2736" s="117"/>
      <c r="AY2736" s="117"/>
      <c r="AZ2736" s="117"/>
      <c r="BA2736" s="117"/>
      <c r="BB2736" s="117"/>
      <c r="BC2736" s="117"/>
      <c r="BD2736" s="117"/>
    </row>
    <row r="2737" spans="1:56" ht="15">
      <c r="A2737" s="114"/>
      <c r="B2737" s="388" t="s">
        <v>1114</v>
      </c>
      <c r="C2737" s="389">
        <v>0.6</v>
      </c>
      <c r="D2737" s="390" t="s">
        <v>10</v>
      </c>
      <c r="E2737" s="288" t="s">
        <v>1120</v>
      </c>
      <c r="F2737" s="288"/>
      <c r="G2737" s="230"/>
      <c r="H2737" s="395"/>
      <c r="I2737" s="196"/>
      <c r="J2737" s="114"/>
      <c r="AW2737" s="117"/>
      <c r="AX2737" s="117"/>
      <c r="AY2737" s="117"/>
      <c r="AZ2737" s="117"/>
      <c r="BA2737" s="117"/>
      <c r="BB2737" s="117"/>
      <c r="BC2737" s="117"/>
      <c r="BD2737" s="117"/>
    </row>
    <row r="2738" spans="1:56" ht="15">
      <c r="A2738" s="114"/>
      <c r="B2738" s="388" t="s">
        <v>1114</v>
      </c>
      <c r="C2738" s="389">
        <v>0.2</v>
      </c>
      <c r="D2738" s="390" t="s">
        <v>10</v>
      </c>
      <c r="E2738" s="288" t="s">
        <v>1121</v>
      </c>
      <c r="F2738" s="288"/>
      <c r="G2738" s="230"/>
      <c r="H2738" s="395"/>
      <c r="I2738" s="196"/>
      <c r="J2738" s="114"/>
      <c r="AW2738" s="117"/>
      <c r="AX2738" s="117"/>
      <c r="AY2738" s="117"/>
      <c r="AZ2738" s="117"/>
      <c r="BA2738" s="117"/>
      <c r="BB2738" s="117"/>
      <c r="BC2738" s="117"/>
      <c r="BD2738" s="117"/>
    </row>
    <row r="2739" spans="1:56" ht="15">
      <c r="A2739" s="114"/>
      <c r="B2739" s="196"/>
      <c r="C2739" s="196"/>
      <c r="D2739" s="196"/>
      <c r="E2739" s="196"/>
      <c r="F2739" s="196"/>
      <c r="G2739" s="196"/>
      <c r="H2739" s="196"/>
      <c r="I2739" s="196"/>
      <c r="J2739" s="114"/>
      <c r="AW2739" s="117"/>
      <c r="AX2739" s="117"/>
      <c r="AY2739" s="117"/>
      <c r="AZ2739" s="117"/>
      <c r="BA2739" s="117"/>
      <c r="BB2739" s="117"/>
      <c r="BC2739" s="117"/>
      <c r="BD2739" s="117"/>
    </row>
    <row r="2740" spans="1:56" ht="15">
      <c r="A2740" s="114"/>
      <c r="B2740" s="303" t="s">
        <v>1122</v>
      </c>
      <c r="C2740" s="362"/>
      <c r="D2740" s="362"/>
      <c r="E2740" s="196"/>
      <c r="F2740" s="196"/>
      <c r="G2740" s="196"/>
      <c r="H2740" s="196"/>
      <c r="I2740" s="196"/>
      <c r="J2740" s="114"/>
      <c r="AW2740" s="117"/>
      <c r="AX2740" s="117"/>
      <c r="AY2740" s="117"/>
      <c r="AZ2740" s="117"/>
      <c r="BA2740" s="117"/>
      <c r="BB2740" s="117"/>
      <c r="BC2740" s="117"/>
      <c r="BD2740" s="117"/>
    </row>
    <row r="2741" spans="1:56" ht="18">
      <c r="A2741" s="114"/>
      <c r="B2741" s="396" t="s">
        <v>1123</v>
      </c>
      <c r="C2741" s="289"/>
      <c r="D2741" s="290"/>
      <c r="E2741" s="397">
        <f>C2735*(C2737*2*(0.05+C2734+C2733)*C2732)</f>
        <v>383.09250000000003</v>
      </c>
      <c r="F2741" s="390" t="s">
        <v>1124</v>
      </c>
      <c r="G2741" s="196"/>
      <c r="H2741" s="196"/>
      <c r="I2741" s="196"/>
      <c r="J2741" s="114"/>
      <c r="AW2741" s="117"/>
      <c r="AX2741" s="117"/>
      <c r="AY2741" s="117"/>
      <c r="AZ2741" s="117"/>
      <c r="BA2741" s="117"/>
      <c r="BB2741" s="117"/>
      <c r="BC2741" s="117"/>
      <c r="BD2741" s="117"/>
    </row>
    <row r="2742" spans="1:56" ht="18">
      <c r="A2742" s="114"/>
      <c r="B2742" s="398" t="s">
        <v>1125</v>
      </c>
      <c r="C2742" s="172"/>
      <c r="D2742" s="173"/>
      <c r="E2742" s="397">
        <f>E2741-(E2746+E2748)</f>
        <v>326.90560000000005</v>
      </c>
      <c r="F2742" s="390" t="s">
        <v>1124</v>
      </c>
      <c r="G2742" s="196"/>
      <c r="H2742" s="196"/>
      <c r="I2742" s="196"/>
      <c r="J2742" s="114"/>
      <c r="AW2742" s="117"/>
      <c r="AX2742" s="117"/>
      <c r="AY2742" s="117"/>
      <c r="AZ2742" s="117"/>
      <c r="BA2742" s="117"/>
      <c r="BB2742" s="117"/>
      <c r="BC2742" s="117"/>
      <c r="BD2742" s="117"/>
    </row>
    <row r="2743" spans="1:56" ht="15">
      <c r="A2743" s="114"/>
      <c r="B2743" s="399" t="s">
        <v>1126</v>
      </c>
      <c r="C2743" s="317"/>
      <c r="D2743" s="318"/>
      <c r="E2743" s="400">
        <f>(2*C2738)*C2732</f>
        <v>102.15800000000002</v>
      </c>
      <c r="F2743" s="390" t="s">
        <v>13</v>
      </c>
      <c r="G2743" s="196"/>
      <c r="H2743" s="196"/>
      <c r="I2743" s="196"/>
      <c r="J2743" s="114"/>
      <c r="AW2743" s="117"/>
      <c r="AX2743" s="117"/>
      <c r="AY2743" s="117"/>
      <c r="AZ2743" s="117"/>
      <c r="BA2743" s="117"/>
      <c r="BB2743" s="117"/>
      <c r="BC2743" s="117"/>
      <c r="BD2743" s="117"/>
    </row>
    <row r="2744" spans="1:56" ht="15">
      <c r="A2744" s="114"/>
      <c r="B2744" s="196"/>
      <c r="C2744" s="196"/>
      <c r="D2744" s="196"/>
      <c r="E2744" s="401"/>
      <c r="F2744" s="196"/>
      <c r="G2744" s="196"/>
      <c r="H2744" s="196"/>
      <c r="I2744" s="196"/>
      <c r="J2744" s="114"/>
      <c r="AW2744" s="117"/>
      <c r="AX2744" s="117"/>
      <c r="AY2744" s="117"/>
      <c r="AZ2744" s="117"/>
      <c r="BA2744" s="117"/>
      <c r="BB2744" s="117"/>
      <c r="BC2744" s="117"/>
      <c r="BD2744" s="117"/>
    </row>
    <row r="2745" spans="1:56" ht="15">
      <c r="A2745" s="114"/>
      <c r="B2745" s="303" t="s">
        <v>1127</v>
      </c>
      <c r="C2745" s="196"/>
      <c r="D2745" s="196"/>
      <c r="E2745" s="401"/>
      <c r="F2745" s="196"/>
      <c r="G2745" s="196"/>
      <c r="H2745" s="196"/>
      <c r="I2745" s="196"/>
      <c r="J2745" s="114"/>
      <c r="AW2745" s="117"/>
      <c r="AX2745" s="117"/>
      <c r="AY2745" s="117"/>
      <c r="AZ2745" s="117"/>
      <c r="BA2745" s="117"/>
      <c r="BB2745" s="117"/>
      <c r="BC2745" s="117"/>
      <c r="BD2745" s="117"/>
    </row>
    <row r="2746" spans="1:56" ht="18">
      <c r="A2746" s="114"/>
      <c r="B2746" s="398" t="s">
        <v>1128</v>
      </c>
      <c r="C2746" s="172"/>
      <c r="D2746" s="173"/>
      <c r="E2746" s="402">
        <f>E2743*0.05</f>
        <v>5.1079000000000008</v>
      </c>
      <c r="F2746" s="390" t="s">
        <v>1124</v>
      </c>
      <c r="G2746" s="196"/>
      <c r="H2746" s="196"/>
      <c r="I2746" s="196"/>
      <c r="J2746" s="114"/>
      <c r="AW2746" s="117"/>
      <c r="AX2746" s="117"/>
      <c r="AY2746" s="117"/>
      <c r="AZ2746" s="117"/>
      <c r="BA2746" s="117"/>
      <c r="BB2746" s="117"/>
      <c r="BC2746" s="117"/>
      <c r="BD2746" s="117"/>
    </row>
    <row r="2747" spans="1:56" ht="15">
      <c r="A2747" s="114"/>
      <c r="B2747" s="398" t="s">
        <v>1129</v>
      </c>
      <c r="C2747" s="172"/>
      <c r="D2747" s="173"/>
      <c r="E2747" s="397">
        <f>C2734*2*C2732</f>
        <v>408.63200000000006</v>
      </c>
      <c r="F2747" s="390" t="s">
        <v>13</v>
      </c>
      <c r="G2747" s="393" t="s">
        <v>1108</v>
      </c>
      <c r="H2747" s="196" t="s">
        <v>1131</v>
      </c>
      <c r="I2747" s="393"/>
      <c r="J2747" s="114"/>
      <c r="AW2747" s="117"/>
      <c r="AX2747" s="117"/>
      <c r="AY2747" s="117"/>
      <c r="AZ2747" s="117"/>
      <c r="BA2747" s="117"/>
      <c r="BB2747" s="117"/>
      <c r="BC2747" s="117"/>
      <c r="BD2747" s="117"/>
    </row>
    <row r="2748" spans="1:56" ht="18">
      <c r="A2748" s="114"/>
      <c r="B2748" s="398" t="s">
        <v>1130</v>
      </c>
      <c r="C2748" s="172"/>
      <c r="D2748" s="173"/>
      <c r="E2748" s="402">
        <f>C2731*C2732*C2734</f>
        <v>51.079000000000008</v>
      </c>
      <c r="F2748" s="390" t="s">
        <v>1124</v>
      </c>
      <c r="G2748" s="196"/>
      <c r="H2748" s="196"/>
      <c r="I2748" s="196"/>
      <c r="J2748" s="114"/>
      <c r="AW2748" s="117"/>
      <c r="AX2748" s="117"/>
      <c r="AY2748" s="117"/>
      <c r="AZ2748" s="117"/>
      <c r="BA2748" s="117"/>
      <c r="BB2748" s="117"/>
      <c r="BC2748" s="117"/>
      <c r="BD2748" s="117"/>
    </row>
    <row r="2749" spans="1:56" ht="15">
      <c r="A2749" s="114"/>
      <c r="B2749" s="196"/>
      <c r="C2749" s="196"/>
      <c r="D2749" s="196"/>
      <c r="E2749" s="196"/>
      <c r="F2749" s="196"/>
      <c r="G2749" s="196"/>
      <c r="H2749" s="196"/>
      <c r="I2749" s="196"/>
      <c r="J2749" s="114"/>
      <c r="AW2749" s="117"/>
      <c r="AX2749" s="117"/>
      <c r="AY2749" s="117"/>
      <c r="AZ2749" s="117"/>
      <c r="BA2749" s="117"/>
      <c r="BB2749" s="117"/>
      <c r="BC2749" s="117"/>
      <c r="BD2749" s="117"/>
    </row>
    <row r="2750" spans="1:56" ht="15">
      <c r="A2750" s="114"/>
      <c r="B2750" s="196"/>
      <c r="C2750" s="196"/>
      <c r="D2750" s="196"/>
      <c r="E2750" s="196"/>
      <c r="F2750" s="196"/>
      <c r="G2750" s="196"/>
      <c r="H2750" s="196"/>
      <c r="I2750" s="196"/>
      <c r="J2750" s="114"/>
      <c r="AW2750" s="117"/>
      <c r="AX2750" s="117"/>
      <c r="AY2750" s="117"/>
      <c r="AZ2750" s="117"/>
      <c r="BA2750" s="117"/>
      <c r="BB2750" s="117"/>
      <c r="BC2750" s="117"/>
      <c r="BD2750" s="117"/>
    </row>
    <row r="2751" spans="1:56">
      <c r="A2751" s="114"/>
      <c r="B2751" s="385" t="s">
        <v>1235</v>
      </c>
      <c r="C2751" s="196"/>
      <c r="D2751" s="196"/>
      <c r="E2751" s="196"/>
      <c r="F2751" s="196"/>
      <c r="G2751" s="196"/>
      <c r="H2751" s="196"/>
      <c r="I2751" s="196"/>
      <c r="J2751" s="114"/>
      <c r="AW2751" s="117"/>
      <c r="AX2751" s="117"/>
      <c r="AY2751" s="117"/>
      <c r="AZ2751" s="117"/>
      <c r="BA2751" s="117"/>
      <c r="BB2751" s="117"/>
      <c r="BC2751" s="117"/>
      <c r="BD2751" s="117"/>
    </row>
    <row r="2752" spans="1:56" ht="15">
      <c r="A2752" s="114"/>
      <c r="B2752" s="196"/>
      <c r="C2752" s="196"/>
      <c r="D2752" s="196"/>
      <c r="E2752" s="196"/>
      <c r="F2752" s="196"/>
      <c r="G2752" s="196"/>
      <c r="H2752" s="196"/>
      <c r="I2752" s="196"/>
      <c r="J2752" s="114"/>
      <c r="AW2752" s="117"/>
      <c r="AX2752" s="117"/>
      <c r="AY2752" s="117"/>
      <c r="AZ2752" s="117"/>
      <c r="BA2752" s="117"/>
      <c r="BB2752" s="117"/>
      <c r="BC2752" s="117"/>
      <c r="BD2752" s="117"/>
    </row>
    <row r="2753" spans="1:56" ht="15">
      <c r="A2753" s="114"/>
      <c r="B2753" s="388" t="s">
        <v>1110</v>
      </c>
      <c r="C2753" s="389">
        <v>0.2</v>
      </c>
      <c r="D2753" s="390" t="s">
        <v>10</v>
      </c>
      <c r="E2753" s="196"/>
      <c r="F2753" s="196"/>
      <c r="G2753" s="392"/>
      <c r="H2753" s="393"/>
      <c r="I2753" s="196"/>
      <c r="J2753" s="114"/>
      <c r="AW2753" s="117"/>
      <c r="AX2753" s="117"/>
      <c r="AY2753" s="117"/>
      <c r="AZ2753" s="117"/>
      <c r="BA2753" s="117"/>
      <c r="BB2753" s="117"/>
      <c r="BC2753" s="117"/>
      <c r="BD2753" s="117"/>
    </row>
    <row r="2754" spans="1:56" ht="15">
      <c r="A2754" s="114"/>
      <c r="B2754" s="388" t="s">
        <v>1111</v>
      </c>
      <c r="C2754" s="391">
        <v>7.95</v>
      </c>
      <c r="D2754" s="390" t="s">
        <v>10</v>
      </c>
      <c r="E2754" s="196"/>
      <c r="F2754" s="196"/>
      <c r="G2754" s="392"/>
      <c r="H2754" s="393"/>
      <c r="I2754" s="196"/>
      <c r="J2754" s="114"/>
      <c r="AW2754" s="117"/>
      <c r="AX2754" s="117"/>
      <c r="AY2754" s="117"/>
      <c r="AZ2754" s="117"/>
      <c r="BA2754" s="117"/>
      <c r="BB2754" s="117"/>
      <c r="BC2754" s="117"/>
      <c r="BD2754" s="117"/>
    </row>
    <row r="2755" spans="1:56" ht="15">
      <c r="A2755" s="114"/>
      <c r="B2755" s="388" t="s">
        <v>1112</v>
      </c>
      <c r="C2755" s="389">
        <v>0.4</v>
      </c>
      <c r="D2755" s="390" t="s">
        <v>10</v>
      </c>
      <c r="E2755" s="196"/>
      <c r="F2755" s="196"/>
      <c r="G2755" s="392"/>
      <c r="H2755" s="393"/>
      <c r="I2755" s="196"/>
      <c r="J2755" s="114"/>
      <c r="AW2755" s="117"/>
      <c r="AX2755" s="117"/>
      <c r="AY2755" s="117"/>
      <c r="AZ2755" s="117"/>
      <c r="BA2755" s="117"/>
      <c r="BB2755" s="117"/>
      <c r="BC2755" s="117"/>
      <c r="BD2755" s="117"/>
    </row>
    <row r="2756" spans="1:56" ht="15">
      <c r="A2756" s="114"/>
      <c r="B2756" s="388" t="s">
        <v>1113</v>
      </c>
      <c r="C2756" s="389">
        <v>0.45</v>
      </c>
      <c r="D2756" s="390" t="s">
        <v>10</v>
      </c>
      <c r="E2756" s="196"/>
      <c r="F2756" s="196"/>
      <c r="G2756" s="392"/>
      <c r="H2756" s="394"/>
      <c r="I2756" s="196"/>
      <c r="J2756" s="114"/>
      <c r="AW2756" s="117"/>
      <c r="AX2756" s="117"/>
      <c r="AY2756" s="117"/>
      <c r="AZ2756" s="117"/>
      <c r="BA2756" s="117"/>
      <c r="BB2756" s="117"/>
      <c r="BC2756" s="117"/>
      <c r="BD2756" s="117"/>
    </row>
    <row r="2757" spans="1:56" ht="15">
      <c r="A2757" s="114"/>
      <c r="B2757" s="388" t="s">
        <v>1117</v>
      </c>
      <c r="C2757" s="389">
        <v>1</v>
      </c>
      <c r="D2757" s="390" t="s">
        <v>1118</v>
      </c>
      <c r="E2757" s="196"/>
      <c r="F2757" s="196"/>
      <c r="G2757" s="392"/>
      <c r="H2757" s="393"/>
      <c r="I2757" s="196"/>
      <c r="J2757" s="114"/>
      <c r="AW2757" s="117"/>
      <c r="AX2757" s="117"/>
      <c r="AY2757" s="117"/>
      <c r="AZ2757" s="117"/>
      <c r="BA2757" s="117"/>
      <c r="BB2757" s="117"/>
      <c r="BC2757" s="117"/>
      <c r="BD2757" s="117"/>
    </row>
    <row r="2758" spans="1:56" ht="15">
      <c r="A2758" s="114"/>
      <c r="B2758" s="392"/>
      <c r="C2758" s="393"/>
      <c r="D2758" s="196"/>
      <c r="E2758" s="196"/>
      <c r="F2758" s="196"/>
      <c r="G2758" s="392"/>
      <c r="H2758" s="393"/>
      <c r="I2758" s="196"/>
      <c r="J2758" s="114"/>
      <c r="AW2758" s="117"/>
      <c r="AX2758" s="117"/>
      <c r="AY2758" s="117"/>
      <c r="AZ2758" s="117"/>
      <c r="BA2758" s="117"/>
      <c r="BB2758" s="117"/>
      <c r="BC2758" s="117"/>
      <c r="BD2758" s="117"/>
    </row>
    <row r="2759" spans="1:56" ht="15">
      <c r="A2759" s="114"/>
      <c r="B2759" s="388" t="s">
        <v>1114</v>
      </c>
      <c r="C2759" s="389">
        <v>0.6</v>
      </c>
      <c r="D2759" s="390" t="s">
        <v>10</v>
      </c>
      <c r="E2759" s="288" t="s">
        <v>1120</v>
      </c>
      <c r="F2759" s="288"/>
      <c r="G2759" s="230"/>
      <c r="H2759" s="395"/>
      <c r="I2759" s="196"/>
      <c r="J2759" s="114"/>
      <c r="AW2759" s="117"/>
      <c r="AX2759" s="117"/>
      <c r="AY2759" s="117"/>
      <c r="AZ2759" s="117"/>
      <c r="BA2759" s="117"/>
      <c r="BB2759" s="117"/>
      <c r="BC2759" s="117"/>
      <c r="BD2759" s="117"/>
    </row>
    <row r="2760" spans="1:56" ht="15">
      <c r="A2760" s="114"/>
      <c r="B2760" s="388" t="s">
        <v>1114</v>
      </c>
      <c r="C2760" s="389">
        <v>0.2</v>
      </c>
      <c r="D2760" s="390" t="s">
        <v>10</v>
      </c>
      <c r="E2760" s="288" t="s">
        <v>1121</v>
      </c>
      <c r="F2760" s="288"/>
      <c r="G2760" s="230"/>
      <c r="H2760" s="395"/>
      <c r="I2760" s="196"/>
      <c r="J2760" s="114"/>
      <c r="AW2760" s="117"/>
      <c r="AX2760" s="117"/>
      <c r="AY2760" s="117"/>
      <c r="AZ2760" s="117"/>
      <c r="BA2760" s="117"/>
      <c r="BB2760" s="117"/>
      <c r="BC2760" s="117"/>
      <c r="BD2760" s="117"/>
    </row>
    <row r="2761" spans="1:56" ht="15">
      <c r="A2761" s="114"/>
      <c r="B2761" s="196"/>
      <c r="C2761" s="196"/>
      <c r="D2761" s="196"/>
      <c r="E2761" s="196"/>
      <c r="F2761" s="196"/>
      <c r="G2761" s="196"/>
      <c r="H2761" s="196"/>
      <c r="I2761" s="196"/>
      <c r="J2761" s="114"/>
      <c r="AW2761" s="117"/>
      <c r="AX2761" s="117"/>
      <c r="AY2761" s="117"/>
      <c r="AZ2761" s="117"/>
      <c r="BA2761" s="117"/>
      <c r="BB2761" s="117"/>
      <c r="BC2761" s="117"/>
      <c r="BD2761" s="117"/>
    </row>
    <row r="2762" spans="1:56" ht="15">
      <c r="A2762" s="114"/>
      <c r="B2762" s="303" t="s">
        <v>1122</v>
      </c>
      <c r="C2762" s="362"/>
      <c r="D2762" s="362"/>
      <c r="E2762" s="196"/>
      <c r="F2762" s="196"/>
      <c r="G2762" s="196"/>
      <c r="H2762" s="196"/>
      <c r="I2762" s="196"/>
      <c r="J2762" s="114"/>
      <c r="AW2762" s="117"/>
      <c r="AX2762" s="117"/>
      <c r="AY2762" s="117"/>
      <c r="AZ2762" s="117"/>
      <c r="BA2762" s="117"/>
      <c r="BB2762" s="117"/>
      <c r="BC2762" s="117"/>
      <c r="BD2762" s="117"/>
    </row>
    <row r="2763" spans="1:56" ht="18">
      <c r="A2763" s="114"/>
      <c r="B2763" s="396" t="s">
        <v>1123</v>
      </c>
      <c r="C2763" s="289"/>
      <c r="D2763" s="290"/>
      <c r="E2763" s="397">
        <f>C2757*(C2759*2*(0.05+C2756+C2755)*C2754)</f>
        <v>8.5860000000000003</v>
      </c>
      <c r="F2763" s="390" t="s">
        <v>1124</v>
      </c>
      <c r="G2763" s="196"/>
      <c r="H2763" s="196"/>
      <c r="I2763" s="196"/>
      <c r="J2763" s="114"/>
      <c r="AW2763" s="117"/>
      <c r="AX2763" s="117"/>
      <c r="AY2763" s="117"/>
      <c r="AZ2763" s="117"/>
      <c r="BA2763" s="117"/>
      <c r="BB2763" s="117"/>
      <c r="BC2763" s="117"/>
      <c r="BD2763" s="117"/>
    </row>
    <row r="2764" spans="1:56" ht="18">
      <c r="A2764" s="114"/>
      <c r="B2764" s="398" t="s">
        <v>1125</v>
      </c>
      <c r="C2764" s="172"/>
      <c r="D2764" s="173"/>
      <c r="E2764" s="397">
        <f>E2763-(E2768+E2770)</f>
        <v>7.7115</v>
      </c>
      <c r="F2764" s="390" t="s">
        <v>1124</v>
      </c>
      <c r="G2764" s="196"/>
      <c r="H2764" s="196"/>
      <c r="I2764" s="196"/>
      <c r="J2764" s="114"/>
      <c r="AW2764" s="117"/>
      <c r="AX2764" s="117"/>
      <c r="AY2764" s="117"/>
      <c r="AZ2764" s="117"/>
      <c r="BA2764" s="117"/>
      <c r="BB2764" s="117"/>
      <c r="BC2764" s="117"/>
      <c r="BD2764" s="117"/>
    </row>
    <row r="2765" spans="1:56" ht="15">
      <c r="A2765" s="114"/>
      <c r="B2765" s="399" t="s">
        <v>1126</v>
      </c>
      <c r="C2765" s="317"/>
      <c r="D2765" s="318"/>
      <c r="E2765" s="400">
        <f>(2*C2760)*C2754</f>
        <v>3.18</v>
      </c>
      <c r="F2765" s="390" t="s">
        <v>13</v>
      </c>
      <c r="G2765" s="196"/>
      <c r="H2765" s="196"/>
      <c r="I2765" s="196"/>
      <c r="J2765" s="114"/>
      <c r="AW2765" s="117"/>
      <c r="AX2765" s="117"/>
      <c r="AY2765" s="117"/>
      <c r="AZ2765" s="117"/>
      <c r="BA2765" s="117"/>
      <c r="BB2765" s="117"/>
      <c r="BC2765" s="117"/>
      <c r="BD2765" s="117"/>
    </row>
    <row r="2766" spans="1:56" ht="15">
      <c r="A2766" s="114"/>
      <c r="B2766" s="196"/>
      <c r="C2766" s="196"/>
      <c r="D2766" s="196"/>
      <c r="E2766" s="401"/>
      <c r="F2766" s="196"/>
      <c r="G2766" s="196"/>
      <c r="H2766" s="196"/>
      <c r="I2766" s="196"/>
      <c r="J2766" s="114"/>
      <c r="AW2766" s="117"/>
      <c r="AX2766" s="117"/>
      <c r="AY2766" s="117"/>
      <c r="AZ2766" s="117"/>
      <c r="BA2766" s="117"/>
      <c r="BB2766" s="117"/>
      <c r="BC2766" s="117"/>
      <c r="BD2766" s="117"/>
    </row>
    <row r="2767" spans="1:56" ht="15">
      <c r="A2767" s="114"/>
      <c r="B2767" s="303" t="s">
        <v>1127</v>
      </c>
      <c r="C2767" s="196"/>
      <c r="D2767" s="196"/>
      <c r="E2767" s="401"/>
      <c r="F2767" s="196"/>
      <c r="G2767" s="196"/>
      <c r="H2767" s="196"/>
      <c r="I2767" s="196"/>
      <c r="J2767" s="114"/>
      <c r="AW2767" s="117"/>
      <c r="AX2767" s="117"/>
      <c r="AY2767" s="117"/>
      <c r="AZ2767" s="117"/>
      <c r="BA2767" s="117"/>
      <c r="BB2767" s="117"/>
      <c r="BC2767" s="117"/>
      <c r="BD2767" s="117"/>
    </row>
    <row r="2768" spans="1:56" ht="18">
      <c r="A2768" s="114"/>
      <c r="B2768" s="398" t="s">
        <v>1128</v>
      </c>
      <c r="C2768" s="172"/>
      <c r="D2768" s="173"/>
      <c r="E2768" s="402">
        <f>E2765*0.05</f>
        <v>0.15900000000000003</v>
      </c>
      <c r="F2768" s="390" t="s">
        <v>1124</v>
      </c>
      <c r="G2768" s="196"/>
      <c r="H2768" s="196"/>
      <c r="I2768" s="196"/>
      <c r="J2768" s="114"/>
      <c r="AW2768" s="117"/>
      <c r="AX2768" s="117"/>
      <c r="AY2768" s="117"/>
      <c r="AZ2768" s="117"/>
      <c r="BA2768" s="117"/>
      <c r="BB2768" s="117"/>
      <c r="BC2768" s="117"/>
      <c r="BD2768" s="117"/>
    </row>
    <row r="2769" spans="1:56" ht="15">
      <c r="A2769" s="114"/>
      <c r="B2769" s="398" t="s">
        <v>1129</v>
      </c>
      <c r="C2769" s="172"/>
      <c r="D2769" s="173"/>
      <c r="E2769" s="397">
        <f>C2756*2*C2754</f>
        <v>7.1550000000000002</v>
      </c>
      <c r="F2769" s="390" t="s">
        <v>13</v>
      </c>
      <c r="G2769" s="393" t="s">
        <v>1108</v>
      </c>
      <c r="H2769" s="196" t="s">
        <v>1131</v>
      </c>
      <c r="I2769" s="393"/>
      <c r="J2769" s="114"/>
      <c r="AW2769" s="117"/>
      <c r="AX2769" s="117"/>
      <c r="AY2769" s="117"/>
      <c r="AZ2769" s="117"/>
      <c r="BA2769" s="117"/>
      <c r="BB2769" s="117"/>
      <c r="BC2769" s="117"/>
      <c r="BD2769" s="117"/>
    </row>
    <row r="2770" spans="1:56" ht="18">
      <c r="A2770" s="114"/>
      <c r="B2770" s="398" t="s">
        <v>1130</v>
      </c>
      <c r="C2770" s="172"/>
      <c r="D2770" s="173"/>
      <c r="E2770" s="402">
        <f>C2753*C2754*C2756</f>
        <v>0.71550000000000002</v>
      </c>
      <c r="F2770" s="390" t="s">
        <v>1124</v>
      </c>
      <c r="G2770" s="196"/>
      <c r="H2770" s="196"/>
      <c r="I2770" s="196"/>
      <c r="J2770" s="114"/>
      <c r="AW2770" s="117"/>
      <c r="AX2770" s="117"/>
      <c r="AY2770" s="117"/>
      <c r="AZ2770" s="117"/>
      <c r="BA2770" s="117"/>
      <c r="BB2770" s="117"/>
      <c r="BC2770" s="117"/>
      <c r="BD2770" s="117"/>
    </row>
    <row r="2771" spans="1:56">
      <c r="A2771" s="114"/>
      <c r="B2771" s="115"/>
      <c r="C2771" s="115"/>
      <c r="D2771" s="115"/>
      <c r="E2771" s="115"/>
      <c r="F2771" s="115"/>
      <c r="G2771" s="115"/>
      <c r="H2771" s="115"/>
      <c r="I2771" s="115"/>
      <c r="J2771" s="114"/>
      <c r="AW2771" s="117"/>
      <c r="AX2771" s="117"/>
      <c r="AY2771" s="117"/>
      <c r="AZ2771" s="117"/>
      <c r="BA2771" s="117"/>
      <c r="BB2771" s="117"/>
      <c r="BC2771" s="117"/>
      <c r="BD2771" s="117"/>
    </row>
    <row r="2772" spans="1:56">
      <c r="A2772" s="114"/>
      <c r="B2772" s="115"/>
      <c r="C2772" s="115"/>
      <c r="D2772" s="115"/>
      <c r="E2772" s="115"/>
      <c r="F2772" s="115"/>
      <c r="G2772" s="115"/>
      <c r="H2772" s="115"/>
      <c r="I2772" s="115"/>
      <c r="J2772" s="114"/>
      <c r="AW2772" s="117"/>
      <c r="AX2772" s="117"/>
      <c r="AY2772" s="117"/>
      <c r="AZ2772" s="117"/>
      <c r="BA2772" s="117"/>
      <c r="BB2772" s="117"/>
      <c r="BC2772" s="117"/>
      <c r="BD2772" s="117"/>
    </row>
    <row r="2773" spans="1:56">
      <c r="A2773" s="114"/>
      <c r="B2773" s="115"/>
      <c r="C2773" s="115"/>
      <c r="D2773" s="115"/>
      <c r="E2773" s="115"/>
      <c r="F2773" s="115"/>
      <c r="G2773" s="115"/>
      <c r="H2773" s="115"/>
      <c r="I2773" s="115"/>
      <c r="J2773" s="114"/>
      <c r="AW2773" s="117"/>
      <c r="AX2773" s="117"/>
      <c r="AY2773" s="117"/>
      <c r="AZ2773" s="117"/>
      <c r="BA2773" s="117"/>
      <c r="BB2773" s="117"/>
      <c r="BC2773" s="117"/>
      <c r="BD2773" s="117"/>
    </row>
    <row r="2774" spans="1:56">
      <c r="A2774" s="114"/>
      <c r="B2774" s="385" t="s">
        <v>1236</v>
      </c>
      <c r="C2774" s="196"/>
      <c r="D2774" s="196"/>
      <c r="E2774" s="196"/>
      <c r="F2774" s="196"/>
      <c r="G2774" s="196"/>
      <c r="H2774" s="196"/>
      <c r="I2774" s="196"/>
      <c r="J2774" s="114"/>
      <c r="AW2774" s="117"/>
      <c r="AX2774" s="117"/>
      <c r="AY2774" s="117"/>
      <c r="AZ2774" s="117"/>
      <c r="BA2774" s="117"/>
      <c r="BB2774" s="117"/>
      <c r="BC2774" s="117"/>
      <c r="BD2774" s="117"/>
    </row>
    <row r="2775" spans="1:56" ht="15">
      <c r="A2775" s="114"/>
      <c r="B2775" s="196"/>
      <c r="C2775" s="196"/>
      <c r="D2775" s="196"/>
      <c r="E2775" s="196"/>
      <c r="F2775" s="196"/>
      <c r="G2775" s="196"/>
      <c r="H2775" s="196"/>
      <c r="I2775" s="196"/>
      <c r="J2775" s="114"/>
      <c r="AW2775" s="117"/>
      <c r="AX2775" s="117"/>
      <c r="AY2775" s="117"/>
      <c r="AZ2775" s="117"/>
      <c r="BA2775" s="117"/>
      <c r="BB2775" s="117"/>
      <c r="BC2775" s="117"/>
      <c r="BD2775" s="117"/>
    </row>
    <row r="2776" spans="1:56" ht="15">
      <c r="A2776" s="114"/>
      <c r="B2776" s="388" t="s">
        <v>1110</v>
      </c>
      <c r="C2776" s="389">
        <v>0.25</v>
      </c>
      <c r="D2776" s="390" t="s">
        <v>10</v>
      </c>
      <c r="E2776" s="196"/>
      <c r="F2776" s="196"/>
      <c r="G2776" s="392"/>
      <c r="H2776" s="393"/>
      <c r="I2776" s="196"/>
      <c r="J2776" s="114"/>
      <c r="AW2776" s="117"/>
      <c r="AX2776" s="117"/>
      <c r="AY2776" s="117"/>
      <c r="AZ2776" s="117"/>
      <c r="BA2776" s="117"/>
      <c r="BB2776" s="117"/>
      <c r="BC2776" s="117"/>
      <c r="BD2776" s="117"/>
    </row>
    <row r="2777" spans="1:56" ht="15">
      <c r="A2777" s="114"/>
      <c r="B2777" s="388" t="s">
        <v>1111</v>
      </c>
      <c r="C2777" s="391">
        <v>9.8000000000000007</v>
      </c>
      <c r="D2777" s="390" t="s">
        <v>10</v>
      </c>
      <c r="E2777" s="196"/>
      <c r="F2777" s="196"/>
      <c r="G2777" s="392"/>
      <c r="H2777" s="393"/>
      <c r="I2777" s="196"/>
      <c r="J2777" s="114"/>
      <c r="AW2777" s="117"/>
      <c r="AX2777" s="117"/>
      <c r="AY2777" s="117"/>
      <c r="AZ2777" s="117"/>
      <c r="BA2777" s="117"/>
      <c r="BB2777" s="117"/>
      <c r="BC2777" s="117"/>
      <c r="BD2777" s="117"/>
    </row>
    <row r="2778" spans="1:56" ht="15">
      <c r="A2778" s="114"/>
      <c r="B2778" s="388" t="s">
        <v>1112</v>
      </c>
      <c r="C2778" s="389">
        <v>0.4</v>
      </c>
      <c r="D2778" s="390" t="s">
        <v>10</v>
      </c>
      <c r="E2778" s="196"/>
      <c r="F2778" s="196"/>
      <c r="G2778" s="392"/>
      <c r="H2778" s="393"/>
      <c r="I2778" s="196"/>
      <c r="J2778" s="114"/>
      <c r="AW2778" s="117"/>
      <c r="AX2778" s="117"/>
      <c r="AY2778" s="117"/>
      <c r="AZ2778" s="117"/>
      <c r="BA2778" s="117"/>
      <c r="BB2778" s="117"/>
      <c r="BC2778" s="117"/>
      <c r="BD2778" s="117"/>
    </row>
    <row r="2779" spans="1:56" ht="15">
      <c r="A2779" s="114"/>
      <c r="B2779" s="388" t="s">
        <v>1113</v>
      </c>
      <c r="C2779" s="389">
        <v>0.45</v>
      </c>
      <c r="D2779" s="390" t="s">
        <v>10</v>
      </c>
      <c r="E2779" s="196"/>
      <c r="F2779" s="196"/>
      <c r="G2779" s="392"/>
      <c r="H2779" s="394"/>
      <c r="I2779" s="196"/>
      <c r="J2779" s="114"/>
      <c r="AW2779" s="117"/>
      <c r="AX2779" s="117"/>
      <c r="AY2779" s="117"/>
      <c r="AZ2779" s="117"/>
      <c r="BA2779" s="117"/>
      <c r="BB2779" s="117"/>
      <c r="BC2779" s="117"/>
      <c r="BD2779" s="117"/>
    </row>
    <row r="2780" spans="1:56" ht="15">
      <c r="A2780" s="114"/>
      <c r="B2780" s="388" t="s">
        <v>1117</v>
      </c>
      <c r="C2780" s="389">
        <v>1</v>
      </c>
      <c r="D2780" s="390" t="s">
        <v>1118</v>
      </c>
      <c r="E2780" s="196"/>
      <c r="F2780" s="196"/>
      <c r="G2780" s="392"/>
      <c r="H2780" s="393"/>
      <c r="I2780" s="196"/>
      <c r="J2780" s="114"/>
      <c r="AW2780" s="117"/>
      <c r="AX2780" s="117"/>
      <c r="AY2780" s="117"/>
      <c r="AZ2780" s="117"/>
      <c r="BA2780" s="117"/>
      <c r="BB2780" s="117"/>
      <c r="BC2780" s="117"/>
      <c r="BD2780" s="117"/>
    </row>
    <row r="2781" spans="1:56" ht="15">
      <c r="A2781" s="114"/>
      <c r="B2781" s="392"/>
      <c r="C2781" s="393"/>
      <c r="D2781" s="196"/>
      <c r="E2781" s="196"/>
      <c r="F2781" s="196"/>
      <c r="G2781" s="392"/>
      <c r="H2781" s="393"/>
      <c r="I2781" s="196"/>
      <c r="J2781" s="114"/>
      <c r="AW2781" s="117"/>
      <c r="AX2781" s="117"/>
      <c r="AY2781" s="117"/>
      <c r="AZ2781" s="117"/>
      <c r="BA2781" s="117"/>
      <c r="BB2781" s="117"/>
      <c r="BC2781" s="117"/>
      <c r="BD2781" s="117"/>
    </row>
    <row r="2782" spans="1:56" ht="15">
      <c r="A2782" s="114"/>
      <c r="B2782" s="388" t="s">
        <v>1114</v>
      </c>
      <c r="C2782" s="389">
        <v>0.6</v>
      </c>
      <c r="D2782" s="390" t="s">
        <v>10</v>
      </c>
      <c r="E2782" s="288" t="s">
        <v>1120</v>
      </c>
      <c r="F2782" s="288"/>
      <c r="G2782" s="230"/>
      <c r="H2782" s="395"/>
      <c r="I2782" s="196"/>
      <c r="J2782" s="114"/>
      <c r="AW2782" s="117"/>
      <c r="AX2782" s="117"/>
      <c r="AY2782" s="117"/>
      <c r="AZ2782" s="117"/>
      <c r="BA2782" s="117"/>
      <c r="BB2782" s="117"/>
      <c r="BC2782" s="117"/>
      <c r="BD2782" s="117"/>
    </row>
    <row r="2783" spans="1:56" ht="15">
      <c r="A2783" s="114"/>
      <c r="B2783" s="388" t="s">
        <v>1114</v>
      </c>
      <c r="C2783" s="389">
        <v>0.2</v>
      </c>
      <c r="D2783" s="390" t="s">
        <v>10</v>
      </c>
      <c r="E2783" s="288" t="s">
        <v>1121</v>
      </c>
      <c r="F2783" s="288"/>
      <c r="G2783" s="230"/>
      <c r="H2783" s="395"/>
      <c r="I2783" s="196"/>
      <c r="J2783" s="114"/>
      <c r="AW2783" s="117"/>
      <c r="AX2783" s="117"/>
      <c r="AY2783" s="117"/>
      <c r="AZ2783" s="117"/>
      <c r="BA2783" s="117"/>
      <c r="BB2783" s="117"/>
      <c r="BC2783" s="117"/>
      <c r="BD2783" s="117"/>
    </row>
    <row r="2784" spans="1:56" ht="15">
      <c r="A2784" s="114"/>
      <c r="B2784" s="196"/>
      <c r="C2784" s="196"/>
      <c r="D2784" s="196"/>
      <c r="E2784" s="196"/>
      <c r="F2784" s="196"/>
      <c r="G2784" s="196"/>
      <c r="H2784" s="196"/>
      <c r="I2784" s="196"/>
      <c r="J2784" s="114"/>
      <c r="AW2784" s="117"/>
      <c r="AX2784" s="117"/>
      <c r="AY2784" s="117"/>
      <c r="AZ2784" s="117"/>
      <c r="BA2784" s="117"/>
      <c r="BB2784" s="117"/>
      <c r="BC2784" s="117"/>
      <c r="BD2784" s="117"/>
    </row>
    <row r="2785" spans="1:56" ht="15">
      <c r="A2785" s="114"/>
      <c r="B2785" s="303" t="s">
        <v>1122</v>
      </c>
      <c r="C2785" s="362"/>
      <c r="D2785" s="362"/>
      <c r="E2785" s="196"/>
      <c r="F2785" s="196"/>
      <c r="G2785" s="196"/>
      <c r="H2785" s="196"/>
      <c r="I2785" s="196"/>
      <c r="J2785" s="114"/>
      <c r="AW2785" s="117"/>
      <c r="AX2785" s="117"/>
      <c r="AY2785" s="117"/>
      <c r="AZ2785" s="117"/>
      <c r="BA2785" s="117"/>
      <c r="BB2785" s="117"/>
      <c r="BC2785" s="117"/>
      <c r="BD2785" s="117"/>
    </row>
    <row r="2786" spans="1:56" ht="18">
      <c r="A2786" s="114"/>
      <c r="B2786" s="396" t="s">
        <v>1123</v>
      </c>
      <c r="C2786" s="289"/>
      <c r="D2786" s="290"/>
      <c r="E2786" s="397">
        <f>C2780*(C2782*2*(0.05+C2779+C2778)*C2777)</f>
        <v>10.584000000000001</v>
      </c>
      <c r="F2786" s="390" t="s">
        <v>1124</v>
      </c>
      <c r="G2786" s="196"/>
      <c r="H2786" s="196"/>
      <c r="I2786" s="196"/>
      <c r="J2786" s="114"/>
      <c r="AW2786" s="117"/>
      <c r="AX2786" s="117"/>
      <c r="AY2786" s="117"/>
      <c r="AZ2786" s="117"/>
      <c r="BA2786" s="117"/>
      <c r="BB2786" s="117"/>
      <c r="BC2786" s="117"/>
      <c r="BD2786" s="117"/>
    </row>
    <row r="2787" spans="1:56" ht="18">
      <c r="A2787" s="114"/>
      <c r="B2787" s="398" t="s">
        <v>1125</v>
      </c>
      <c r="C2787" s="172"/>
      <c r="D2787" s="173"/>
      <c r="E2787" s="397">
        <f>E2786-(E2791+E2793)</f>
        <v>9.2855000000000008</v>
      </c>
      <c r="F2787" s="390" t="s">
        <v>1124</v>
      </c>
      <c r="G2787" s="196"/>
      <c r="H2787" s="196"/>
      <c r="I2787" s="196"/>
      <c r="J2787" s="114"/>
      <c r="AW2787" s="117"/>
      <c r="AX2787" s="117"/>
      <c r="AY2787" s="117"/>
      <c r="AZ2787" s="117"/>
      <c r="BA2787" s="117"/>
      <c r="BB2787" s="117"/>
      <c r="BC2787" s="117"/>
      <c r="BD2787" s="117"/>
    </row>
    <row r="2788" spans="1:56" ht="15">
      <c r="A2788" s="114"/>
      <c r="B2788" s="399" t="s">
        <v>1126</v>
      </c>
      <c r="C2788" s="317"/>
      <c r="D2788" s="318"/>
      <c r="E2788" s="400">
        <f>(2*C2783)*C2777</f>
        <v>3.9200000000000004</v>
      </c>
      <c r="F2788" s="390" t="s">
        <v>13</v>
      </c>
      <c r="G2788" s="196"/>
      <c r="H2788" s="196"/>
      <c r="I2788" s="196"/>
      <c r="J2788" s="114"/>
      <c r="AW2788" s="117"/>
      <c r="AX2788" s="117"/>
      <c r="AY2788" s="117"/>
      <c r="AZ2788" s="117"/>
      <c r="BA2788" s="117"/>
      <c r="BB2788" s="117"/>
      <c r="BC2788" s="117"/>
      <c r="BD2788" s="117"/>
    </row>
    <row r="2789" spans="1:56" ht="15">
      <c r="A2789" s="114"/>
      <c r="B2789" s="196"/>
      <c r="C2789" s="196"/>
      <c r="D2789" s="196"/>
      <c r="E2789" s="401"/>
      <c r="F2789" s="196"/>
      <c r="G2789" s="196"/>
      <c r="H2789" s="196"/>
      <c r="I2789" s="196"/>
      <c r="J2789" s="114"/>
      <c r="AW2789" s="117"/>
      <c r="AX2789" s="117"/>
      <c r="AY2789" s="117"/>
      <c r="AZ2789" s="117"/>
      <c r="BA2789" s="117"/>
      <c r="BB2789" s="117"/>
      <c r="BC2789" s="117"/>
      <c r="BD2789" s="117"/>
    </row>
    <row r="2790" spans="1:56" ht="15">
      <c r="A2790" s="114"/>
      <c r="B2790" s="303" t="s">
        <v>1127</v>
      </c>
      <c r="C2790" s="196"/>
      <c r="D2790" s="196"/>
      <c r="E2790" s="401"/>
      <c r="F2790" s="196"/>
      <c r="G2790" s="196"/>
      <c r="H2790" s="196"/>
      <c r="I2790" s="196"/>
      <c r="J2790" s="114"/>
      <c r="AW2790" s="117"/>
      <c r="AX2790" s="117"/>
      <c r="AY2790" s="117"/>
      <c r="AZ2790" s="117"/>
      <c r="BA2790" s="117"/>
      <c r="BB2790" s="117"/>
      <c r="BC2790" s="117"/>
      <c r="BD2790" s="117"/>
    </row>
    <row r="2791" spans="1:56" ht="18">
      <c r="A2791" s="114"/>
      <c r="B2791" s="398" t="s">
        <v>1128</v>
      </c>
      <c r="C2791" s="172"/>
      <c r="D2791" s="173"/>
      <c r="E2791" s="402">
        <f>E2788*0.05</f>
        <v>0.19600000000000004</v>
      </c>
      <c r="F2791" s="390" t="s">
        <v>1124</v>
      </c>
      <c r="G2791" s="196"/>
      <c r="H2791" s="196"/>
      <c r="I2791" s="196"/>
      <c r="J2791" s="114"/>
      <c r="AW2791" s="117"/>
      <c r="AX2791" s="117"/>
      <c r="AY2791" s="117"/>
      <c r="AZ2791" s="117"/>
      <c r="BA2791" s="117"/>
      <c r="BB2791" s="117"/>
      <c r="BC2791" s="117"/>
      <c r="BD2791" s="117"/>
    </row>
    <row r="2792" spans="1:56" ht="18" customHeight="1">
      <c r="A2792" s="114"/>
      <c r="B2792" s="398" t="s">
        <v>1129</v>
      </c>
      <c r="C2792" s="172"/>
      <c r="D2792" s="173"/>
      <c r="E2792" s="397">
        <f>C2779*2*C2777</f>
        <v>8.82</v>
      </c>
      <c r="F2792" s="390" t="s">
        <v>13</v>
      </c>
      <c r="G2792" s="393" t="s">
        <v>1108</v>
      </c>
      <c r="H2792" s="196" t="s">
        <v>1131</v>
      </c>
      <c r="I2792" s="393"/>
      <c r="J2792" s="114"/>
      <c r="AW2792" s="117"/>
      <c r="AX2792" s="117"/>
      <c r="AY2792" s="117"/>
      <c r="AZ2792" s="117"/>
      <c r="BA2792" s="117"/>
      <c r="BB2792" s="117"/>
      <c r="BC2792" s="117"/>
      <c r="BD2792" s="117"/>
    </row>
    <row r="2793" spans="1:56" ht="18">
      <c r="A2793" s="114"/>
      <c r="B2793" s="398" t="s">
        <v>1130</v>
      </c>
      <c r="C2793" s="172"/>
      <c r="D2793" s="173"/>
      <c r="E2793" s="402">
        <f>C2776*C2777*C2779</f>
        <v>1.1025</v>
      </c>
      <c r="F2793" s="390" t="s">
        <v>1124</v>
      </c>
      <c r="G2793" s="196"/>
      <c r="H2793" s="196"/>
      <c r="I2793" s="196"/>
      <c r="J2793" s="114"/>
      <c r="AW2793" s="117"/>
      <c r="AX2793" s="117"/>
      <c r="AY2793" s="117"/>
      <c r="AZ2793" s="117"/>
      <c r="BA2793" s="117"/>
      <c r="BB2793" s="117"/>
      <c r="BC2793" s="117"/>
      <c r="BD2793" s="117"/>
    </row>
    <row r="2794" spans="1:56">
      <c r="A2794" s="114"/>
      <c r="B2794" s="115"/>
      <c r="C2794" s="115"/>
      <c r="D2794" s="115"/>
      <c r="E2794" s="115"/>
      <c r="F2794" s="115"/>
      <c r="G2794" s="115"/>
      <c r="H2794" s="115"/>
      <c r="I2794" s="115"/>
      <c r="J2794" s="114"/>
      <c r="AW2794" s="117"/>
      <c r="AX2794" s="117"/>
      <c r="AY2794" s="117"/>
      <c r="AZ2794" s="117"/>
      <c r="BA2794" s="117"/>
      <c r="BB2794" s="117"/>
      <c r="BC2794" s="117"/>
      <c r="BD2794" s="117"/>
    </row>
    <row r="2795" spans="1:56">
      <c r="A2795" s="114"/>
      <c r="B2795" s="385" t="s">
        <v>1223</v>
      </c>
      <c r="C2795" s="196"/>
      <c r="D2795" s="196"/>
      <c r="E2795" s="196"/>
      <c r="F2795" s="196"/>
      <c r="G2795" s="196"/>
      <c r="H2795" s="196"/>
      <c r="I2795" s="196"/>
      <c r="J2795" s="196"/>
      <c r="AX2795" s="117"/>
      <c r="AY2795" s="117"/>
      <c r="AZ2795" s="117"/>
      <c r="BA2795" s="117"/>
      <c r="BB2795" s="117"/>
      <c r="BC2795" s="117"/>
      <c r="BD2795" s="117"/>
    </row>
    <row r="2796" spans="1:56" ht="15">
      <c r="A2796" s="114"/>
      <c r="B2796" s="362"/>
      <c r="C2796" s="362"/>
      <c r="D2796" s="362"/>
      <c r="E2796" s="362"/>
      <c r="F2796" s="404"/>
      <c r="G2796" s="404"/>
      <c r="H2796" s="404"/>
      <c r="I2796" s="404"/>
      <c r="J2796" s="404"/>
      <c r="AX2796" s="117"/>
      <c r="AY2796" s="117"/>
      <c r="AZ2796" s="117"/>
      <c r="BA2796" s="117"/>
      <c r="BB2796" s="117"/>
      <c r="BC2796" s="117"/>
      <c r="BD2796" s="117"/>
    </row>
    <row r="2797" spans="1:56" ht="18">
      <c r="A2797" s="114"/>
      <c r="B2797" s="388" t="s">
        <v>1141</v>
      </c>
      <c r="C2797" s="389">
        <v>0.6</v>
      </c>
      <c r="D2797" s="390" t="s">
        <v>10</v>
      </c>
      <c r="E2797" s="196"/>
      <c r="F2797" s="405"/>
      <c r="G2797" s="406" t="s">
        <v>1142</v>
      </c>
      <c r="H2797" s="407">
        <f>C2797*C2798</f>
        <v>0.15</v>
      </c>
      <c r="I2797" s="405" t="s">
        <v>1143</v>
      </c>
      <c r="J2797" s="405"/>
      <c r="AX2797" s="117"/>
      <c r="AY2797" s="117"/>
      <c r="AZ2797" s="117"/>
      <c r="BA2797" s="117"/>
      <c r="BB2797" s="117"/>
      <c r="BC2797" s="117"/>
      <c r="BD2797" s="117"/>
    </row>
    <row r="2798" spans="1:56" ht="18.75" customHeight="1">
      <c r="A2798" s="114"/>
      <c r="B2798" s="388" t="s">
        <v>1144</v>
      </c>
      <c r="C2798" s="389">
        <v>0.25</v>
      </c>
      <c r="D2798" s="390" t="s">
        <v>10</v>
      </c>
      <c r="E2798" s="196"/>
      <c r="F2798" s="405"/>
      <c r="G2798" s="406" t="e">
        <f>TEXT(C2805,"tg 0°=")</f>
        <v>#VALUE!</v>
      </c>
      <c r="H2798" s="408">
        <f>TAN(3.14159265359*C2805/180)</f>
        <v>1.732050807569153</v>
      </c>
      <c r="I2798" s="405"/>
      <c r="J2798" s="405"/>
      <c r="AX2798" s="117"/>
      <c r="AY2798" s="117"/>
      <c r="AZ2798" s="117"/>
      <c r="BA2798" s="117"/>
      <c r="BB2798" s="117"/>
      <c r="BC2798" s="117"/>
      <c r="BD2798" s="117"/>
    </row>
    <row r="2799" spans="1:56" ht="18" customHeight="1">
      <c r="A2799" s="114"/>
      <c r="B2799" s="388" t="s">
        <v>1145</v>
      </c>
      <c r="C2799" s="389">
        <v>1.25</v>
      </c>
      <c r="D2799" s="390" t="s">
        <v>10</v>
      </c>
      <c r="E2799" s="196"/>
      <c r="F2799" s="405"/>
      <c r="G2799" s="406"/>
      <c r="H2799" s="407"/>
      <c r="I2799" s="405"/>
      <c r="J2799" s="405"/>
      <c r="AX2799" s="117"/>
      <c r="AY2799" s="117"/>
      <c r="AZ2799" s="117"/>
      <c r="BA2799" s="117"/>
      <c r="BB2799" s="117"/>
      <c r="BC2799" s="117"/>
      <c r="BD2799" s="117"/>
    </row>
    <row r="2800" spans="1:56" ht="18">
      <c r="A2800" s="114"/>
      <c r="B2800" s="388" t="s">
        <v>1146</v>
      </c>
      <c r="C2800" s="389">
        <v>0.5</v>
      </c>
      <c r="D2800" s="390" t="s">
        <v>10</v>
      </c>
      <c r="E2800" s="196"/>
      <c r="F2800" s="405"/>
      <c r="G2800" s="406" t="s">
        <v>1142</v>
      </c>
      <c r="H2800" s="409">
        <f>(C2799+2*C2807+((C2801+C2802+0.05)/H2798)*2)*(C2800+2*C2807+((C2801+C2802+0.05)/H2798)*2)</f>
        <v>11.25749845793057</v>
      </c>
      <c r="I2800" s="405" t="s">
        <v>1143</v>
      </c>
      <c r="J2800" s="405"/>
      <c r="AX2800" s="117"/>
      <c r="AY2800" s="117"/>
      <c r="AZ2800" s="117"/>
      <c r="BA2800" s="117"/>
      <c r="BB2800" s="117"/>
      <c r="BC2800" s="117"/>
      <c r="BD2800" s="117"/>
    </row>
    <row r="2801" spans="1:56" ht="18">
      <c r="A2801" s="114"/>
      <c r="B2801" s="388" t="s">
        <v>1112</v>
      </c>
      <c r="C2801" s="389">
        <v>0.4</v>
      </c>
      <c r="D2801" s="390" t="s">
        <v>10</v>
      </c>
      <c r="E2801" s="196"/>
      <c r="F2801" s="405"/>
      <c r="G2801" s="406" t="s">
        <v>1147</v>
      </c>
      <c r="H2801" s="409">
        <f>(C2799+2*C2807)*(C2800+2*C2807)</f>
        <v>3.375</v>
      </c>
      <c r="I2801" s="405" t="s">
        <v>1143</v>
      </c>
      <c r="J2801" s="405"/>
      <c r="AX2801" s="117"/>
      <c r="AY2801" s="117"/>
      <c r="AZ2801" s="117"/>
      <c r="BA2801" s="117"/>
      <c r="BB2801" s="117"/>
      <c r="BC2801" s="117"/>
      <c r="BD2801" s="117"/>
    </row>
    <row r="2802" spans="1:56" ht="18" customHeight="1">
      <c r="A2802" s="114"/>
      <c r="B2802" s="388" t="s">
        <v>1113</v>
      </c>
      <c r="C2802" s="389">
        <v>0.85</v>
      </c>
      <c r="D2802" s="390" t="s">
        <v>10</v>
      </c>
      <c r="E2802" s="196"/>
      <c r="F2802" s="405"/>
      <c r="G2802" s="406"/>
      <c r="H2802" s="407"/>
      <c r="I2802" s="405"/>
      <c r="J2802" s="405"/>
      <c r="AX2802" s="117"/>
      <c r="AY2802" s="117"/>
      <c r="AZ2802" s="117"/>
      <c r="BA2802" s="117"/>
      <c r="BB2802" s="117"/>
      <c r="BC2802" s="117"/>
      <c r="BD2802" s="117"/>
    </row>
    <row r="2803" spans="1:56" ht="18" customHeight="1">
      <c r="A2803" s="114"/>
      <c r="B2803" s="388" t="s">
        <v>1117</v>
      </c>
      <c r="C2803" s="391">
        <v>24</v>
      </c>
      <c r="D2803" s="390" t="s">
        <v>1118</v>
      </c>
      <c r="E2803" s="196"/>
      <c r="F2803" s="405"/>
      <c r="G2803" s="406"/>
      <c r="H2803" s="407"/>
      <c r="I2803" s="405"/>
      <c r="J2803" s="405"/>
      <c r="AX2803" s="117"/>
      <c r="AY2803" s="117"/>
      <c r="AZ2803" s="117"/>
      <c r="BA2803" s="117"/>
      <c r="BB2803" s="117"/>
      <c r="BC2803" s="117"/>
      <c r="BD2803" s="117"/>
    </row>
    <row r="2804" spans="1:56" ht="19.5" customHeight="1">
      <c r="A2804" s="114"/>
      <c r="B2804" s="196" t="s">
        <v>1148</v>
      </c>
      <c r="C2804" s="393"/>
      <c r="D2804" s="196"/>
      <c r="E2804" s="196"/>
      <c r="F2804" s="405"/>
      <c r="G2804" s="406"/>
      <c r="H2804" s="407"/>
      <c r="I2804" s="405"/>
      <c r="J2804" s="405"/>
      <c r="AX2804" s="117"/>
      <c r="AY2804" s="117"/>
      <c r="AZ2804" s="117"/>
      <c r="BA2804" s="117"/>
      <c r="BB2804" s="117"/>
      <c r="BC2804" s="117"/>
      <c r="BD2804" s="117"/>
    </row>
    <row r="2805" spans="1:56" ht="18.75" customHeight="1">
      <c r="A2805" s="114"/>
      <c r="B2805" s="388" t="s">
        <v>1149</v>
      </c>
      <c r="C2805" s="389">
        <v>60</v>
      </c>
      <c r="D2805" s="390" t="s">
        <v>1150</v>
      </c>
      <c r="E2805" s="196"/>
      <c r="F2805" s="196"/>
      <c r="G2805" s="392"/>
      <c r="H2805" s="393"/>
      <c r="I2805" s="196"/>
      <c r="J2805" s="196"/>
      <c r="AX2805" s="117"/>
      <c r="AY2805" s="117"/>
      <c r="AZ2805" s="117"/>
      <c r="BA2805" s="117"/>
      <c r="BB2805" s="117"/>
      <c r="BC2805" s="117"/>
      <c r="BD2805" s="117"/>
    </row>
    <row r="2806" spans="1:56" ht="18.75" customHeight="1">
      <c r="A2806" s="114"/>
      <c r="B2806" s="362"/>
      <c r="C2806" s="196"/>
      <c r="D2806" s="196"/>
      <c r="E2806" s="196"/>
      <c r="F2806" s="196"/>
      <c r="G2806" s="362"/>
      <c r="H2806" s="362"/>
      <c r="I2806" s="362"/>
      <c r="J2806" s="196"/>
      <c r="AX2806" s="117"/>
      <c r="AY2806" s="117"/>
      <c r="AZ2806" s="117"/>
      <c r="BA2806" s="117"/>
      <c r="BB2806" s="117"/>
      <c r="BC2806" s="117"/>
      <c r="BD2806" s="117"/>
    </row>
    <row r="2807" spans="1:56" ht="17.25" customHeight="1">
      <c r="A2807" s="114"/>
      <c r="B2807" s="388" t="s">
        <v>1114</v>
      </c>
      <c r="C2807" s="389">
        <v>0.5</v>
      </c>
      <c r="D2807" s="390" t="s">
        <v>10</v>
      </c>
      <c r="E2807" s="288" t="s">
        <v>1120</v>
      </c>
      <c r="F2807" s="196"/>
      <c r="G2807" s="362"/>
      <c r="H2807" s="196" t="s">
        <v>1131</v>
      </c>
      <c r="I2807" s="362"/>
      <c r="J2807" s="196"/>
      <c r="AX2807" s="117"/>
      <c r="AY2807" s="117"/>
      <c r="AZ2807" s="117"/>
      <c r="BA2807" s="117"/>
      <c r="BB2807" s="117"/>
      <c r="BC2807" s="117"/>
      <c r="BD2807" s="117"/>
    </row>
    <row r="2808" spans="1:56" ht="17.25" customHeight="1">
      <c r="A2808" s="114"/>
      <c r="B2808" s="388" t="s">
        <v>1114</v>
      </c>
      <c r="C2808" s="389">
        <v>0.1</v>
      </c>
      <c r="D2808" s="390" t="s">
        <v>10</v>
      </c>
      <c r="E2808" s="288" t="s">
        <v>1121</v>
      </c>
      <c r="F2808" s="196"/>
      <c r="G2808" s="196"/>
      <c r="H2808" s="196"/>
      <c r="I2808" s="196"/>
      <c r="J2808" s="196"/>
      <c r="AX2808" s="117"/>
      <c r="AY2808" s="117"/>
      <c r="AZ2808" s="117"/>
      <c r="BA2808" s="117"/>
      <c r="BB2808" s="117"/>
      <c r="BC2808" s="117"/>
      <c r="BD2808" s="117"/>
    </row>
    <row r="2809" spans="1:56" ht="15">
      <c r="A2809" s="114"/>
      <c r="B2809" s="362"/>
      <c r="C2809" s="362"/>
      <c r="D2809" s="362"/>
      <c r="E2809" s="362"/>
      <c r="F2809" s="362"/>
      <c r="G2809" s="114"/>
      <c r="H2809" s="362"/>
      <c r="I2809" s="196"/>
      <c r="J2809" s="196"/>
      <c r="AX2809" s="117"/>
      <c r="AY2809" s="117"/>
      <c r="AZ2809" s="117"/>
      <c r="BA2809" s="117"/>
      <c r="BB2809" s="117"/>
      <c r="BC2809" s="117"/>
      <c r="BD2809" s="117"/>
    </row>
    <row r="2810" spans="1:56" ht="15">
      <c r="A2810" s="114"/>
      <c r="B2810" s="303" t="s">
        <v>1122</v>
      </c>
      <c r="C2810" s="362"/>
      <c r="D2810" s="362"/>
      <c r="E2810" s="362"/>
      <c r="F2810" s="362"/>
      <c r="G2810" s="196"/>
      <c r="H2810" s="196"/>
      <c r="I2810" s="196"/>
      <c r="J2810" s="196"/>
      <c r="AX2810" s="117"/>
      <c r="AY2810" s="117"/>
      <c r="AZ2810" s="117"/>
      <c r="BA2810" s="117"/>
      <c r="BB2810" s="117"/>
      <c r="BC2810" s="117"/>
      <c r="BD2810" s="117"/>
    </row>
    <row r="2811" spans="1:56" ht="18">
      <c r="A2811" s="114"/>
      <c r="B2811" s="398" t="s">
        <v>1123</v>
      </c>
      <c r="C2811" s="172"/>
      <c r="D2811" s="173"/>
      <c r="E2811" s="397">
        <f>C2803*((H2801+H2800)/2)*(C2801+C2802+0.05)</f>
        <v>228.26697594371691</v>
      </c>
      <c r="F2811" s="390" t="s">
        <v>1124</v>
      </c>
      <c r="G2811" s="196"/>
      <c r="H2811" s="362"/>
      <c r="I2811" s="362"/>
      <c r="J2811" s="362"/>
      <c r="AX2811" s="117"/>
      <c r="AY2811" s="117"/>
      <c r="AZ2811" s="117"/>
      <c r="BA2811" s="117"/>
      <c r="BB2811" s="117"/>
      <c r="BC2811" s="117"/>
      <c r="BD2811" s="117"/>
    </row>
    <row r="2812" spans="1:56" ht="18">
      <c r="A2812" s="114"/>
      <c r="B2812" s="398" t="s">
        <v>1125</v>
      </c>
      <c r="C2812" s="172"/>
      <c r="D2812" s="173"/>
      <c r="E2812" s="400">
        <f>E2811-(E2823+E2825)</f>
        <v>214.29897594371693</v>
      </c>
      <c r="F2812" s="390" t="s">
        <v>1124</v>
      </c>
      <c r="G2812" s="196"/>
      <c r="H2812" s="196"/>
      <c r="I2812" s="196"/>
      <c r="J2812" s="196"/>
      <c r="AX2812" s="117"/>
      <c r="AY2812" s="117"/>
      <c r="AZ2812" s="117"/>
      <c r="BA2812" s="117"/>
      <c r="BB2812" s="117"/>
      <c r="BC2812" s="117"/>
      <c r="BD2812" s="117"/>
    </row>
    <row r="2813" spans="1:56" ht="15">
      <c r="A2813" s="114"/>
      <c r="B2813" s="398" t="s">
        <v>1126</v>
      </c>
      <c r="C2813" s="172"/>
      <c r="D2813" s="173"/>
      <c r="E2813" s="400">
        <f>((C2799+2*C2808)*(C2800+2*C2808))*C2803</f>
        <v>24.36</v>
      </c>
      <c r="F2813" s="390" t="s">
        <v>13</v>
      </c>
      <c r="G2813" s="362"/>
      <c r="H2813" s="362"/>
      <c r="I2813" s="362"/>
      <c r="J2813" s="362"/>
      <c r="AX2813" s="117"/>
      <c r="AY2813" s="117"/>
      <c r="AZ2813" s="117"/>
      <c r="BA2813" s="117"/>
      <c r="BB2813" s="117"/>
      <c r="BC2813" s="117"/>
      <c r="BD2813" s="117"/>
    </row>
    <row r="2814" spans="1:56" ht="15">
      <c r="A2814" s="114"/>
      <c r="B2814" s="362"/>
      <c r="C2814" s="362"/>
      <c r="D2814" s="362"/>
      <c r="E2814" s="401"/>
      <c r="F2814" s="196"/>
      <c r="G2814" s="362"/>
      <c r="H2814" s="362"/>
      <c r="I2814" s="362"/>
      <c r="J2814" s="362"/>
      <c r="AX2814" s="117"/>
      <c r="AY2814" s="117"/>
      <c r="AZ2814" s="117"/>
      <c r="BA2814" s="117"/>
      <c r="BB2814" s="117"/>
      <c r="BC2814" s="117"/>
      <c r="BD2814" s="117"/>
    </row>
    <row r="2815" spans="1:56" ht="15">
      <c r="A2815" s="114"/>
      <c r="B2815" s="303" t="s">
        <v>1162</v>
      </c>
      <c r="C2815" s="362"/>
      <c r="D2815" s="362"/>
      <c r="E2815" s="410"/>
      <c r="F2815" s="362"/>
      <c r="G2815" s="362"/>
      <c r="H2815" s="362"/>
      <c r="I2815" s="362"/>
      <c r="J2815" s="362"/>
      <c r="AX2815" s="117"/>
      <c r="AY2815" s="117"/>
      <c r="AZ2815" s="117"/>
      <c r="BA2815" s="117"/>
      <c r="BB2815" s="117"/>
      <c r="BC2815" s="117"/>
      <c r="BD2815" s="117"/>
    </row>
    <row r="2816" spans="1:56" ht="15">
      <c r="A2816" s="114"/>
      <c r="B2816" s="398" t="s">
        <v>1152</v>
      </c>
      <c r="C2816" s="398"/>
      <c r="D2816" s="366"/>
      <c r="E2816" s="411">
        <v>2</v>
      </c>
      <c r="F2816" s="390" t="s">
        <v>1153</v>
      </c>
      <c r="G2816" s="362"/>
      <c r="H2816" s="362"/>
      <c r="I2816" s="362"/>
      <c r="J2816" s="362"/>
      <c r="AX2816" s="117"/>
      <c r="AY2816" s="117"/>
      <c r="AZ2816" s="117"/>
      <c r="BA2816" s="117"/>
      <c r="BB2816" s="117"/>
      <c r="BC2816" s="117"/>
      <c r="BD2816" s="117"/>
    </row>
    <row r="2817" spans="1:56" ht="15">
      <c r="A2817" s="114"/>
      <c r="B2817" s="399" t="s">
        <v>1154</v>
      </c>
      <c r="C2817" s="31"/>
      <c r="D2817" s="32"/>
      <c r="E2817" s="412">
        <f>C2803*E2816</f>
        <v>48</v>
      </c>
      <c r="F2817" s="390" t="s">
        <v>1153</v>
      </c>
      <c r="G2817" s="362"/>
      <c r="H2817" s="362"/>
      <c r="I2817" s="362"/>
      <c r="J2817" s="362"/>
      <c r="AX2817" s="117"/>
      <c r="AY2817" s="117"/>
      <c r="AZ2817" s="117"/>
      <c r="BA2817" s="117"/>
      <c r="BB2817" s="117"/>
      <c r="BC2817" s="117"/>
      <c r="BD2817" s="117"/>
    </row>
    <row r="2818" spans="1:56" ht="15">
      <c r="A2818" s="114"/>
      <c r="B2818" s="398" t="s">
        <v>1155</v>
      </c>
      <c r="C2818" s="21"/>
      <c r="D2818" s="413"/>
      <c r="E2818" s="411">
        <v>250</v>
      </c>
      <c r="F2818" s="390" t="s">
        <v>1156</v>
      </c>
      <c r="G2818" s="362"/>
      <c r="H2818" s="414"/>
      <c r="I2818" s="362"/>
      <c r="J2818" s="415"/>
      <c r="AX2818" s="117"/>
      <c r="AY2818" s="117"/>
      <c r="AZ2818" s="117"/>
      <c r="BA2818" s="117"/>
      <c r="BB2818" s="117"/>
      <c r="BC2818" s="117"/>
      <c r="BD2818" s="117"/>
    </row>
    <row r="2819" spans="1:56" ht="15">
      <c r="A2819" s="114"/>
      <c r="B2819" s="398" t="s">
        <v>1157</v>
      </c>
      <c r="C2819" s="21"/>
      <c r="D2819" s="413"/>
      <c r="E2819" s="411">
        <v>13</v>
      </c>
      <c r="F2819" s="390" t="s">
        <v>10</v>
      </c>
      <c r="G2819" s="362"/>
      <c r="H2819" s="6"/>
      <c r="I2819" s="362"/>
      <c r="J2819" s="362"/>
      <c r="AX2819" s="117"/>
      <c r="AY2819" s="117"/>
      <c r="AZ2819" s="117"/>
      <c r="BA2819" s="117"/>
      <c r="BB2819" s="117"/>
      <c r="BC2819" s="117"/>
      <c r="BD2819" s="117"/>
    </row>
    <row r="2820" spans="1:56" ht="15">
      <c r="A2820" s="114"/>
      <c r="B2820" s="398" t="s">
        <v>1158</v>
      </c>
      <c r="C2820" s="21"/>
      <c r="D2820" s="413"/>
      <c r="E2820" s="412">
        <f>E2817*E2819</f>
        <v>624</v>
      </c>
      <c r="F2820" s="390" t="s">
        <v>10</v>
      </c>
      <c r="G2820" s="362"/>
      <c r="H2820" s="362"/>
      <c r="I2820" s="362"/>
      <c r="J2820" s="362"/>
      <c r="AX2820" s="117"/>
      <c r="AY2820" s="117"/>
      <c r="AZ2820" s="117"/>
      <c r="BA2820" s="117"/>
      <c r="BB2820" s="117"/>
      <c r="BC2820" s="117"/>
      <c r="BD2820" s="117"/>
    </row>
    <row r="2821" spans="1:56" ht="15">
      <c r="A2821" s="114"/>
      <c r="B2821" s="362"/>
      <c r="C2821" s="362"/>
      <c r="D2821" s="362"/>
      <c r="E2821" s="410"/>
      <c r="F2821" s="362"/>
      <c r="G2821" s="362"/>
      <c r="H2821" s="362"/>
      <c r="I2821" s="362"/>
      <c r="J2821" s="362"/>
      <c r="AX2821" s="117"/>
      <c r="AY2821" s="117"/>
      <c r="AZ2821" s="117"/>
      <c r="BA2821" s="117"/>
      <c r="BB2821" s="117"/>
      <c r="BC2821" s="117"/>
      <c r="BD2821" s="117"/>
    </row>
    <row r="2822" spans="1:56" ht="15">
      <c r="A2822" s="114"/>
      <c r="B2822" s="303" t="s">
        <v>1160</v>
      </c>
      <c r="C2822" s="362"/>
      <c r="D2822" s="362"/>
      <c r="E2822" s="410"/>
      <c r="F2822" s="362"/>
      <c r="G2822" s="362"/>
      <c r="H2822" s="362"/>
      <c r="I2822" s="362"/>
      <c r="J2822" s="362"/>
      <c r="AX2822" s="117"/>
      <c r="AY2822" s="117"/>
      <c r="AZ2822" s="117"/>
      <c r="BA2822" s="117"/>
      <c r="BB2822" s="117"/>
      <c r="BC2822" s="117"/>
      <c r="BD2822" s="117"/>
    </row>
    <row r="2823" spans="1:56" ht="17.25" customHeight="1">
      <c r="A2823" s="114"/>
      <c r="B2823" s="398" t="s">
        <v>1128</v>
      </c>
      <c r="C2823" s="172"/>
      <c r="D2823" s="173"/>
      <c r="E2823" s="402">
        <f>E2813*0.05</f>
        <v>1.218</v>
      </c>
      <c r="F2823" s="390" t="s">
        <v>1124</v>
      </c>
      <c r="G2823" s="362"/>
      <c r="H2823" s="362"/>
      <c r="I2823" s="362"/>
      <c r="J2823" s="362"/>
      <c r="AX2823" s="117"/>
      <c r="AY2823" s="117"/>
      <c r="AZ2823" s="117"/>
      <c r="BA2823" s="117"/>
      <c r="BB2823" s="117"/>
      <c r="BC2823" s="117"/>
      <c r="BD2823" s="117"/>
    </row>
    <row r="2824" spans="1:56" ht="18" customHeight="1">
      <c r="A2824" s="114"/>
      <c r="B2824" s="398" t="s">
        <v>1129</v>
      </c>
      <c r="C2824" s="172"/>
      <c r="D2824" s="173"/>
      <c r="E2824" s="397">
        <f>(2*(C2799+C2800)*C2802)*C2803</f>
        <v>71.400000000000006</v>
      </c>
      <c r="F2824" s="390" t="s">
        <v>13</v>
      </c>
      <c r="G2824" s="362"/>
      <c r="H2824" s="362"/>
      <c r="I2824" s="362"/>
      <c r="J2824" s="362"/>
      <c r="AX2824" s="117"/>
      <c r="AY2824" s="117"/>
      <c r="AZ2824" s="117"/>
      <c r="BA2824" s="117"/>
      <c r="BB2824" s="117"/>
      <c r="BC2824" s="117"/>
      <c r="BD2824" s="117"/>
    </row>
    <row r="2825" spans="1:56" ht="18">
      <c r="A2825" s="114"/>
      <c r="B2825" s="398" t="s">
        <v>1130</v>
      </c>
      <c r="C2825" s="172"/>
      <c r="D2825" s="173"/>
      <c r="E2825" s="402">
        <f>(C2799*C2800*C2802)*C2803</f>
        <v>12.75</v>
      </c>
      <c r="F2825" s="390" t="s">
        <v>1124</v>
      </c>
      <c r="G2825" s="362"/>
      <c r="H2825" s="362"/>
      <c r="I2825" s="362"/>
      <c r="J2825" s="362"/>
      <c r="AX2825" s="117"/>
      <c r="AY2825" s="117"/>
      <c r="AZ2825" s="117"/>
      <c r="BA2825" s="117"/>
      <c r="BB2825" s="117"/>
      <c r="BC2825" s="117"/>
      <c r="BD2825" s="117"/>
    </row>
    <row r="2826" spans="1:56" ht="15">
      <c r="A2826" s="114"/>
      <c r="B2826" s="196"/>
      <c r="C2826" s="196"/>
      <c r="D2826" s="196"/>
      <c r="E2826" s="196"/>
      <c r="F2826" s="196"/>
      <c r="G2826" s="196"/>
      <c r="H2826" s="196"/>
      <c r="I2826" s="196"/>
      <c r="J2826" s="114"/>
      <c r="AW2826" s="117"/>
      <c r="AX2826" s="117"/>
      <c r="AY2826" s="117"/>
      <c r="AZ2826" s="117"/>
      <c r="BA2826" s="117"/>
      <c r="BB2826" s="117"/>
      <c r="BC2826" s="117"/>
      <c r="BD2826" s="117"/>
    </row>
    <row r="2827" spans="1:56">
      <c r="A2827" s="114"/>
      <c r="B2827" s="115"/>
      <c r="C2827" s="115"/>
      <c r="D2827" s="115"/>
      <c r="E2827" s="115"/>
      <c r="F2827" s="115"/>
      <c r="G2827" s="115"/>
      <c r="H2827" s="115"/>
      <c r="I2827" s="115"/>
      <c r="J2827" s="114"/>
      <c r="AW2827" s="117"/>
      <c r="AX2827" s="117"/>
      <c r="AY2827" s="117"/>
      <c r="AZ2827" s="117"/>
      <c r="BA2827" s="117"/>
      <c r="BB2827" s="117"/>
      <c r="BC2827" s="117"/>
      <c r="BD2827" s="117"/>
    </row>
    <row r="2828" spans="1:56">
      <c r="A2828" s="114"/>
      <c r="B2828" s="385" t="s">
        <v>1237</v>
      </c>
      <c r="C2828" s="196"/>
      <c r="D2828" s="196"/>
      <c r="E2828" s="196"/>
      <c r="F2828" s="196"/>
      <c r="G2828" s="196"/>
      <c r="H2828" s="196"/>
      <c r="I2828" s="196"/>
      <c r="J2828" s="196"/>
      <c r="AX2828" s="117"/>
      <c r="AY2828" s="117"/>
      <c r="AZ2828" s="117"/>
      <c r="BA2828" s="117"/>
      <c r="BB2828" s="117"/>
      <c r="BC2828" s="117"/>
      <c r="BD2828" s="117"/>
    </row>
    <row r="2829" spans="1:56" ht="15">
      <c r="A2829" s="114"/>
      <c r="B2829" s="362"/>
      <c r="C2829" s="362"/>
      <c r="D2829" s="362"/>
      <c r="E2829" s="362"/>
      <c r="F2829" s="404"/>
      <c r="G2829" s="404"/>
      <c r="H2829" s="404"/>
      <c r="I2829" s="404"/>
      <c r="J2829" s="404"/>
      <c r="AX2829" s="117"/>
      <c r="AY2829" s="117"/>
      <c r="AZ2829" s="117"/>
      <c r="BA2829" s="117"/>
      <c r="BB2829" s="117"/>
      <c r="BC2829" s="117"/>
      <c r="BD2829" s="117"/>
    </row>
    <row r="2830" spans="1:56" ht="18">
      <c r="A2830" s="114"/>
      <c r="B2830" s="388" t="s">
        <v>1141</v>
      </c>
      <c r="C2830" s="389">
        <v>0.6</v>
      </c>
      <c r="D2830" s="390" t="s">
        <v>10</v>
      </c>
      <c r="E2830" s="196"/>
      <c r="F2830" s="405"/>
      <c r="G2830" s="406" t="s">
        <v>1142</v>
      </c>
      <c r="H2830" s="407">
        <f>C2830*C2831</f>
        <v>0.18</v>
      </c>
      <c r="I2830" s="405" t="s">
        <v>1143</v>
      </c>
      <c r="J2830" s="405"/>
      <c r="AX2830" s="117"/>
      <c r="AY2830" s="117"/>
      <c r="AZ2830" s="117"/>
      <c r="BA2830" s="117"/>
      <c r="BB2830" s="117"/>
      <c r="BC2830" s="117"/>
      <c r="BD2830" s="117"/>
    </row>
    <row r="2831" spans="1:56" ht="15">
      <c r="A2831" s="114"/>
      <c r="B2831" s="388" t="s">
        <v>1144</v>
      </c>
      <c r="C2831" s="389">
        <v>0.3</v>
      </c>
      <c r="D2831" s="390" t="s">
        <v>10</v>
      </c>
      <c r="E2831" s="196"/>
      <c r="F2831" s="405"/>
      <c r="G2831" s="406" t="e">
        <f>TEXT(C2838,"tg 0°=")</f>
        <v>#VALUE!</v>
      </c>
      <c r="H2831" s="408">
        <f>TAN(3.14159265359*C2838/180)</f>
        <v>1.732050807569153</v>
      </c>
      <c r="I2831" s="405"/>
      <c r="J2831" s="405"/>
      <c r="AX2831" s="117"/>
      <c r="AY2831" s="117"/>
      <c r="AZ2831" s="117"/>
      <c r="BA2831" s="117"/>
      <c r="BB2831" s="117"/>
      <c r="BC2831" s="117"/>
      <c r="BD2831" s="117"/>
    </row>
    <row r="2832" spans="1:56" ht="15">
      <c r="A2832" s="114"/>
      <c r="B2832" s="388" t="s">
        <v>1145</v>
      </c>
      <c r="C2832" s="389">
        <v>1.25</v>
      </c>
      <c r="D2832" s="390" t="s">
        <v>10</v>
      </c>
      <c r="E2832" s="196"/>
      <c r="F2832" s="405"/>
      <c r="G2832" s="406"/>
      <c r="H2832" s="407"/>
      <c r="I2832" s="405"/>
      <c r="J2832" s="405"/>
      <c r="AX2832" s="117"/>
      <c r="AY2832" s="117"/>
      <c r="AZ2832" s="117"/>
      <c r="BA2832" s="117"/>
      <c r="BB2832" s="117"/>
      <c r="BC2832" s="117"/>
      <c r="BD2832" s="117"/>
    </row>
    <row r="2833" spans="1:56" ht="18">
      <c r="A2833" s="114"/>
      <c r="B2833" s="388" t="s">
        <v>1146</v>
      </c>
      <c r="C2833" s="389">
        <v>0.5</v>
      </c>
      <c r="D2833" s="390" t="s">
        <v>10</v>
      </c>
      <c r="E2833" s="196"/>
      <c r="F2833" s="405"/>
      <c r="G2833" s="406" t="s">
        <v>1142</v>
      </c>
      <c r="H2833" s="409">
        <f>(C2832+2*C2840+((C2834+C2835+0.05)/H2831)*2)*(C2833+2*C2840+((C2834+C2835+0.05)/H2831)*2)</f>
        <v>11.25749845793057</v>
      </c>
      <c r="I2833" s="405" t="s">
        <v>1143</v>
      </c>
      <c r="J2833" s="405"/>
      <c r="AX2833" s="117"/>
      <c r="AY2833" s="117"/>
      <c r="AZ2833" s="117"/>
      <c r="BA2833" s="117"/>
      <c r="BB2833" s="117"/>
      <c r="BC2833" s="117"/>
      <c r="BD2833" s="117"/>
    </row>
    <row r="2834" spans="1:56" ht="18">
      <c r="A2834" s="114"/>
      <c r="B2834" s="388" t="s">
        <v>1112</v>
      </c>
      <c r="C2834" s="389">
        <v>0.4</v>
      </c>
      <c r="D2834" s="390" t="s">
        <v>10</v>
      </c>
      <c r="E2834" s="196"/>
      <c r="F2834" s="405"/>
      <c r="G2834" s="406" t="s">
        <v>1147</v>
      </c>
      <c r="H2834" s="409">
        <f>(C2832+2*C2840)*(C2833+2*C2840)</f>
        <v>3.375</v>
      </c>
      <c r="I2834" s="405" t="s">
        <v>1143</v>
      </c>
      <c r="J2834" s="405"/>
      <c r="AX2834" s="117"/>
      <c r="AY2834" s="117"/>
      <c r="AZ2834" s="117"/>
      <c r="BA2834" s="117"/>
      <c r="BB2834" s="117"/>
      <c r="BC2834" s="117"/>
      <c r="BD2834" s="117"/>
    </row>
    <row r="2835" spans="1:56" ht="15">
      <c r="A2835" s="114"/>
      <c r="B2835" s="388" t="s">
        <v>1113</v>
      </c>
      <c r="C2835" s="389">
        <v>0.85</v>
      </c>
      <c r="D2835" s="390" t="s">
        <v>10</v>
      </c>
      <c r="E2835" s="196"/>
      <c r="F2835" s="405"/>
      <c r="G2835" s="406"/>
      <c r="H2835" s="407"/>
      <c r="I2835" s="405"/>
      <c r="J2835" s="405"/>
      <c r="AX2835" s="117"/>
      <c r="AY2835" s="117"/>
      <c r="AZ2835" s="117"/>
      <c r="BA2835" s="117"/>
      <c r="BB2835" s="117"/>
      <c r="BC2835" s="117"/>
      <c r="BD2835" s="117"/>
    </row>
    <row r="2836" spans="1:56" ht="15">
      <c r="A2836" s="114"/>
      <c r="B2836" s="388" t="s">
        <v>1117</v>
      </c>
      <c r="C2836" s="391">
        <v>4</v>
      </c>
      <c r="D2836" s="390" t="s">
        <v>1118</v>
      </c>
      <c r="E2836" s="196"/>
      <c r="F2836" s="405"/>
      <c r="G2836" s="406"/>
      <c r="H2836" s="407"/>
      <c r="I2836" s="405"/>
      <c r="J2836" s="405"/>
      <c r="AX2836" s="117"/>
      <c r="AY2836" s="117"/>
      <c r="AZ2836" s="117"/>
      <c r="BA2836" s="117"/>
      <c r="BB2836" s="117"/>
      <c r="BC2836" s="117"/>
      <c r="BD2836" s="117"/>
    </row>
    <row r="2837" spans="1:56" ht="15">
      <c r="A2837" s="114"/>
      <c r="B2837" s="196" t="s">
        <v>1148</v>
      </c>
      <c r="C2837" s="393"/>
      <c r="D2837" s="196"/>
      <c r="E2837" s="196"/>
      <c r="F2837" s="405"/>
      <c r="G2837" s="406"/>
      <c r="H2837" s="407"/>
      <c r="I2837" s="405"/>
      <c r="J2837" s="405"/>
      <c r="AX2837" s="117"/>
      <c r="AY2837" s="117"/>
      <c r="AZ2837" s="117"/>
      <c r="BA2837" s="117"/>
      <c r="BB2837" s="117"/>
      <c r="BC2837" s="117"/>
      <c r="BD2837" s="117"/>
    </row>
    <row r="2838" spans="1:56" ht="15">
      <c r="A2838" s="114"/>
      <c r="B2838" s="388" t="s">
        <v>1149</v>
      </c>
      <c r="C2838" s="389">
        <v>60</v>
      </c>
      <c r="D2838" s="390" t="s">
        <v>1150</v>
      </c>
      <c r="E2838" s="196"/>
      <c r="F2838" s="196"/>
      <c r="G2838" s="392"/>
      <c r="H2838" s="393"/>
      <c r="I2838" s="196"/>
      <c r="J2838" s="196"/>
      <c r="AX2838" s="117"/>
      <c r="AY2838" s="117"/>
      <c r="AZ2838" s="117"/>
      <c r="BA2838" s="117"/>
      <c r="BB2838" s="117"/>
      <c r="BC2838" s="117"/>
      <c r="BD2838" s="117"/>
    </row>
    <row r="2839" spans="1:56" ht="15">
      <c r="A2839" s="114"/>
      <c r="B2839" s="362"/>
      <c r="C2839" s="196"/>
      <c r="D2839" s="196"/>
      <c r="E2839" s="196"/>
      <c r="F2839" s="196"/>
      <c r="G2839" s="362"/>
      <c r="H2839" s="362"/>
      <c r="I2839" s="362"/>
      <c r="J2839" s="196"/>
      <c r="AX2839" s="117"/>
      <c r="AY2839" s="117"/>
      <c r="AZ2839" s="117"/>
      <c r="BA2839" s="117"/>
      <c r="BB2839" s="117"/>
      <c r="BC2839" s="117"/>
      <c r="BD2839" s="117"/>
    </row>
    <row r="2840" spans="1:56" ht="15">
      <c r="A2840" s="114"/>
      <c r="B2840" s="388" t="s">
        <v>1114</v>
      </c>
      <c r="C2840" s="389">
        <v>0.5</v>
      </c>
      <c r="D2840" s="390" t="s">
        <v>10</v>
      </c>
      <c r="E2840" s="288" t="s">
        <v>1120</v>
      </c>
      <c r="F2840" s="196"/>
      <c r="G2840" s="362"/>
      <c r="H2840" s="196" t="s">
        <v>1131</v>
      </c>
      <c r="I2840" s="362"/>
      <c r="J2840" s="196"/>
      <c r="AX2840" s="117"/>
      <c r="AY2840" s="117"/>
      <c r="AZ2840" s="117"/>
      <c r="BA2840" s="117"/>
      <c r="BB2840" s="117"/>
      <c r="BC2840" s="117"/>
      <c r="BD2840" s="117"/>
    </row>
    <row r="2841" spans="1:56" ht="15">
      <c r="A2841" s="114"/>
      <c r="B2841" s="388" t="s">
        <v>1114</v>
      </c>
      <c r="C2841" s="389">
        <v>0.1</v>
      </c>
      <c r="D2841" s="390" t="s">
        <v>10</v>
      </c>
      <c r="E2841" s="288" t="s">
        <v>1121</v>
      </c>
      <c r="F2841" s="196"/>
      <c r="G2841" s="196"/>
      <c r="H2841" s="196"/>
      <c r="I2841" s="196"/>
      <c r="J2841" s="196"/>
      <c r="AX2841" s="117"/>
      <c r="AY2841" s="117"/>
      <c r="AZ2841" s="117"/>
      <c r="BA2841" s="117"/>
      <c r="BB2841" s="117"/>
      <c r="BC2841" s="117"/>
      <c r="BD2841" s="117"/>
    </row>
    <row r="2842" spans="1:56" ht="15">
      <c r="A2842" s="114"/>
      <c r="B2842" s="362"/>
      <c r="C2842" s="362"/>
      <c r="D2842" s="362"/>
      <c r="E2842" s="362"/>
      <c r="F2842" s="362"/>
      <c r="G2842" s="114"/>
      <c r="H2842" s="362"/>
      <c r="I2842" s="196"/>
      <c r="J2842" s="196"/>
      <c r="AX2842" s="117"/>
      <c r="AY2842" s="117"/>
      <c r="AZ2842" s="117"/>
      <c r="BA2842" s="117"/>
      <c r="BB2842" s="117"/>
      <c r="BC2842" s="117"/>
      <c r="BD2842" s="117"/>
    </row>
    <row r="2843" spans="1:56" ht="15">
      <c r="A2843" s="114"/>
      <c r="B2843" s="303" t="s">
        <v>1122</v>
      </c>
      <c r="C2843" s="362"/>
      <c r="D2843" s="362"/>
      <c r="E2843" s="362"/>
      <c r="F2843" s="362"/>
      <c r="G2843" s="196"/>
      <c r="H2843" s="196"/>
      <c r="I2843" s="196"/>
      <c r="J2843" s="196"/>
      <c r="AX2843" s="117"/>
      <c r="AY2843" s="117"/>
      <c r="AZ2843" s="117"/>
      <c r="BA2843" s="117"/>
      <c r="BB2843" s="117"/>
      <c r="BC2843" s="117"/>
      <c r="BD2843" s="117"/>
    </row>
    <row r="2844" spans="1:56" ht="18">
      <c r="A2844" s="114"/>
      <c r="B2844" s="398" t="s">
        <v>1123</v>
      </c>
      <c r="C2844" s="172"/>
      <c r="D2844" s="173"/>
      <c r="E2844" s="397">
        <f>C2836*((H2834+H2833)/2)*(C2834+C2835+0.05)</f>
        <v>38.044495990619481</v>
      </c>
      <c r="F2844" s="390" t="s">
        <v>1124</v>
      </c>
      <c r="G2844" s="196"/>
      <c r="H2844" s="362"/>
      <c r="I2844" s="362"/>
      <c r="J2844" s="362"/>
      <c r="AX2844" s="117"/>
      <c r="AY2844" s="117"/>
      <c r="AZ2844" s="117"/>
      <c r="BA2844" s="117"/>
      <c r="BB2844" s="117"/>
      <c r="BC2844" s="117"/>
      <c r="BD2844" s="117"/>
    </row>
    <row r="2845" spans="1:56" ht="18">
      <c r="A2845" s="114"/>
      <c r="B2845" s="398" t="s">
        <v>1125</v>
      </c>
      <c r="C2845" s="172"/>
      <c r="D2845" s="173"/>
      <c r="E2845" s="400">
        <f>E2844-(E2856+E2858)</f>
        <v>35.716495990619478</v>
      </c>
      <c r="F2845" s="390" t="s">
        <v>1124</v>
      </c>
      <c r="G2845" s="196"/>
      <c r="H2845" s="196"/>
      <c r="I2845" s="196"/>
      <c r="J2845" s="196"/>
      <c r="AX2845" s="117"/>
      <c r="AY2845" s="117"/>
      <c r="AZ2845" s="117"/>
      <c r="BA2845" s="117"/>
      <c r="BB2845" s="117"/>
      <c r="BC2845" s="117"/>
      <c r="BD2845" s="117"/>
    </row>
    <row r="2846" spans="1:56" ht="15">
      <c r="A2846" s="114"/>
      <c r="B2846" s="398" t="s">
        <v>1126</v>
      </c>
      <c r="C2846" s="172"/>
      <c r="D2846" s="173"/>
      <c r="E2846" s="400">
        <f>((C2832+2*C2841)*(C2833+2*C2841))*C2836</f>
        <v>4.0599999999999996</v>
      </c>
      <c r="F2846" s="390" t="s">
        <v>13</v>
      </c>
      <c r="G2846" s="362"/>
      <c r="H2846" s="362"/>
      <c r="I2846" s="362"/>
      <c r="J2846" s="362"/>
      <c r="AX2846" s="117"/>
      <c r="AY2846" s="117"/>
      <c r="AZ2846" s="117"/>
      <c r="BA2846" s="117"/>
      <c r="BB2846" s="117"/>
      <c r="BC2846" s="117"/>
      <c r="BD2846" s="117"/>
    </row>
    <row r="2847" spans="1:56" ht="15">
      <c r="A2847" s="114"/>
      <c r="B2847" s="362"/>
      <c r="C2847" s="362"/>
      <c r="D2847" s="362"/>
      <c r="E2847" s="401"/>
      <c r="F2847" s="196"/>
      <c r="G2847" s="362"/>
      <c r="H2847" s="362"/>
      <c r="I2847" s="362"/>
      <c r="J2847" s="362"/>
      <c r="AX2847" s="117"/>
      <c r="AY2847" s="117"/>
      <c r="AZ2847" s="117"/>
      <c r="BA2847" s="117"/>
      <c r="BB2847" s="117"/>
      <c r="BC2847" s="117"/>
      <c r="BD2847" s="117"/>
    </row>
    <row r="2848" spans="1:56" ht="15">
      <c r="A2848" s="114"/>
      <c r="B2848" s="303" t="s">
        <v>1162</v>
      </c>
      <c r="C2848" s="362"/>
      <c r="D2848" s="362"/>
      <c r="E2848" s="410"/>
      <c r="F2848" s="362"/>
      <c r="G2848" s="362"/>
      <c r="H2848" s="362"/>
      <c r="I2848" s="362"/>
      <c r="J2848" s="362"/>
      <c r="AX2848" s="117"/>
      <c r="AY2848" s="117"/>
      <c r="AZ2848" s="117"/>
      <c r="BA2848" s="117"/>
      <c r="BB2848" s="117"/>
      <c r="BC2848" s="117"/>
      <c r="BD2848" s="117"/>
    </row>
    <row r="2849" spans="1:56" ht="15">
      <c r="A2849" s="114"/>
      <c r="B2849" s="398" t="s">
        <v>1152</v>
      </c>
      <c r="C2849" s="398"/>
      <c r="D2849" s="366"/>
      <c r="E2849" s="411">
        <v>2</v>
      </c>
      <c r="F2849" s="390" t="s">
        <v>1153</v>
      </c>
      <c r="G2849" s="362"/>
      <c r="H2849" s="362"/>
      <c r="I2849" s="362"/>
      <c r="J2849" s="362"/>
      <c r="AX2849" s="117"/>
      <c r="AY2849" s="117"/>
      <c r="AZ2849" s="117"/>
      <c r="BA2849" s="117"/>
      <c r="BB2849" s="117"/>
      <c r="BC2849" s="117"/>
      <c r="BD2849" s="117"/>
    </row>
    <row r="2850" spans="1:56" ht="15">
      <c r="A2850" s="114"/>
      <c r="B2850" s="399" t="s">
        <v>1154</v>
      </c>
      <c r="C2850" s="31"/>
      <c r="D2850" s="32"/>
      <c r="E2850" s="412">
        <f>C2836*E2849</f>
        <v>8</v>
      </c>
      <c r="F2850" s="390" t="s">
        <v>1153</v>
      </c>
      <c r="G2850" s="362"/>
      <c r="H2850" s="362"/>
      <c r="I2850" s="362"/>
      <c r="J2850" s="362"/>
      <c r="AX2850" s="117"/>
      <c r="AY2850" s="117"/>
      <c r="AZ2850" s="117"/>
      <c r="BA2850" s="117"/>
      <c r="BB2850" s="117"/>
      <c r="BC2850" s="117"/>
      <c r="BD2850" s="117"/>
    </row>
    <row r="2851" spans="1:56" ht="15">
      <c r="A2851" s="114"/>
      <c r="B2851" s="398" t="s">
        <v>1155</v>
      </c>
      <c r="C2851" s="21"/>
      <c r="D2851" s="413"/>
      <c r="E2851" s="411">
        <v>250</v>
      </c>
      <c r="F2851" s="390" t="s">
        <v>1156</v>
      </c>
      <c r="G2851" s="362"/>
      <c r="H2851" s="414"/>
      <c r="I2851" s="362"/>
      <c r="J2851" s="415"/>
      <c r="AX2851" s="117"/>
      <c r="AY2851" s="117"/>
      <c r="AZ2851" s="117"/>
      <c r="BA2851" s="117"/>
      <c r="BB2851" s="117"/>
      <c r="BC2851" s="117"/>
      <c r="BD2851" s="117"/>
    </row>
    <row r="2852" spans="1:56" ht="15">
      <c r="A2852" s="114"/>
      <c r="B2852" s="398" t="s">
        <v>1157</v>
      </c>
      <c r="C2852" s="21"/>
      <c r="D2852" s="413"/>
      <c r="E2852" s="411">
        <v>13</v>
      </c>
      <c r="F2852" s="390" t="s">
        <v>10</v>
      </c>
      <c r="G2852" s="362"/>
      <c r="H2852" s="6"/>
      <c r="I2852" s="362"/>
      <c r="J2852" s="362"/>
      <c r="AX2852" s="117"/>
      <c r="AY2852" s="117"/>
      <c r="AZ2852" s="117"/>
      <c r="BA2852" s="117"/>
      <c r="BB2852" s="117"/>
      <c r="BC2852" s="117"/>
      <c r="BD2852" s="117"/>
    </row>
    <row r="2853" spans="1:56" ht="15">
      <c r="A2853" s="114"/>
      <c r="B2853" s="398" t="s">
        <v>1158</v>
      </c>
      <c r="C2853" s="21"/>
      <c r="D2853" s="413"/>
      <c r="E2853" s="412">
        <f>E2850*E2852</f>
        <v>104</v>
      </c>
      <c r="F2853" s="390" t="s">
        <v>10</v>
      </c>
      <c r="G2853" s="362"/>
      <c r="H2853" s="362"/>
      <c r="I2853" s="362"/>
      <c r="J2853" s="362"/>
      <c r="AX2853" s="117"/>
      <c r="AY2853" s="117"/>
      <c r="AZ2853" s="117"/>
      <c r="BA2853" s="117"/>
      <c r="BB2853" s="117"/>
      <c r="BC2853" s="117"/>
      <c r="BD2853" s="117"/>
    </row>
    <row r="2854" spans="1:56" ht="15">
      <c r="A2854" s="114"/>
      <c r="B2854" s="362"/>
      <c r="C2854" s="362"/>
      <c r="D2854" s="362"/>
      <c r="E2854" s="410"/>
      <c r="F2854" s="362"/>
      <c r="G2854" s="362"/>
      <c r="H2854" s="362"/>
      <c r="I2854" s="362"/>
      <c r="J2854" s="362"/>
      <c r="AX2854" s="117"/>
      <c r="AY2854" s="117"/>
      <c r="AZ2854" s="117"/>
      <c r="BA2854" s="117"/>
      <c r="BB2854" s="117"/>
      <c r="BC2854" s="117"/>
      <c r="BD2854" s="117"/>
    </row>
    <row r="2855" spans="1:56" ht="15">
      <c r="A2855" s="114"/>
      <c r="B2855" s="303" t="s">
        <v>1160</v>
      </c>
      <c r="C2855" s="362"/>
      <c r="D2855" s="362"/>
      <c r="E2855" s="410"/>
      <c r="F2855" s="362"/>
      <c r="G2855" s="362"/>
      <c r="H2855" s="362"/>
      <c r="I2855" s="362"/>
      <c r="J2855" s="362"/>
      <c r="AX2855" s="117"/>
      <c r="AY2855" s="117"/>
      <c r="AZ2855" s="117"/>
      <c r="BA2855" s="117"/>
      <c r="BB2855" s="117"/>
      <c r="BC2855" s="117"/>
      <c r="BD2855" s="117"/>
    </row>
    <row r="2856" spans="1:56" ht="18">
      <c r="A2856" s="114"/>
      <c r="B2856" s="398" t="s">
        <v>1128</v>
      </c>
      <c r="C2856" s="172"/>
      <c r="D2856" s="173"/>
      <c r="E2856" s="402">
        <f>E2846*0.05</f>
        <v>0.20299999999999999</v>
      </c>
      <c r="F2856" s="390" t="s">
        <v>1124</v>
      </c>
      <c r="G2856" s="362"/>
      <c r="H2856" s="362"/>
      <c r="I2856" s="362"/>
      <c r="J2856" s="362"/>
      <c r="AX2856" s="117"/>
      <c r="AY2856" s="117"/>
      <c r="AZ2856" s="117"/>
      <c r="BA2856" s="117"/>
      <c r="BB2856" s="117"/>
      <c r="BC2856" s="117"/>
      <c r="BD2856" s="117"/>
    </row>
    <row r="2857" spans="1:56" ht="15">
      <c r="A2857" s="114"/>
      <c r="B2857" s="398" t="s">
        <v>1129</v>
      </c>
      <c r="C2857" s="172"/>
      <c r="D2857" s="173"/>
      <c r="E2857" s="397">
        <f>(2*(C2832+C2833)*C2835)*C2836</f>
        <v>11.9</v>
      </c>
      <c r="F2857" s="390" t="s">
        <v>13</v>
      </c>
      <c r="G2857" s="362"/>
      <c r="H2857" s="362"/>
      <c r="I2857" s="362"/>
      <c r="J2857" s="362"/>
      <c r="AX2857" s="117"/>
      <c r="AY2857" s="117"/>
      <c r="AZ2857" s="117"/>
      <c r="BA2857" s="117"/>
      <c r="BB2857" s="117"/>
      <c r="BC2857" s="117"/>
      <c r="BD2857" s="117"/>
    </row>
    <row r="2858" spans="1:56" ht="18">
      <c r="A2858" s="114"/>
      <c r="B2858" s="398" t="s">
        <v>1130</v>
      </c>
      <c r="C2858" s="172"/>
      <c r="D2858" s="173"/>
      <c r="E2858" s="402">
        <f>(C2832*C2833*C2835)*C2836</f>
        <v>2.125</v>
      </c>
      <c r="F2858" s="390" t="s">
        <v>1124</v>
      </c>
      <c r="G2858" s="362"/>
      <c r="H2858" s="362"/>
      <c r="I2858" s="362"/>
      <c r="J2858" s="362"/>
      <c r="AX2858" s="117"/>
      <c r="AY2858" s="117"/>
      <c r="AZ2858" s="117"/>
      <c r="BA2858" s="117"/>
      <c r="BB2858" s="117"/>
      <c r="BC2858" s="117"/>
      <c r="BD2858" s="117"/>
    </row>
    <row r="2859" spans="1:56" ht="15">
      <c r="A2859" s="114"/>
      <c r="B2859" s="196"/>
      <c r="C2859" s="196"/>
      <c r="D2859" s="196"/>
      <c r="E2859" s="196"/>
      <c r="F2859" s="196"/>
      <c r="G2859" s="196"/>
      <c r="H2859" s="196"/>
      <c r="I2859" s="196"/>
      <c r="J2859" s="114"/>
      <c r="AW2859" s="117"/>
      <c r="AX2859" s="117"/>
      <c r="AY2859" s="117"/>
      <c r="AZ2859" s="117"/>
      <c r="BA2859" s="117"/>
      <c r="BB2859" s="117"/>
      <c r="BC2859" s="117"/>
      <c r="BD2859" s="117"/>
    </row>
    <row r="2860" spans="1:56" ht="15">
      <c r="A2860" s="114"/>
      <c r="B2860" s="196"/>
      <c r="C2860" s="196"/>
      <c r="D2860" s="196"/>
      <c r="E2860" s="196"/>
      <c r="F2860" s="196"/>
      <c r="G2860" s="196"/>
      <c r="H2860" s="196"/>
      <c r="I2860" s="196"/>
      <c r="J2860" s="114"/>
      <c r="AW2860" s="117"/>
      <c r="AX2860" s="117"/>
      <c r="AY2860" s="117"/>
      <c r="AZ2860" s="117"/>
      <c r="BA2860" s="117"/>
      <c r="BB2860" s="117"/>
      <c r="BC2860" s="117"/>
      <c r="BD2860" s="117"/>
    </row>
    <row r="2861" spans="1:56">
      <c r="A2861" s="114"/>
      <c r="B2861" s="385" t="s">
        <v>1224</v>
      </c>
      <c r="C2861" s="196"/>
      <c r="D2861" s="196"/>
      <c r="E2861" s="196"/>
      <c r="F2861" s="196"/>
      <c r="G2861" s="196"/>
      <c r="H2861" s="196"/>
      <c r="I2861" s="196"/>
      <c r="J2861" s="196"/>
      <c r="AX2861" s="117"/>
      <c r="AY2861" s="117"/>
      <c r="AZ2861" s="117"/>
      <c r="BA2861" s="117"/>
      <c r="BB2861" s="117"/>
      <c r="BC2861" s="117"/>
      <c r="BD2861" s="117"/>
    </row>
    <row r="2862" spans="1:56" ht="15">
      <c r="A2862" s="114"/>
      <c r="B2862" s="362"/>
      <c r="C2862" s="362"/>
      <c r="D2862" s="362"/>
      <c r="E2862" s="362"/>
      <c r="F2862" s="404"/>
      <c r="G2862" s="404"/>
      <c r="H2862" s="404"/>
      <c r="I2862" s="404"/>
      <c r="J2862" s="404"/>
      <c r="AX2862" s="117"/>
      <c r="AY2862" s="117"/>
      <c r="AZ2862" s="117"/>
      <c r="BA2862" s="117"/>
      <c r="BB2862" s="117"/>
      <c r="BC2862" s="117"/>
      <c r="BD2862" s="117"/>
    </row>
    <row r="2863" spans="1:56" ht="18">
      <c r="A2863" s="114"/>
      <c r="B2863" s="388" t="s">
        <v>1141</v>
      </c>
      <c r="C2863" s="389">
        <v>0.6</v>
      </c>
      <c r="D2863" s="390" t="s">
        <v>10</v>
      </c>
      <c r="E2863" s="196"/>
      <c r="F2863" s="405"/>
      <c r="G2863" s="406" t="s">
        <v>1142</v>
      </c>
      <c r="H2863" s="407">
        <f>C2863*C2864</f>
        <v>0.312</v>
      </c>
      <c r="I2863" s="405" t="s">
        <v>1143</v>
      </c>
      <c r="J2863" s="405"/>
      <c r="AX2863" s="117"/>
      <c r="AY2863" s="117"/>
      <c r="AZ2863" s="117"/>
      <c r="BA2863" s="117"/>
      <c r="BB2863" s="117"/>
      <c r="BC2863" s="117"/>
      <c r="BD2863" s="117"/>
    </row>
    <row r="2864" spans="1:56" ht="15">
      <c r="A2864" s="114"/>
      <c r="B2864" s="388" t="s">
        <v>1144</v>
      </c>
      <c r="C2864" s="389">
        <v>0.52</v>
      </c>
      <c r="D2864" s="390" t="s">
        <v>10</v>
      </c>
      <c r="E2864" s="196"/>
      <c r="F2864" s="405"/>
      <c r="G2864" s="406" t="e">
        <f>TEXT(C2871,"tg 0°=")</f>
        <v>#VALUE!</v>
      </c>
      <c r="H2864" s="408">
        <f>TAN(3.14159265359*C2871/180)</f>
        <v>1.732050807569153</v>
      </c>
      <c r="I2864" s="405"/>
      <c r="J2864" s="405"/>
      <c r="AX2864" s="117"/>
      <c r="AY2864" s="117"/>
      <c r="AZ2864" s="117"/>
      <c r="BA2864" s="117"/>
      <c r="BB2864" s="117"/>
      <c r="BC2864" s="117"/>
      <c r="BD2864" s="117"/>
    </row>
    <row r="2865" spans="1:56" ht="15">
      <c r="A2865" s="114"/>
      <c r="B2865" s="388" t="s">
        <v>1145</v>
      </c>
      <c r="C2865" s="389">
        <v>1.25</v>
      </c>
      <c r="D2865" s="390" t="s">
        <v>10</v>
      </c>
      <c r="E2865" s="196"/>
      <c r="F2865" s="405"/>
      <c r="G2865" s="406"/>
      <c r="H2865" s="407"/>
      <c r="I2865" s="405"/>
      <c r="J2865" s="405"/>
      <c r="AX2865" s="117"/>
      <c r="AY2865" s="117"/>
      <c r="AZ2865" s="117"/>
      <c r="BA2865" s="117"/>
      <c r="BB2865" s="117"/>
      <c r="BC2865" s="117"/>
      <c r="BD2865" s="117"/>
    </row>
    <row r="2866" spans="1:56" ht="18">
      <c r="A2866" s="114"/>
      <c r="B2866" s="388" t="s">
        <v>1146</v>
      </c>
      <c r="C2866" s="389">
        <v>1.25</v>
      </c>
      <c r="D2866" s="390" t="s">
        <v>10</v>
      </c>
      <c r="E2866" s="196"/>
      <c r="F2866" s="405"/>
      <c r="G2866" s="406" t="s">
        <v>1142</v>
      </c>
      <c r="H2866" s="409">
        <f>(C2865+2*C2873+((C2867+C2868+0.05)/H2864)*2)*(C2866+2*C2873+((C2867+C2868+0.05)/H2864)*2)</f>
        <v>14.070831482850162</v>
      </c>
      <c r="I2866" s="405" t="s">
        <v>1143</v>
      </c>
      <c r="J2866" s="405"/>
      <c r="AX2866" s="117"/>
      <c r="AY2866" s="117"/>
      <c r="AZ2866" s="117"/>
      <c r="BA2866" s="117"/>
      <c r="BB2866" s="117"/>
      <c r="BC2866" s="117"/>
      <c r="BD2866" s="117"/>
    </row>
    <row r="2867" spans="1:56" ht="18">
      <c r="A2867" s="114"/>
      <c r="B2867" s="388" t="s">
        <v>1112</v>
      </c>
      <c r="C2867" s="389">
        <v>0.4</v>
      </c>
      <c r="D2867" s="390" t="s">
        <v>10</v>
      </c>
      <c r="E2867" s="196"/>
      <c r="F2867" s="405"/>
      <c r="G2867" s="406" t="s">
        <v>1147</v>
      </c>
      <c r="H2867" s="409">
        <f>(C2865+2*C2873)*(C2866+2*C2873)</f>
        <v>5.0625</v>
      </c>
      <c r="I2867" s="405" t="s">
        <v>1143</v>
      </c>
      <c r="J2867" s="405"/>
      <c r="AX2867" s="117"/>
      <c r="AY2867" s="117"/>
      <c r="AZ2867" s="117"/>
      <c r="BA2867" s="117"/>
      <c r="BB2867" s="117"/>
      <c r="BC2867" s="117"/>
      <c r="BD2867" s="117"/>
    </row>
    <row r="2868" spans="1:56" ht="15">
      <c r="A2868" s="114"/>
      <c r="B2868" s="388" t="s">
        <v>1113</v>
      </c>
      <c r="C2868" s="389">
        <v>0.85</v>
      </c>
      <c r="D2868" s="390" t="s">
        <v>10</v>
      </c>
      <c r="E2868" s="196"/>
      <c r="F2868" s="405"/>
      <c r="G2868" s="406"/>
      <c r="H2868" s="407"/>
      <c r="I2868" s="405"/>
      <c r="J2868" s="405"/>
      <c r="AX2868" s="117"/>
      <c r="AY2868" s="117"/>
      <c r="AZ2868" s="117"/>
      <c r="BA2868" s="117"/>
      <c r="BB2868" s="117"/>
      <c r="BC2868" s="117"/>
      <c r="BD2868" s="117"/>
    </row>
    <row r="2869" spans="1:56" ht="15">
      <c r="A2869" s="114"/>
      <c r="B2869" s="388" t="s">
        <v>1117</v>
      </c>
      <c r="C2869" s="391">
        <v>3</v>
      </c>
      <c r="D2869" s="390" t="s">
        <v>1118</v>
      </c>
      <c r="E2869" s="196"/>
      <c r="F2869" s="405"/>
      <c r="G2869" s="406"/>
      <c r="H2869" s="407"/>
      <c r="I2869" s="405"/>
      <c r="J2869" s="405"/>
      <c r="AX2869" s="117"/>
      <c r="AY2869" s="117"/>
      <c r="AZ2869" s="117"/>
      <c r="BA2869" s="117"/>
      <c r="BB2869" s="117"/>
      <c r="BC2869" s="117"/>
      <c r="BD2869" s="117"/>
    </row>
    <row r="2870" spans="1:56" ht="15">
      <c r="A2870" s="114"/>
      <c r="B2870" s="196" t="s">
        <v>1148</v>
      </c>
      <c r="C2870" s="393"/>
      <c r="D2870" s="196"/>
      <c r="E2870" s="196"/>
      <c r="F2870" s="405"/>
      <c r="G2870" s="406"/>
      <c r="H2870" s="407"/>
      <c r="I2870" s="405"/>
      <c r="J2870" s="405"/>
      <c r="AX2870" s="117"/>
      <c r="AY2870" s="117"/>
      <c r="AZ2870" s="117"/>
      <c r="BA2870" s="117"/>
      <c r="BB2870" s="117"/>
      <c r="BC2870" s="117"/>
      <c r="BD2870" s="117"/>
    </row>
    <row r="2871" spans="1:56" ht="15">
      <c r="A2871" s="114"/>
      <c r="B2871" s="388" t="s">
        <v>1149</v>
      </c>
      <c r="C2871" s="389">
        <v>60</v>
      </c>
      <c r="D2871" s="390" t="s">
        <v>1150</v>
      </c>
      <c r="E2871" s="196"/>
      <c r="F2871" s="196"/>
      <c r="G2871" s="392"/>
      <c r="H2871" s="393"/>
      <c r="I2871" s="196"/>
      <c r="J2871" s="196"/>
      <c r="AX2871" s="117"/>
      <c r="AY2871" s="117"/>
      <c r="AZ2871" s="117"/>
      <c r="BA2871" s="117"/>
      <c r="BB2871" s="117"/>
      <c r="BC2871" s="117"/>
      <c r="BD2871" s="117"/>
    </row>
    <row r="2872" spans="1:56" ht="15">
      <c r="A2872" s="114"/>
      <c r="B2872" s="362"/>
      <c r="C2872" s="196"/>
      <c r="D2872" s="196"/>
      <c r="E2872" s="196"/>
      <c r="F2872" s="196"/>
      <c r="G2872" s="362"/>
      <c r="H2872" s="362"/>
      <c r="I2872" s="362"/>
      <c r="J2872" s="196"/>
      <c r="AX2872" s="117"/>
      <c r="AY2872" s="117"/>
      <c r="AZ2872" s="117"/>
      <c r="BA2872" s="117"/>
      <c r="BB2872" s="117"/>
      <c r="BC2872" s="117"/>
      <c r="BD2872" s="117"/>
    </row>
    <row r="2873" spans="1:56" ht="15">
      <c r="A2873" s="114"/>
      <c r="B2873" s="388" t="s">
        <v>1114</v>
      </c>
      <c r="C2873" s="389">
        <v>0.5</v>
      </c>
      <c r="D2873" s="390" t="s">
        <v>10</v>
      </c>
      <c r="E2873" s="288" t="s">
        <v>1120</v>
      </c>
      <c r="F2873" s="196"/>
      <c r="G2873" s="362"/>
      <c r="H2873" s="196" t="s">
        <v>1131</v>
      </c>
      <c r="I2873" s="362"/>
      <c r="J2873" s="196"/>
      <c r="AX2873" s="117"/>
      <c r="AY2873" s="117"/>
      <c r="AZ2873" s="117"/>
      <c r="BA2873" s="117"/>
      <c r="BB2873" s="117"/>
      <c r="BC2873" s="117"/>
      <c r="BD2873" s="117"/>
    </row>
    <row r="2874" spans="1:56" ht="15">
      <c r="A2874" s="114"/>
      <c r="B2874" s="388" t="s">
        <v>1114</v>
      </c>
      <c r="C2874" s="389">
        <v>0.1</v>
      </c>
      <c r="D2874" s="390" t="s">
        <v>10</v>
      </c>
      <c r="E2874" s="288" t="s">
        <v>1121</v>
      </c>
      <c r="F2874" s="196"/>
      <c r="G2874" s="196"/>
      <c r="H2874" s="196"/>
      <c r="I2874" s="196"/>
      <c r="J2874" s="196"/>
      <c r="AX2874" s="117"/>
      <c r="AY2874" s="117"/>
      <c r="AZ2874" s="117"/>
      <c r="BA2874" s="117"/>
      <c r="BB2874" s="117"/>
      <c r="BC2874" s="117"/>
      <c r="BD2874" s="117"/>
    </row>
    <row r="2875" spans="1:56" ht="15">
      <c r="A2875" s="114"/>
      <c r="B2875" s="362"/>
      <c r="C2875" s="362"/>
      <c r="D2875" s="362"/>
      <c r="E2875" s="362"/>
      <c r="F2875" s="362"/>
      <c r="G2875" s="114"/>
      <c r="H2875" s="362"/>
      <c r="I2875" s="196"/>
      <c r="J2875" s="196"/>
      <c r="AX2875" s="117"/>
      <c r="AY2875" s="117"/>
      <c r="AZ2875" s="117"/>
      <c r="BA2875" s="117"/>
      <c r="BB2875" s="117"/>
      <c r="BC2875" s="117"/>
      <c r="BD2875" s="117"/>
    </row>
    <row r="2876" spans="1:56" ht="15">
      <c r="A2876" s="114"/>
      <c r="B2876" s="303" t="s">
        <v>1122</v>
      </c>
      <c r="C2876" s="362"/>
      <c r="D2876" s="362"/>
      <c r="E2876" s="362"/>
      <c r="F2876" s="362"/>
      <c r="G2876" s="196"/>
      <c r="H2876" s="196"/>
      <c r="I2876" s="196"/>
      <c r="J2876" s="196"/>
      <c r="AX2876" s="117"/>
      <c r="AY2876" s="117"/>
      <c r="AZ2876" s="117"/>
      <c r="BA2876" s="117"/>
      <c r="BB2876" s="117"/>
      <c r="BC2876" s="117"/>
      <c r="BD2876" s="117"/>
    </row>
    <row r="2877" spans="1:56" ht="18">
      <c r="A2877" s="114"/>
      <c r="B2877" s="398" t="s">
        <v>1123</v>
      </c>
      <c r="C2877" s="172"/>
      <c r="D2877" s="173"/>
      <c r="E2877" s="397">
        <f>C2869*((H2867+H2866)/2)*(C2867+C2868+0.05)</f>
        <v>37.30999639155781</v>
      </c>
      <c r="F2877" s="390" t="s">
        <v>1124</v>
      </c>
      <c r="G2877" s="196"/>
      <c r="H2877" s="362"/>
      <c r="I2877" s="362"/>
      <c r="J2877" s="362"/>
      <c r="AX2877" s="117"/>
      <c r="AY2877" s="117"/>
      <c r="AZ2877" s="117"/>
      <c r="BA2877" s="117"/>
      <c r="BB2877" s="117"/>
      <c r="BC2877" s="117"/>
      <c r="BD2877" s="117"/>
    </row>
    <row r="2878" spans="1:56" ht="18">
      <c r="A2878" s="114"/>
      <c r="B2878" s="398" t="s">
        <v>1125</v>
      </c>
      <c r="C2878" s="172"/>
      <c r="D2878" s="173"/>
      <c r="E2878" s="400">
        <f>E2877-(E2889+E2891)</f>
        <v>33.010246391557807</v>
      </c>
      <c r="F2878" s="390" t="s">
        <v>1124</v>
      </c>
      <c r="G2878" s="196"/>
      <c r="H2878" s="196"/>
      <c r="I2878" s="196"/>
      <c r="J2878" s="196"/>
      <c r="AX2878" s="117"/>
      <c r="AY2878" s="117"/>
      <c r="AZ2878" s="117"/>
      <c r="BA2878" s="117"/>
      <c r="BB2878" s="117"/>
      <c r="BC2878" s="117"/>
      <c r="BD2878" s="117"/>
    </row>
    <row r="2879" spans="1:56" ht="15">
      <c r="A2879" s="114"/>
      <c r="B2879" s="398" t="s">
        <v>1126</v>
      </c>
      <c r="C2879" s="172"/>
      <c r="D2879" s="173"/>
      <c r="E2879" s="400">
        <f>((C2865+2*C2874)*(C2866+2*C2874))*C2869</f>
        <v>6.3075000000000001</v>
      </c>
      <c r="F2879" s="390" t="s">
        <v>13</v>
      </c>
      <c r="G2879" s="362"/>
      <c r="H2879" s="362"/>
      <c r="I2879" s="362"/>
      <c r="J2879" s="362"/>
      <c r="AX2879" s="117"/>
      <c r="AY2879" s="117"/>
      <c r="AZ2879" s="117"/>
      <c r="BA2879" s="117"/>
      <c r="BB2879" s="117"/>
      <c r="BC2879" s="117"/>
      <c r="BD2879" s="117"/>
    </row>
    <row r="2880" spans="1:56" ht="15">
      <c r="A2880" s="114"/>
      <c r="B2880" s="362"/>
      <c r="C2880" s="362"/>
      <c r="D2880" s="362"/>
      <c r="E2880" s="401"/>
      <c r="F2880" s="196"/>
      <c r="G2880" s="362"/>
      <c r="H2880" s="362"/>
      <c r="I2880" s="362"/>
      <c r="J2880" s="362"/>
      <c r="AX2880" s="117"/>
      <c r="AY2880" s="117"/>
      <c r="AZ2880" s="117"/>
      <c r="BA2880" s="117"/>
      <c r="BB2880" s="117"/>
      <c r="BC2880" s="117"/>
      <c r="BD2880" s="117"/>
    </row>
    <row r="2881" spans="1:56" ht="15">
      <c r="A2881" s="114"/>
      <c r="B2881" s="303" t="s">
        <v>1162</v>
      </c>
      <c r="C2881" s="362"/>
      <c r="D2881" s="362"/>
      <c r="E2881" s="410"/>
      <c r="F2881" s="362"/>
      <c r="G2881" s="362"/>
      <c r="H2881" s="362"/>
      <c r="I2881" s="362"/>
      <c r="J2881" s="362"/>
      <c r="AX2881" s="117"/>
      <c r="AY2881" s="117"/>
      <c r="AZ2881" s="117"/>
      <c r="BA2881" s="117"/>
      <c r="BB2881" s="117"/>
      <c r="BC2881" s="117"/>
      <c r="BD2881" s="117"/>
    </row>
    <row r="2882" spans="1:56" ht="15">
      <c r="A2882" s="114"/>
      <c r="B2882" s="398" t="s">
        <v>1152</v>
      </c>
      <c r="C2882" s="398"/>
      <c r="D2882" s="366"/>
      <c r="E2882" s="411">
        <v>4</v>
      </c>
      <c r="F2882" s="390" t="s">
        <v>1153</v>
      </c>
      <c r="G2882" s="362"/>
      <c r="H2882" s="362"/>
      <c r="I2882" s="362"/>
      <c r="J2882" s="362"/>
      <c r="AX2882" s="117"/>
      <c r="AY2882" s="117"/>
      <c r="AZ2882" s="117"/>
      <c r="BA2882" s="117"/>
      <c r="BB2882" s="117"/>
      <c r="BC2882" s="117"/>
      <c r="BD2882" s="117"/>
    </row>
    <row r="2883" spans="1:56" ht="15">
      <c r="A2883" s="114"/>
      <c r="B2883" s="399" t="s">
        <v>1154</v>
      </c>
      <c r="C2883" s="31"/>
      <c r="D2883" s="32"/>
      <c r="E2883" s="412">
        <f>C2869*E2882</f>
        <v>12</v>
      </c>
      <c r="F2883" s="390" t="s">
        <v>1153</v>
      </c>
      <c r="G2883" s="362"/>
      <c r="H2883" s="362"/>
      <c r="I2883" s="362"/>
      <c r="J2883" s="362"/>
      <c r="AX2883" s="117"/>
      <c r="AY2883" s="117"/>
      <c r="AZ2883" s="117"/>
      <c r="BA2883" s="117"/>
      <c r="BB2883" s="117"/>
      <c r="BC2883" s="117"/>
      <c r="BD2883" s="117"/>
    </row>
    <row r="2884" spans="1:56" ht="15">
      <c r="A2884" s="114"/>
      <c r="B2884" s="398" t="s">
        <v>1155</v>
      </c>
      <c r="C2884" s="21"/>
      <c r="D2884" s="413"/>
      <c r="E2884" s="411">
        <v>250</v>
      </c>
      <c r="F2884" s="390" t="s">
        <v>1156</v>
      </c>
      <c r="G2884" s="362"/>
      <c r="H2884" s="414"/>
      <c r="I2884" s="362"/>
      <c r="J2884" s="415"/>
      <c r="AX2884" s="117"/>
      <c r="AY2884" s="117"/>
      <c r="AZ2884" s="117"/>
      <c r="BA2884" s="117"/>
      <c r="BB2884" s="117"/>
      <c r="BC2884" s="117"/>
      <c r="BD2884" s="117"/>
    </row>
    <row r="2885" spans="1:56" ht="15">
      <c r="A2885" s="114"/>
      <c r="B2885" s="398" t="s">
        <v>1157</v>
      </c>
      <c r="C2885" s="21"/>
      <c r="D2885" s="413"/>
      <c r="E2885" s="411">
        <v>13</v>
      </c>
      <c r="F2885" s="390" t="s">
        <v>10</v>
      </c>
      <c r="G2885" s="362"/>
      <c r="H2885" s="6"/>
      <c r="I2885" s="362"/>
      <c r="J2885" s="362"/>
      <c r="AX2885" s="117"/>
      <c r="AY2885" s="117"/>
      <c r="AZ2885" s="117"/>
      <c r="BA2885" s="117"/>
      <c r="BB2885" s="117"/>
      <c r="BC2885" s="117"/>
      <c r="BD2885" s="117"/>
    </row>
    <row r="2886" spans="1:56" ht="15">
      <c r="A2886" s="114"/>
      <c r="B2886" s="398" t="s">
        <v>1158</v>
      </c>
      <c r="C2886" s="21"/>
      <c r="D2886" s="413"/>
      <c r="E2886" s="412">
        <f>E2883*E2885</f>
        <v>156</v>
      </c>
      <c r="F2886" s="390" t="s">
        <v>10</v>
      </c>
      <c r="G2886" s="362"/>
      <c r="H2886" s="362"/>
      <c r="I2886" s="362"/>
      <c r="J2886" s="362"/>
      <c r="AX2886" s="117"/>
      <c r="AY2886" s="117"/>
      <c r="AZ2886" s="117"/>
      <c r="BA2886" s="117"/>
      <c r="BB2886" s="117"/>
      <c r="BC2886" s="117"/>
      <c r="BD2886" s="117"/>
    </row>
    <row r="2887" spans="1:56" ht="15">
      <c r="A2887" s="114"/>
      <c r="B2887" s="362"/>
      <c r="C2887" s="362"/>
      <c r="D2887" s="362"/>
      <c r="E2887" s="410"/>
      <c r="F2887" s="362"/>
      <c r="G2887" s="362"/>
      <c r="H2887" s="362"/>
      <c r="I2887" s="362"/>
      <c r="J2887" s="362"/>
      <c r="AX2887" s="117"/>
      <c r="AY2887" s="117"/>
      <c r="AZ2887" s="117"/>
      <c r="BA2887" s="117"/>
      <c r="BB2887" s="117"/>
      <c r="BC2887" s="117"/>
      <c r="BD2887" s="117"/>
    </row>
    <row r="2888" spans="1:56" ht="15">
      <c r="A2888" s="114"/>
      <c r="B2888" s="303" t="s">
        <v>1160</v>
      </c>
      <c r="C2888" s="362"/>
      <c r="D2888" s="362"/>
      <c r="E2888" s="410"/>
      <c r="F2888" s="362"/>
      <c r="G2888" s="362"/>
      <c r="H2888" s="362"/>
      <c r="I2888" s="362"/>
      <c r="J2888" s="362"/>
      <c r="AX2888" s="117"/>
      <c r="AY2888" s="117"/>
      <c r="AZ2888" s="117"/>
      <c r="BA2888" s="117"/>
      <c r="BB2888" s="117"/>
      <c r="BC2888" s="117"/>
      <c r="BD2888" s="117"/>
    </row>
    <row r="2889" spans="1:56" ht="18">
      <c r="A2889" s="114"/>
      <c r="B2889" s="398" t="s">
        <v>1128</v>
      </c>
      <c r="C2889" s="172"/>
      <c r="D2889" s="173"/>
      <c r="E2889" s="402">
        <f>E2879*0.05</f>
        <v>0.31537500000000002</v>
      </c>
      <c r="F2889" s="390" t="s">
        <v>1124</v>
      </c>
      <c r="G2889" s="362"/>
      <c r="H2889" s="362"/>
      <c r="I2889" s="362"/>
      <c r="J2889" s="362"/>
      <c r="AX2889" s="117"/>
      <c r="AY2889" s="117"/>
      <c r="AZ2889" s="117"/>
      <c r="BA2889" s="117"/>
      <c r="BB2889" s="117"/>
      <c r="BC2889" s="117"/>
      <c r="BD2889" s="117"/>
    </row>
    <row r="2890" spans="1:56" ht="15">
      <c r="A2890" s="114"/>
      <c r="B2890" s="398" t="s">
        <v>1129</v>
      </c>
      <c r="C2890" s="172"/>
      <c r="D2890" s="173"/>
      <c r="E2890" s="397">
        <f>(2*(C2865+C2866)*C2868)*C2869</f>
        <v>12.75</v>
      </c>
      <c r="F2890" s="390" t="s">
        <v>13</v>
      </c>
      <c r="G2890" s="362"/>
      <c r="H2890" s="362"/>
      <c r="I2890" s="362"/>
      <c r="J2890" s="362"/>
      <c r="AX2890" s="117"/>
      <c r="AY2890" s="117"/>
      <c r="AZ2890" s="117"/>
      <c r="BA2890" s="117"/>
      <c r="BB2890" s="117"/>
      <c r="BC2890" s="117"/>
      <c r="BD2890" s="117"/>
    </row>
    <row r="2891" spans="1:56" ht="18">
      <c r="A2891" s="114"/>
      <c r="B2891" s="398" t="s">
        <v>1130</v>
      </c>
      <c r="C2891" s="172"/>
      <c r="D2891" s="173"/>
      <c r="E2891" s="402">
        <f>(C2865*C2866*C2868)*C2869</f>
        <v>3.984375</v>
      </c>
      <c r="F2891" s="390" t="s">
        <v>1124</v>
      </c>
      <c r="G2891" s="362"/>
      <c r="H2891" s="362"/>
      <c r="I2891" s="362"/>
      <c r="J2891" s="362"/>
      <c r="AX2891" s="117"/>
      <c r="AY2891" s="117"/>
      <c r="AZ2891" s="117"/>
      <c r="BA2891" s="117"/>
      <c r="BB2891" s="117"/>
      <c r="BC2891" s="117"/>
      <c r="BD2891" s="117"/>
    </row>
    <row r="2892" spans="1:56" ht="15">
      <c r="A2892" s="114"/>
      <c r="B2892" s="196"/>
      <c r="C2892" s="196"/>
      <c r="D2892" s="196"/>
      <c r="E2892" s="196"/>
      <c r="F2892" s="196"/>
      <c r="G2892" s="196"/>
      <c r="H2892" s="196"/>
      <c r="I2892" s="196"/>
      <c r="J2892" s="114"/>
      <c r="AW2892" s="117"/>
      <c r="AX2892" s="117"/>
      <c r="AY2892" s="117"/>
      <c r="AZ2892" s="117"/>
      <c r="BA2892" s="117"/>
      <c r="BB2892" s="117"/>
      <c r="BC2892" s="117"/>
      <c r="BD2892" s="117"/>
    </row>
    <row r="2893" spans="1:56">
      <c r="A2893" s="114"/>
      <c r="B2893" s="385" t="s">
        <v>1230</v>
      </c>
      <c r="C2893" s="196"/>
      <c r="D2893" s="196"/>
      <c r="E2893" s="196"/>
      <c r="F2893" s="196"/>
      <c r="G2893" s="196"/>
      <c r="H2893" s="196"/>
      <c r="I2893" s="196"/>
      <c r="J2893" s="196"/>
      <c r="AX2893" s="117"/>
      <c r="AY2893" s="117"/>
      <c r="AZ2893" s="117"/>
      <c r="BA2893" s="117"/>
      <c r="BB2893" s="117"/>
      <c r="BC2893" s="117"/>
      <c r="BD2893" s="117"/>
    </row>
    <row r="2894" spans="1:56" ht="15">
      <c r="A2894" s="114"/>
      <c r="B2894" s="362"/>
      <c r="C2894" s="362"/>
      <c r="D2894" s="362"/>
      <c r="E2894" s="362"/>
      <c r="F2894" s="404"/>
      <c r="G2894" s="404"/>
      <c r="H2894" s="404"/>
      <c r="I2894" s="404"/>
      <c r="J2894" s="404"/>
      <c r="AX2894" s="117"/>
      <c r="AY2894" s="117"/>
      <c r="AZ2894" s="117"/>
      <c r="BA2894" s="117"/>
      <c r="BB2894" s="117"/>
      <c r="BC2894" s="117"/>
      <c r="BD2894" s="117"/>
    </row>
    <row r="2895" spans="1:56" ht="18">
      <c r="A2895" s="114"/>
      <c r="B2895" s="388" t="s">
        <v>1141</v>
      </c>
      <c r="C2895" s="389">
        <v>0</v>
      </c>
      <c r="D2895" s="390" t="s">
        <v>10</v>
      </c>
      <c r="E2895" s="196"/>
      <c r="F2895" s="405"/>
      <c r="G2895" s="406" t="s">
        <v>1142</v>
      </c>
      <c r="H2895" s="407">
        <f>C2895*C2896</f>
        <v>0</v>
      </c>
      <c r="I2895" s="405" t="s">
        <v>1143</v>
      </c>
      <c r="J2895" s="405"/>
      <c r="AX2895" s="117"/>
      <c r="AY2895" s="117"/>
      <c r="AZ2895" s="117"/>
      <c r="BA2895" s="117"/>
      <c r="BB2895" s="117"/>
      <c r="BC2895" s="117"/>
      <c r="BD2895" s="117"/>
    </row>
    <row r="2896" spans="1:56" ht="15">
      <c r="A2896" s="114"/>
      <c r="B2896" s="388" t="s">
        <v>1144</v>
      </c>
      <c r="C2896" s="389">
        <v>0</v>
      </c>
      <c r="D2896" s="390" t="s">
        <v>10</v>
      </c>
      <c r="E2896" s="196"/>
      <c r="F2896" s="405"/>
      <c r="G2896" s="406" t="e">
        <f>TEXT(C2903,"tg 0°=")</f>
        <v>#VALUE!</v>
      </c>
      <c r="H2896" s="408">
        <f>TAN(3.14159265359*C2903/180)</f>
        <v>1.732050807569153</v>
      </c>
      <c r="I2896" s="405"/>
      <c r="J2896" s="405"/>
      <c r="AX2896" s="117"/>
      <c r="AY2896" s="117"/>
      <c r="AZ2896" s="117"/>
      <c r="BA2896" s="117"/>
      <c r="BB2896" s="117"/>
      <c r="BC2896" s="117"/>
      <c r="BD2896" s="117"/>
    </row>
    <row r="2897" spans="1:56" ht="15">
      <c r="A2897" s="114"/>
      <c r="B2897" s="388" t="s">
        <v>1145</v>
      </c>
      <c r="C2897" s="389">
        <v>0.5</v>
      </c>
      <c r="D2897" s="390" t="s">
        <v>10</v>
      </c>
      <c r="E2897" s="196"/>
      <c r="F2897" s="405"/>
      <c r="G2897" s="406"/>
      <c r="H2897" s="407"/>
      <c r="I2897" s="405"/>
      <c r="J2897" s="405"/>
      <c r="AX2897" s="117"/>
      <c r="AY2897" s="117"/>
      <c r="AZ2897" s="117"/>
      <c r="BA2897" s="117"/>
      <c r="BB2897" s="117"/>
      <c r="BC2897" s="117"/>
      <c r="BD2897" s="117"/>
    </row>
    <row r="2898" spans="1:56" ht="18">
      <c r="A2898" s="114"/>
      <c r="B2898" s="388" t="s">
        <v>1146</v>
      </c>
      <c r="C2898" s="389">
        <v>0.5</v>
      </c>
      <c r="D2898" s="390" t="s">
        <v>10</v>
      </c>
      <c r="E2898" s="196"/>
      <c r="F2898" s="405"/>
      <c r="G2898" s="406" t="s">
        <v>1142</v>
      </c>
      <c r="H2898" s="409">
        <f>(C2897+2*C2905+((C2899+C2900+0.05)/H2896)*2)*(C2898+2*C2905+((C2899+C2900+0.05)/H2896)*2)</f>
        <v>9.0066654330109799</v>
      </c>
      <c r="I2898" s="405" t="s">
        <v>1143</v>
      </c>
      <c r="J2898" s="405"/>
      <c r="AX2898" s="117"/>
      <c r="AY2898" s="117"/>
      <c r="AZ2898" s="117"/>
      <c r="BA2898" s="117"/>
      <c r="BB2898" s="117"/>
      <c r="BC2898" s="117"/>
      <c r="BD2898" s="117"/>
    </row>
    <row r="2899" spans="1:56" ht="18">
      <c r="A2899" s="114"/>
      <c r="B2899" s="388" t="s">
        <v>1112</v>
      </c>
      <c r="C2899" s="389">
        <v>0.4</v>
      </c>
      <c r="D2899" s="390" t="s">
        <v>10</v>
      </c>
      <c r="E2899" s="196"/>
      <c r="F2899" s="405"/>
      <c r="G2899" s="406" t="s">
        <v>1147</v>
      </c>
      <c r="H2899" s="409">
        <f>(C2897+2*C2905)*(C2898+2*C2905)</f>
        <v>2.25</v>
      </c>
      <c r="I2899" s="405" t="s">
        <v>1143</v>
      </c>
      <c r="J2899" s="405"/>
      <c r="AX2899" s="117"/>
      <c r="AY2899" s="117"/>
      <c r="AZ2899" s="117"/>
      <c r="BA2899" s="117"/>
      <c r="BB2899" s="117"/>
      <c r="BC2899" s="117"/>
      <c r="BD2899" s="117"/>
    </row>
    <row r="2900" spans="1:56" ht="15">
      <c r="A2900" s="114"/>
      <c r="B2900" s="388" t="s">
        <v>1113</v>
      </c>
      <c r="C2900" s="389">
        <v>0.85</v>
      </c>
      <c r="D2900" s="390" t="s">
        <v>10</v>
      </c>
      <c r="E2900" s="196"/>
      <c r="F2900" s="405"/>
      <c r="G2900" s="406"/>
      <c r="H2900" s="407"/>
      <c r="I2900" s="405"/>
      <c r="J2900" s="405"/>
      <c r="AX2900" s="117"/>
      <c r="AY2900" s="117"/>
      <c r="AZ2900" s="117"/>
      <c r="BA2900" s="117"/>
      <c r="BB2900" s="117"/>
      <c r="BC2900" s="117"/>
      <c r="BD2900" s="117"/>
    </row>
    <row r="2901" spans="1:56" ht="15">
      <c r="A2901" s="114"/>
      <c r="B2901" s="388" t="s">
        <v>1117</v>
      </c>
      <c r="C2901" s="391">
        <v>4</v>
      </c>
      <c r="D2901" s="390" t="s">
        <v>1118</v>
      </c>
      <c r="E2901" s="196"/>
      <c r="F2901" s="405"/>
      <c r="G2901" s="406"/>
      <c r="H2901" s="407"/>
      <c r="I2901" s="405"/>
      <c r="J2901" s="405"/>
      <c r="AX2901" s="117"/>
      <c r="AY2901" s="117"/>
      <c r="AZ2901" s="117"/>
      <c r="BA2901" s="117"/>
      <c r="BB2901" s="117"/>
      <c r="BC2901" s="117"/>
      <c r="BD2901" s="117"/>
    </row>
    <row r="2902" spans="1:56" ht="15">
      <c r="A2902" s="114"/>
      <c r="B2902" s="196" t="s">
        <v>1148</v>
      </c>
      <c r="C2902" s="393"/>
      <c r="D2902" s="196"/>
      <c r="E2902" s="196"/>
      <c r="F2902" s="405"/>
      <c r="G2902" s="406"/>
      <c r="H2902" s="407"/>
      <c r="I2902" s="405"/>
      <c r="J2902" s="405"/>
      <c r="AX2902" s="117"/>
      <c r="AY2902" s="117"/>
      <c r="AZ2902" s="117"/>
      <c r="BA2902" s="117"/>
      <c r="BB2902" s="117"/>
      <c r="BC2902" s="117"/>
      <c r="BD2902" s="117"/>
    </row>
    <row r="2903" spans="1:56" ht="15">
      <c r="A2903" s="114"/>
      <c r="B2903" s="388" t="s">
        <v>1149</v>
      </c>
      <c r="C2903" s="389">
        <v>60</v>
      </c>
      <c r="D2903" s="390" t="s">
        <v>1150</v>
      </c>
      <c r="E2903" s="196"/>
      <c r="F2903" s="196"/>
      <c r="G2903" s="392"/>
      <c r="H2903" s="393"/>
      <c r="I2903" s="196"/>
      <c r="J2903" s="196"/>
      <c r="AX2903" s="117"/>
      <c r="AY2903" s="117"/>
      <c r="AZ2903" s="117"/>
      <c r="BA2903" s="117"/>
      <c r="BB2903" s="117"/>
      <c r="BC2903" s="117"/>
      <c r="BD2903" s="117"/>
    </row>
    <row r="2904" spans="1:56" ht="15">
      <c r="A2904" s="114"/>
      <c r="B2904" s="362"/>
      <c r="C2904" s="196"/>
      <c r="D2904" s="196"/>
      <c r="E2904" s="196"/>
      <c r="F2904" s="196"/>
      <c r="G2904" s="362"/>
      <c r="H2904" s="362"/>
      <c r="I2904" s="362"/>
      <c r="J2904" s="196"/>
      <c r="AX2904" s="117"/>
      <c r="AY2904" s="117"/>
      <c r="AZ2904" s="117"/>
      <c r="BA2904" s="117"/>
      <c r="BB2904" s="117"/>
      <c r="BC2904" s="117"/>
      <c r="BD2904" s="117"/>
    </row>
    <row r="2905" spans="1:56" ht="15">
      <c r="A2905" s="114"/>
      <c r="B2905" s="388" t="s">
        <v>1114</v>
      </c>
      <c r="C2905" s="389">
        <v>0.5</v>
      </c>
      <c r="D2905" s="390" t="s">
        <v>10</v>
      </c>
      <c r="E2905" s="288" t="s">
        <v>1120</v>
      </c>
      <c r="F2905" s="196"/>
      <c r="G2905" s="362"/>
      <c r="H2905" s="196" t="s">
        <v>1131</v>
      </c>
      <c r="I2905" s="362"/>
      <c r="J2905" s="196"/>
      <c r="AX2905" s="117"/>
      <c r="AY2905" s="117"/>
      <c r="AZ2905" s="117"/>
      <c r="BA2905" s="117"/>
      <c r="BB2905" s="117"/>
      <c r="BC2905" s="117"/>
      <c r="BD2905" s="117"/>
    </row>
    <row r="2906" spans="1:56" ht="15">
      <c r="A2906" s="114"/>
      <c r="B2906" s="388" t="s">
        <v>1114</v>
      </c>
      <c r="C2906" s="389">
        <v>0.1</v>
      </c>
      <c r="D2906" s="390" t="s">
        <v>10</v>
      </c>
      <c r="E2906" s="288" t="s">
        <v>1121</v>
      </c>
      <c r="F2906" s="196"/>
      <c r="G2906" s="196"/>
      <c r="H2906" s="196"/>
      <c r="I2906" s="196"/>
      <c r="J2906" s="196"/>
      <c r="AX2906" s="117"/>
      <c r="AY2906" s="117"/>
      <c r="AZ2906" s="117"/>
      <c r="BA2906" s="117"/>
      <c r="BB2906" s="117"/>
      <c r="BC2906" s="117"/>
      <c r="BD2906" s="117"/>
    </row>
    <row r="2907" spans="1:56" ht="15">
      <c r="A2907" s="114"/>
      <c r="B2907" s="362"/>
      <c r="C2907" s="362"/>
      <c r="D2907" s="362"/>
      <c r="E2907" s="362"/>
      <c r="F2907" s="362"/>
      <c r="G2907" s="114"/>
      <c r="H2907" s="362"/>
      <c r="I2907" s="196"/>
      <c r="J2907" s="196"/>
      <c r="AX2907" s="117"/>
      <c r="AY2907" s="117"/>
      <c r="AZ2907" s="117"/>
      <c r="BA2907" s="117"/>
      <c r="BB2907" s="117"/>
      <c r="BC2907" s="117"/>
      <c r="BD2907" s="117"/>
    </row>
    <row r="2908" spans="1:56" ht="15">
      <c r="A2908" s="114"/>
      <c r="B2908" s="303" t="s">
        <v>1122</v>
      </c>
      <c r="C2908" s="362"/>
      <c r="D2908" s="362"/>
      <c r="E2908" s="362"/>
      <c r="F2908" s="362"/>
      <c r="G2908" s="196"/>
      <c r="H2908" s="196"/>
      <c r="I2908" s="196"/>
      <c r="J2908" s="196"/>
      <c r="AX2908" s="117"/>
      <c r="AY2908" s="117"/>
      <c r="AZ2908" s="117"/>
      <c r="BA2908" s="117"/>
      <c r="BB2908" s="117"/>
      <c r="BC2908" s="117"/>
      <c r="BD2908" s="117"/>
    </row>
    <row r="2909" spans="1:56" ht="18">
      <c r="A2909" s="114"/>
      <c r="B2909" s="398" t="s">
        <v>1123</v>
      </c>
      <c r="C2909" s="172"/>
      <c r="D2909" s="173"/>
      <c r="E2909" s="397">
        <f>C2901*((H2899+H2898)/2)*(C2899+C2900+0.05)</f>
        <v>29.267330125828547</v>
      </c>
      <c r="F2909" s="390" t="s">
        <v>1124</v>
      </c>
      <c r="G2909" s="196"/>
      <c r="H2909" s="362"/>
      <c r="I2909" s="362"/>
      <c r="J2909" s="362"/>
      <c r="AX2909" s="117"/>
      <c r="AY2909" s="117"/>
      <c r="AZ2909" s="117"/>
      <c r="BA2909" s="117"/>
      <c r="BB2909" s="117"/>
      <c r="BC2909" s="117"/>
      <c r="BD2909" s="117"/>
    </row>
    <row r="2910" spans="1:56" ht="18">
      <c r="A2910" s="114"/>
      <c r="B2910" s="398" t="s">
        <v>1125</v>
      </c>
      <c r="C2910" s="172"/>
      <c r="D2910" s="173"/>
      <c r="E2910" s="400">
        <f>E2909-(E2921+E2923)</f>
        <v>28.319330125828547</v>
      </c>
      <c r="F2910" s="390" t="s">
        <v>1124</v>
      </c>
      <c r="G2910" s="196"/>
      <c r="H2910" s="196"/>
      <c r="I2910" s="196"/>
      <c r="J2910" s="196"/>
      <c r="AX2910" s="117"/>
      <c r="AY2910" s="117"/>
      <c r="AZ2910" s="117"/>
      <c r="BA2910" s="117"/>
      <c r="BB2910" s="117"/>
      <c r="BC2910" s="117"/>
      <c r="BD2910" s="117"/>
    </row>
    <row r="2911" spans="1:56" ht="15">
      <c r="A2911" s="114"/>
      <c r="B2911" s="398" t="s">
        <v>1126</v>
      </c>
      <c r="C2911" s="172"/>
      <c r="D2911" s="173"/>
      <c r="E2911" s="400">
        <f>((C2897+2*C2906)*(C2898+2*C2906))*C2901</f>
        <v>1.9599999999999997</v>
      </c>
      <c r="F2911" s="390" t="s">
        <v>13</v>
      </c>
      <c r="G2911" s="362"/>
      <c r="H2911" s="362"/>
      <c r="I2911" s="362"/>
      <c r="J2911" s="362"/>
      <c r="AX2911" s="117"/>
      <c r="AY2911" s="117"/>
      <c r="AZ2911" s="117"/>
      <c r="BA2911" s="117"/>
      <c r="BB2911" s="117"/>
      <c r="BC2911" s="117"/>
      <c r="BD2911" s="117"/>
    </row>
    <row r="2912" spans="1:56" ht="15">
      <c r="A2912" s="114"/>
      <c r="B2912" s="362"/>
      <c r="C2912" s="362"/>
      <c r="D2912" s="362"/>
      <c r="E2912" s="401"/>
      <c r="F2912" s="196"/>
      <c r="G2912" s="362"/>
      <c r="H2912" s="362"/>
      <c r="I2912" s="362"/>
      <c r="J2912" s="362"/>
      <c r="AX2912" s="117"/>
      <c r="AY2912" s="117"/>
      <c r="AZ2912" s="117"/>
      <c r="BA2912" s="117"/>
      <c r="BB2912" s="117"/>
      <c r="BC2912" s="117"/>
      <c r="BD2912" s="117"/>
    </row>
    <row r="2913" spans="1:56" ht="15">
      <c r="A2913" s="114"/>
      <c r="B2913" s="303" t="s">
        <v>1162</v>
      </c>
      <c r="C2913" s="362"/>
      <c r="D2913" s="362"/>
      <c r="E2913" s="410"/>
      <c r="F2913" s="362"/>
      <c r="G2913" s="362"/>
      <c r="H2913" s="362"/>
      <c r="I2913" s="362"/>
      <c r="J2913" s="362"/>
      <c r="AX2913" s="117"/>
      <c r="AY2913" s="117"/>
      <c r="AZ2913" s="117"/>
      <c r="BA2913" s="117"/>
      <c r="BB2913" s="117"/>
      <c r="BC2913" s="117"/>
      <c r="BD2913" s="117"/>
    </row>
    <row r="2914" spans="1:56" ht="15">
      <c r="A2914" s="114"/>
      <c r="B2914" s="398" t="s">
        <v>1152</v>
      </c>
      <c r="C2914" s="398"/>
      <c r="D2914" s="366"/>
      <c r="E2914" s="411">
        <v>1</v>
      </c>
      <c r="F2914" s="390" t="s">
        <v>1153</v>
      </c>
      <c r="G2914" s="362"/>
      <c r="H2914" s="362"/>
      <c r="I2914" s="362"/>
      <c r="J2914" s="362"/>
      <c r="AX2914" s="117"/>
      <c r="AY2914" s="117"/>
      <c r="AZ2914" s="117"/>
      <c r="BA2914" s="117"/>
      <c r="BB2914" s="117"/>
      <c r="BC2914" s="117"/>
      <c r="BD2914" s="117"/>
    </row>
    <row r="2915" spans="1:56" ht="15">
      <c r="A2915" s="114"/>
      <c r="B2915" s="399" t="s">
        <v>1154</v>
      </c>
      <c r="C2915" s="31"/>
      <c r="D2915" s="32"/>
      <c r="E2915" s="412">
        <f>C2901*E2914</f>
        <v>4</v>
      </c>
      <c r="F2915" s="390" t="s">
        <v>1153</v>
      </c>
      <c r="G2915" s="362"/>
      <c r="H2915" s="362"/>
      <c r="I2915" s="362"/>
      <c r="J2915" s="362"/>
      <c r="AX2915" s="117"/>
      <c r="AY2915" s="117"/>
      <c r="AZ2915" s="117"/>
      <c r="BA2915" s="117"/>
      <c r="BB2915" s="117"/>
      <c r="BC2915" s="117"/>
      <c r="BD2915" s="117"/>
    </row>
    <row r="2916" spans="1:56" ht="15">
      <c r="A2916" s="114"/>
      <c r="B2916" s="398" t="s">
        <v>1155</v>
      </c>
      <c r="C2916" s="21"/>
      <c r="D2916" s="413"/>
      <c r="E2916" s="411">
        <v>250</v>
      </c>
      <c r="F2916" s="390" t="s">
        <v>1156</v>
      </c>
      <c r="G2916" s="362"/>
      <c r="H2916" s="414"/>
      <c r="I2916" s="362"/>
      <c r="J2916" s="415"/>
      <c r="AX2916" s="117"/>
      <c r="AY2916" s="117"/>
      <c r="AZ2916" s="117"/>
      <c r="BA2916" s="117"/>
      <c r="BB2916" s="117"/>
      <c r="BC2916" s="117"/>
      <c r="BD2916" s="117"/>
    </row>
    <row r="2917" spans="1:56" ht="15">
      <c r="A2917" s="114"/>
      <c r="B2917" s="398" t="s">
        <v>1157</v>
      </c>
      <c r="C2917" s="21"/>
      <c r="D2917" s="413"/>
      <c r="E2917" s="411">
        <v>13</v>
      </c>
      <c r="F2917" s="390" t="s">
        <v>10</v>
      </c>
      <c r="G2917" s="362"/>
      <c r="H2917" s="6"/>
      <c r="I2917" s="362"/>
      <c r="J2917" s="362"/>
      <c r="AX2917" s="117"/>
      <c r="AY2917" s="117"/>
      <c r="AZ2917" s="117"/>
      <c r="BA2917" s="117"/>
      <c r="BB2917" s="117"/>
      <c r="BC2917" s="117"/>
      <c r="BD2917" s="117"/>
    </row>
    <row r="2918" spans="1:56" ht="15">
      <c r="A2918" s="114"/>
      <c r="B2918" s="398" t="s">
        <v>1158</v>
      </c>
      <c r="C2918" s="21"/>
      <c r="D2918" s="413"/>
      <c r="E2918" s="412">
        <f>E2915*E2917</f>
        <v>52</v>
      </c>
      <c r="F2918" s="390" t="s">
        <v>10</v>
      </c>
      <c r="G2918" s="362"/>
      <c r="H2918" s="362"/>
      <c r="I2918" s="362"/>
      <c r="J2918" s="362"/>
      <c r="AX2918" s="117"/>
      <c r="AY2918" s="117"/>
      <c r="AZ2918" s="117"/>
      <c r="BA2918" s="117"/>
      <c r="BB2918" s="117"/>
      <c r="BC2918" s="117"/>
      <c r="BD2918" s="117"/>
    </row>
    <row r="2919" spans="1:56" ht="15">
      <c r="A2919" s="114"/>
      <c r="B2919" s="362"/>
      <c r="C2919" s="362"/>
      <c r="D2919" s="362"/>
      <c r="E2919" s="410"/>
      <c r="F2919" s="362"/>
      <c r="G2919" s="362"/>
      <c r="H2919" s="362"/>
      <c r="I2919" s="362"/>
      <c r="J2919" s="362"/>
      <c r="AX2919" s="117"/>
      <c r="AY2919" s="117"/>
      <c r="AZ2919" s="117"/>
      <c r="BA2919" s="117"/>
      <c r="BB2919" s="117"/>
      <c r="BC2919" s="117"/>
      <c r="BD2919" s="117"/>
    </row>
    <row r="2920" spans="1:56" ht="15">
      <c r="A2920" s="114"/>
      <c r="B2920" s="303" t="s">
        <v>1160</v>
      </c>
      <c r="C2920" s="362"/>
      <c r="D2920" s="362"/>
      <c r="E2920" s="410"/>
      <c r="F2920" s="362"/>
      <c r="G2920" s="362"/>
      <c r="H2920" s="362"/>
      <c r="I2920" s="362"/>
      <c r="J2920" s="362"/>
      <c r="AX2920" s="117"/>
      <c r="AY2920" s="117"/>
      <c r="AZ2920" s="117"/>
      <c r="BA2920" s="117"/>
      <c r="BB2920" s="117"/>
      <c r="BC2920" s="117"/>
      <c r="BD2920" s="117"/>
    </row>
    <row r="2921" spans="1:56" ht="18">
      <c r="A2921" s="114"/>
      <c r="B2921" s="398" t="s">
        <v>1128</v>
      </c>
      <c r="C2921" s="172"/>
      <c r="D2921" s="173"/>
      <c r="E2921" s="402">
        <f>E2911*0.05</f>
        <v>9.799999999999999E-2</v>
      </c>
      <c r="F2921" s="390" t="s">
        <v>1124</v>
      </c>
      <c r="G2921" s="362"/>
      <c r="H2921" s="362"/>
      <c r="I2921" s="362"/>
      <c r="J2921" s="362"/>
      <c r="AX2921" s="117"/>
      <c r="AY2921" s="117"/>
      <c r="AZ2921" s="117"/>
      <c r="BA2921" s="117"/>
      <c r="BB2921" s="117"/>
      <c r="BC2921" s="117"/>
      <c r="BD2921" s="117"/>
    </row>
    <row r="2922" spans="1:56" ht="15">
      <c r="A2922" s="114"/>
      <c r="B2922" s="398" t="s">
        <v>1129</v>
      </c>
      <c r="C2922" s="172"/>
      <c r="D2922" s="173"/>
      <c r="E2922" s="397">
        <f>(2*(C2897+C2898)*C2900)*C2901</f>
        <v>6.8</v>
      </c>
      <c r="F2922" s="390" t="s">
        <v>13</v>
      </c>
      <c r="G2922" s="362"/>
      <c r="H2922" s="362"/>
      <c r="I2922" s="362"/>
      <c r="J2922" s="362"/>
      <c r="AX2922" s="117"/>
      <c r="AY2922" s="117"/>
      <c r="AZ2922" s="117"/>
      <c r="BA2922" s="117"/>
      <c r="BB2922" s="117"/>
      <c r="BC2922" s="117"/>
      <c r="BD2922" s="117"/>
    </row>
    <row r="2923" spans="1:56" ht="18">
      <c r="A2923" s="114"/>
      <c r="B2923" s="398" t="s">
        <v>1130</v>
      </c>
      <c r="C2923" s="172"/>
      <c r="D2923" s="173"/>
      <c r="E2923" s="402">
        <f>(C2897*C2898*C2900)*C2901</f>
        <v>0.85</v>
      </c>
      <c r="F2923" s="390" t="s">
        <v>1124</v>
      </c>
      <c r="G2923" s="362"/>
      <c r="H2923" s="362"/>
      <c r="I2923" s="362"/>
      <c r="J2923" s="362"/>
      <c r="AX2923" s="117"/>
      <c r="AY2923" s="117"/>
      <c r="AZ2923" s="117"/>
      <c r="BA2923" s="117"/>
      <c r="BB2923" s="117"/>
      <c r="BC2923" s="117"/>
      <c r="BD2923" s="117"/>
    </row>
    <row r="2924" spans="1:56" ht="15">
      <c r="A2924" s="114"/>
      <c r="B2924" s="196"/>
      <c r="C2924" s="196"/>
      <c r="D2924" s="196"/>
      <c r="E2924" s="196"/>
      <c r="F2924" s="196"/>
      <c r="G2924" s="196"/>
      <c r="H2924" s="196"/>
      <c r="I2924" s="196"/>
      <c r="J2924" s="114"/>
      <c r="AU2924" s="117"/>
      <c r="AV2924" s="117"/>
      <c r="AW2924" s="117"/>
      <c r="AX2924" s="117"/>
      <c r="AY2924" s="117"/>
      <c r="AZ2924" s="117"/>
      <c r="BA2924" s="117"/>
      <c r="BB2924" s="117"/>
      <c r="BC2924" s="117"/>
      <c r="BD2924" s="117"/>
    </row>
    <row r="2925" spans="1:56" ht="15">
      <c r="A2925" s="114"/>
      <c r="B2925" s="196"/>
      <c r="C2925" s="196"/>
      <c r="D2925" s="196"/>
      <c r="E2925" s="196"/>
      <c r="F2925" s="196"/>
      <c r="G2925" s="196"/>
      <c r="H2925" s="196"/>
      <c r="I2925" s="196"/>
      <c r="J2925" s="114"/>
      <c r="AU2925" s="117"/>
      <c r="AV2925" s="117"/>
      <c r="AW2925" s="117"/>
      <c r="AX2925" s="117"/>
      <c r="AY2925" s="117"/>
      <c r="AZ2925" s="117"/>
      <c r="BA2925" s="117"/>
      <c r="BB2925" s="117"/>
      <c r="BC2925" s="117"/>
      <c r="BD2925" s="117"/>
    </row>
    <row r="2926" spans="1:56">
      <c r="A2926" s="114"/>
      <c r="B2926" s="385" t="s">
        <v>1238</v>
      </c>
      <c r="C2926" s="140"/>
      <c r="D2926" s="140"/>
      <c r="E2926" s="140"/>
      <c r="F2926" s="401"/>
      <c r="G2926" s="401"/>
      <c r="H2926" s="401"/>
      <c r="I2926" s="401"/>
      <c r="J2926" s="362"/>
      <c r="AW2926" s="117"/>
      <c r="AX2926" s="117"/>
      <c r="AY2926" s="117"/>
      <c r="AZ2926" s="117"/>
      <c r="BA2926" s="117"/>
      <c r="BB2926" s="117"/>
      <c r="BC2926" s="117"/>
      <c r="BD2926" s="117"/>
    </row>
    <row r="2927" spans="1:56" ht="15">
      <c r="A2927" s="114"/>
      <c r="B2927" s="456"/>
      <c r="C2927" s="401"/>
      <c r="D2927" s="401"/>
      <c r="E2927" s="401"/>
      <c r="F2927" s="401"/>
      <c r="G2927" s="401"/>
      <c r="H2927" s="401"/>
      <c r="I2927" s="401"/>
      <c r="J2927" s="362"/>
      <c r="AW2927" s="117"/>
      <c r="AX2927" s="117"/>
      <c r="AY2927" s="117"/>
      <c r="AZ2927" s="117"/>
      <c r="BA2927" s="117"/>
      <c r="BB2927" s="117"/>
      <c r="BC2927" s="117"/>
      <c r="BD2927" s="117"/>
    </row>
    <row r="2928" spans="1:56" ht="18">
      <c r="A2928" s="114"/>
      <c r="B2928" s="457" t="s">
        <v>1141</v>
      </c>
      <c r="C2928" s="458">
        <v>0.2</v>
      </c>
      <c r="D2928" s="459" t="s">
        <v>10</v>
      </c>
      <c r="E2928" s="401"/>
      <c r="F2928" s="401"/>
      <c r="G2928" s="392" t="s">
        <v>1142</v>
      </c>
      <c r="H2928" s="393">
        <f>C2931*C2932</f>
        <v>1</v>
      </c>
      <c r="I2928" s="196" t="s">
        <v>1213</v>
      </c>
      <c r="J2928" s="401"/>
      <c r="AW2928" s="117"/>
      <c r="AX2928" s="117"/>
      <c r="AY2928" s="117"/>
      <c r="AZ2928" s="117"/>
      <c r="BA2928" s="117"/>
      <c r="BB2928" s="117"/>
      <c r="BC2928" s="117"/>
      <c r="BD2928" s="117"/>
    </row>
    <row r="2929" spans="1:56" ht="15">
      <c r="A2929" s="114"/>
      <c r="B2929" s="457" t="s">
        <v>1145</v>
      </c>
      <c r="C2929" s="458">
        <v>0.2</v>
      </c>
      <c r="D2929" s="459" t="s">
        <v>10</v>
      </c>
      <c r="E2929" s="401"/>
      <c r="F2929" s="401"/>
      <c r="G2929" s="392"/>
      <c r="H2929" s="393"/>
      <c r="I2929" s="196"/>
      <c r="J2929" s="401"/>
      <c r="AW2929" s="117"/>
      <c r="AX2929" s="117"/>
      <c r="AY2929" s="117"/>
      <c r="AZ2929" s="117"/>
      <c r="BA2929" s="117"/>
      <c r="BB2929" s="117"/>
      <c r="BC2929" s="117"/>
      <c r="BD2929" s="117"/>
    </row>
    <row r="2930" spans="1:56" ht="15">
      <c r="A2930" s="114"/>
      <c r="B2930" s="457" t="s">
        <v>1144</v>
      </c>
      <c r="C2930" s="458">
        <v>0.2</v>
      </c>
      <c r="D2930" s="459" t="s">
        <v>10</v>
      </c>
      <c r="E2930" s="401"/>
      <c r="F2930" s="401"/>
      <c r="G2930" s="392" t="e">
        <f>TEXT(C2939,"tg 0°=")</f>
        <v>#VALUE!</v>
      </c>
      <c r="H2930" s="394">
        <f>TAN(3.14159265359*C2939/180)</f>
        <v>1.732050807569153</v>
      </c>
      <c r="I2930" s="196"/>
      <c r="J2930" s="401"/>
      <c r="AW2930" s="117"/>
      <c r="AX2930" s="117"/>
      <c r="AY2930" s="117"/>
      <c r="AZ2930" s="117"/>
      <c r="BA2930" s="117"/>
      <c r="BB2930" s="117"/>
      <c r="BC2930" s="117"/>
      <c r="BD2930" s="117"/>
    </row>
    <row r="2931" spans="1:56" ht="15">
      <c r="A2931" s="114"/>
      <c r="B2931" s="457" t="s">
        <v>1110</v>
      </c>
      <c r="C2931" s="458">
        <v>1</v>
      </c>
      <c r="D2931" s="459" t="s">
        <v>10</v>
      </c>
      <c r="E2931" s="401"/>
      <c r="F2931" s="401"/>
      <c r="G2931" s="392"/>
      <c r="H2931" s="393"/>
      <c r="I2931" s="196"/>
      <c r="J2931" s="196"/>
      <c r="AW2931" s="117"/>
      <c r="AX2931" s="117"/>
      <c r="AY2931" s="117"/>
      <c r="AZ2931" s="117"/>
      <c r="BA2931" s="117"/>
      <c r="BB2931" s="117"/>
      <c r="BC2931" s="117"/>
      <c r="BD2931" s="117"/>
    </row>
    <row r="2932" spans="1:56" ht="18">
      <c r="A2932" s="114"/>
      <c r="B2932" s="457" t="s">
        <v>1111</v>
      </c>
      <c r="C2932" s="458">
        <v>1</v>
      </c>
      <c r="D2932" s="459" t="s">
        <v>10</v>
      </c>
      <c r="E2932" s="401"/>
      <c r="F2932" s="401"/>
      <c r="G2932" s="392" t="s">
        <v>1142</v>
      </c>
      <c r="H2932" s="450">
        <f>(C2931+2*C2934+((C2933+0.05)/H2930)*2)*(C2932+2*C2934+((C2933+0.05)/H2930)*2)</f>
        <v>8.8893151638218555</v>
      </c>
      <c r="I2932" s="196" t="s">
        <v>1213</v>
      </c>
      <c r="J2932" s="196"/>
      <c r="AW2932" s="117"/>
      <c r="AX2932" s="117"/>
      <c r="AY2932" s="117"/>
      <c r="AZ2932" s="117"/>
      <c r="BA2932" s="117"/>
      <c r="BB2932" s="117"/>
      <c r="BC2932" s="117"/>
      <c r="BD2932" s="117"/>
    </row>
    <row r="2933" spans="1:56" ht="18">
      <c r="A2933" s="114"/>
      <c r="B2933" s="457" t="s">
        <v>1112</v>
      </c>
      <c r="C2933" s="458">
        <v>0.8</v>
      </c>
      <c r="D2933" s="459" t="s">
        <v>10</v>
      </c>
      <c r="E2933" s="288" t="s">
        <v>1239</v>
      </c>
      <c r="F2933" s="401"/>
      <c r="G2933" s="392" t="s">
        <v>1147</v>
      </c>
      <c r="H2933" s="450">
        <f>(C2931+2*C2934)*(C2932+2*C2934)</f>
        <v>4</v>
      </c>
      <c r="I2933" s="196" t="s">
        <v>1213</v>
      </c>
      <c r="J2933" s="196"/>
      <c r="AW2933" s="117"/>
      <c r="AX2933" s="117"/>
      <c r="AY2933" s="117"/>
      <c r="AZ2933" s="117"/>
      <c r="BA2933" s="117"/>
      <c r="BB2933" s="117"/>
      <c r="BC2933" s="117"/>
      <c r="BD2933" s="117"/>
    </row>
    <row r="2934" spans="1:56" ht="15">
      <c r="A2934" s="114"/>
      <c r="B2934" s="457" t="s">
        <v>1113</v>
      </c>
      <c r="C2934" s="458">
        <v>0.5</v>
      </c>
      <c r="D2934" s="459" t="s">
        <v>10</v>
      </c>
      <c r="E2934" s="361" t="s">
        <v>1120</v>
      </c>
      <c r="F2934" s="401"/>
      <c r="G2934" s="392"/>
      <c r="H2934" s="393"/>
      <c r="I2934" s="196"/>
      <c r="J2934" s="196"/>
      <c r="AW2934" s="117"/>
      <c r="AX2934" s="117"/>
      <c r="AY2934" s="117"/>
      <c r="AZ2934" s="117"/>
      <c r="BA2934" s="117"/>
      <c r="BB2934" s="117"/>
      <c r="BC2934" s="117"/>
      <c r="BD2934" s="117"/>
    </row>
    <row r="2935" spans="1:56" ht="15">
      <c r="A2935" s="114"/>
      <c r="B2935" s="457" t="s">
        <v>1113</v>
      </c>
      <c r="C2935" s="458">
        <v>0.1</v>
      </c>
      <c r="D2935" s="459" t="s">
        <v>10</v>
      </c>
      <c r="E2935" s="361" t="s">
        <v>1121</v>
      </c>
      <c r="F2935" s="401"/>
      <c r="G2935" s="392"/>
      <c r="H2935" s="393"/>
      <c r="I2935" s="196"/>
      <c r="J2935" s="196"/>
      <c r="AW2935" s="117"/>
      <c r="AX2935" s="117"/>
      <c r="AY2935" s="117"/>
      <c r="AZ2935" s="117"/>
      <c r="BA2935" s="117"/>
      <c r="BB2935" s="117"/>
      <c r="BC2935" s="117"/>
      <c r="BD2935" s="117"/>
    </row>
    <row r="2936" spans="1:56" ht="15">
      <c r="A2936" s="114"/>
      <c r="B2936" s="457" t="s">
        <v>1117</v>
      </c>
      <c r="C2936" s="460">
        <v>2</v>
      </c>
      <c r="D2936" s="459" t="s">
        <v>1118</v>
      </c>
      <c r="E2936" s="401"/>
      <c r="F2936" s="401"/>
      <c r="G2936" s="401"/>
      <c r="H2936" s="392"/>
      <c r="I2936" s="393"/>
      <c r="J2936" s="196"/>
      <c r="AW2936" s="117"/>
      <c r="AX2936" s="117"/>
      <c r="AY2936" s="117"/>
      <c r="AZ2936" s="117"/>
      <c r="BA2936" s="117"/>
      <c r="BB2936" s="117"/>
      <c r="BC2936" s="117"/>
      <c r="BD2936" s="117"/>
    </row>
    <row r="2937" spans="1:56" ht="15">
      <c r="A2937" s="114"/>
      <c r="B2937" s="410"/>
      <c r="C2937" s="410"/>
      <c r="D2937" s="410"/>
      <c r="E2937" s="410"/>
      <c r="F2937" s="401"/>
      <c r="G2937" s="401"/>
      <c r="H2937" s="392"/>
      <c r="I2937" s="393"/>
      <c r="J2937" s="196"/>
      <c r="AW2937" s="117"/>
      <c r="AX2937" s="117"/>
      <c r="AY2937" s="117"/>
      <c r="AZ2937" s="117"/>
      <c r="BA2937" s="117"/>
      <c r="BB2937" s="117"/>
      <c r="BC2937" s="117"/>
      <c r="BD2937" s="117"/>
    </row>
    <row r="2938" spans="1:56" ht="15">
      <c r="A2938" s="114"/>
      <c r="B2938" s="401" t="s">
        <v>1148</v>
      </c>
      <c r="C2938" s="461"/>
      <c r="D2938" s="401"/>
      <c r="E2938" s="401"/>
      <c r="F2938" s="401"/>
      <c r="G2938" s="401"/>
      <c r="H2938" s="392"/>
      <c r="I2938" s="393"/>
      <c r="J2938" s="196"/>
      <c r="AW2938" s="117"/>
      <c r="AX2938" s="117"/>
      <c r="AY2938" s="117"/>
      <c r="AZ2938" s="117"/>
      <c r="BA2938" s="117"/>
      <c r="BB2938" s="117"/>
      <c r="BC2938" s="117"/>
      <c r="BD2938" s="117"/>
    </row>
    <row r="2939" spans="1:56" ht="15">
      <c r="A2939" s="114"/>
      <c r="B2939" s="457" t="s">
        <v>1149</v>
      </c>
      <c r="C2939" s="462">
        <v>60</v>
      </c>
      <c r="D2939" s="459" t="s">
        <v>1150</v>
      </c>
      <c r="E2939" s="401"/>
      <c r="F2939" s="401"/>
      <c r="G2939" s="401" t="s">
        <v>1240</v>
      </c>
      <c r="H2939" s="114"/>
      <c r="I2939" s="362"/>
      <c r="J2939" s="196"/>
      <c r="AW2939" s="117"/>
      <c r="AX2939" s="117"/>
      <c r="AY2939" s="117"/>
      <c r="AZ2939" s="117"/>
      <c r="BA2939" s="117"/>
      <c r="BB2939" s="117"/>
      <c r="BC2939" s="117"/>
      <c r="BD2939" s="117"/>
    </row>
    <row r="2940" spans="1:56" ht="15">
      <c r="A2940" s="114"/>
      <c r="B2940" s="410"/>
      <c r="C2940" s="410"/>
      <c r="D2940" s="410"/>
      <c r="E2940" s="410"/>
      <c r="F2940" s="410"/>
      <c r="G2940" s="410"/>
      <c r="H2940" s="362"/>
      <c r="I2940" s="362"/>
      <c r="J2940" s="196"/>
      <c r="AW2940" s="117"/>
      <c r="AX2940" s="117"/>
      <c r="AY2940" s="117"/>
      <c r="AZ2940" s="117"/>
      <c r="BA2940" s="117"/>
      <c r="BB2940" s="117"/>
      <c r="BC2940" s="117"/>
      <c r="BD2940" s="117"/>
    </row>
    <row r="2941" spans="1:56" ht="15">
      <c r="A2941" s="114"/>
      <c r="B2941" s="303" t="s">
        <v>1122</v>
      </c>
      <c r="C2941" s="410"/>
      <c r="D2941" s="410"/>
      <c r="E2941" s="410"/>
      <c r="F2941" s="410"/>
      <c r="G2941" s="401"/>
      <c r="H2941" s="196"/>
      <c r="I2941" s="362"/>
      <c r="J2941" s="196"/>
      <c r="AW2941" s="117"/>
      <c r="AX2941" s="117"/>
      <c r="AY2941" s="117"/>
      <c r="AZ2941" s="117"/>
      <c r="BA2941" s="117"/>
      <c r="BB2941" s="117"/>
      <c r="BC2941" s="117"/>
      <c r="BD2941" s="117"/>
    </row>
    <row r="2942" spans="1:56" ht="16.5">
      <c r="A2942" s="114"/>
      <c r="B2942" s="463" t="s">
        <v>1123</v>
      </c>
      <c r="C2942" s="464"/>
      <c r="D2942" s="457"/>
      <c r="E2942" s="397">
        <f>C2936*(((H2933+H2932)/2)*(C2933+0.05))</f>
        <v>10.955917889248578</v>
      </c>
      <c r="F2942" s="459" t="s">
        <v>1241</v>
      </c>
      <c r="G2942" s="401"/>
      <c r="H2942" s="362"/>
      <c r="I2942" s="362"/>
      <c r="J2942" s="196"/>
      <c r="AW2942" s="117"/>
      <c r="AX2942" s="117"/>
      <c r="AY2942" s="117"/>
      <c r="AZ2942" s="117"/>
      <c r="BA2942" s="117"/>
      <c r="BB2942" s="117"/>
      <c r="BC2942" s="117"/>
      <c r="BD2942" s="117"/>
    </row>
    <row r="2943" spans="1:56" ht="16.5">
      <c r="A2943" s="114"/>
      <c r="B2943" s="463" t="s">
        <v>1125</v>
      </c>
      <c r="C2943" s="464"/>
      <c r="D2943" s="457"/>
      <c r="E2943" s="400">
        <f>E2942-(E2947+E2949)</f>
        <v>8.8439178892485781</v>
      </c>
      <c r="F2943" s="459" t="s">
        <v>1241</v>
      </c>
      <c r="G2943" s="401"/>
      <c r="H2943" s="196"/>
      <c r="I2943" s="196"/>
      <c r="J2943" s="196"/>
      <c r="AW2943" s="117"/>
      <c r="AX2943" s="117"/>
      <c r="AY2943" s="117"/>
      <c r="AZ2943" s="117"/>
      <c r="BA2943" s="117"/>
      <c r="BB2943" s="117"/>
      <c r="BC2943" s="117"/>
      <c r="BD2943" s="117"/>
    </row>
    <row r="2944" spans="1:56" ht="15">
      <c r="A2944" s="114"/>
      <c r="B2944" s="463" t="s">
        <v>1126</v>
      </c>
      <c r="C2944" s="464"/>
      <c r="D2944" s="457"/>
      <c r="E2944" s="400">
        <f>C2936*((C2931+2*C2935)*(C2932+2*C2935))</f>
        <v>2.88</v>
      </c>
      <c r="F2944" s="459" t="s">
        <v>13</v>
      </c>
      <c r="G2944" s="465"/>
      <c r="H2944" s="362"/>
      <c r="I2944" s="362"/>
      <c r="J2944" s="362"/>
      <c r="AW2944" s="117"/>
      <c r="AX2944" s="117"/>
      <c r="AY2944" s="117"/>
      <c r="AZ2944" s="117"/>
      <c r="BA2944" s="117"/>
      <c r="BB2944" s="117"/>
      <c r="BC2944" s="117"/>
      <c r="BD2944" s="117"/>
    </row>
    <row r="2945" spans="1:56" ht="15">
      <c r="A2945" s="114"/>
      <c r="B2945" s="410"/>
      <c r="C2945" s="410"/>
      <c r="D2945" s="410"/>
      <c r="E2945" s="401"/>
      <c r="F2945" s="401"/>
      <c r="G2945" s="465"/>
      <c r="H2945" s="362"/>
      <c r="I2945" s="362"/>
      <c r="J2945" s="362"/>
      <c r="AW2945" s="117"/>
      <c r="AX2945" s="117"/>
      <c r="AY2945" s="117"/>
      <c r="AZ2945" s="117"/>
      <c r="BA2945" s="117"/>
      <c r="BB2945" s="117"/>
      <c r="BC2945" s="117"/>
      <c r="BD2945" s="117"/>
    </row>
    <row r="2946" spans="1:56" ht="15">
      <c r="A2946" s="114"/>
      <c r="B2946" s="303" t="s">
        <v>1242</v>
      </c>
      <c r="C2946" s="410"/>
      <c r="D2946" s="410"/>
      <c r="E2946" s="410"/>
      <c r="F2946" s="410"/>
      <c r="G2946" s="465"/>
      <c r="H2946" s="362"/>
      <c r="I2946" s="362"/>
      <c r="J2946" s="196"/>
      <c r="AW2946" s="117"/>
      <c r="AX2946" s="117"/>
      <c r="AY2946" s="117"/>
      <c r="AZ2946" s="117"/>
      <c r="BA2946" s="117"/>
      <c r="BB2946" s="117"/>
      <c r="BC2946" s="117"/>
      <c r="BD2946" s="117"/>
    </row>
    <row r="2947" spans="1:56" ht="16.5">
      <c r="A2947" s="114"/>
      <c r="B2947" s="463" t="s">
        <v>1128</v>
      </c>
      <c r="C2947" s="464"/>
      <c r="D2947" s="457"/>
      <c r="E2947" s="402">
        <f>E2944*0.05</f>
        <v>0.14399999999999999</v>
      </c>
      <c r="F2947" s="459" t="s">
        <v>1241</v>
      </c>
      <c r="G2947" s="465"/>
      <c r="H2947" s="362"/>
      <c r="I2947" s="362"/>
      <c r="J2947" s="362"/>
      <c r="AW2947" s="117"/>
      <c r="AX2947" s="117"/>
      <c r="AY2947" s="117"/>
      <c r="AZ2947" s="117"/>
      <c r="BA2947" s="117"/>
      <c r="BB2947" s="117"/>
      <c r="BC2947" s="117"/>
      <c r="BD2947" s="117"/>
    </row>
    <row r="2948" spans="1:56" ht="15">
      <c r="A2948" s="114"/>
      <c r="B2948" s="463" t="s">
        <v>1129</v>
      </c>
      <c r="C2948" s="464"/>
      <c r="D2948" s="457"/>
      <c r="E2948" s="397">
        <f>C2936*((2*C2931+2*C2932)*C2933+(2*(C2931-C2928-C2929)+2*(C2932-2*C2928))*(C2933-C2930))</f>
        <v>9.2800000000000011</v>
      </c>
      <c r="F2948" s="459" t="s">
        <v>13</v>
      </c>
      <c r="G2948" s="465"/>
      <c r="H2948" s="362"/>
      <c r="I2948" s="362"/>
      <c r="J2948" s="362"/>
      <c r="AW2948" s="117"/>
      <c r="AX2948" s="117"/>
      <c r="AY2948" s="117"/>
      <c r="AZ2948" s="117"/>
      <c r="BA2948" s="117"/>
      <c r="BB2948" s="117"/>
      <c r="BC2948" s="117"/>
      <c r="BD2948" s="117"/>
    </row>
    <row r="2949" spans="1:56" ht="16.5">
      <c r="A2949" s="114"/>
      <c r="B2949" s="463" t="s">
        <v>1130</v>
      </c>
      <c r="C2949" s="464"/>
      <c r="D2949" s="457"/>
      <c r="E2949" s="397">
        <f>((C2931*C2932*C2930)+((C2931*C2932)-((C2931-C2928-C2929)*(C2932-C2928-C2928))*(C2933-C2930)))*C2936</f>
        <v>1.968</v>
      </c>
      <c r="F2949" s="459" t="s">
        <v>1241</v>
      </c>
      <c r="G2949" s="465"/>
      <c r="H2949" s="362"/>
      <c r="I2949" s="362"/>
      <c r="J2949" s="362"/>
      <c r="AW2949" s="117"/>
      <c r="AX2949" s="117"/>
      <c r="AY2949" s="117"/>
      <c r="AZ2949" s="117"/>
      <c r="BA2949" s="117"/>
      <c r="BB2949" s="117"/>
      <c r="BC2949" s="117"/>
      <c r="BD2949" s="117"/>
    </row>
    <row r="2950" spans="1:56" customFormat="1" ht="12.75">
      <c r="B2950" s="362"/>
      <c r="C2950" s="362"/>
      <c r="D2950" s="362"/>
      <c r="E2950" s="362"/>
      <c r="F2950" s="362"/>
      <c r="G2950" s="362"/>
      <c r="H2950" s="362"/>
      <c r="I2950" s="362"/>
      <c r="J2950" s="362"/>
    </row>
    <row r="2951" spans="1:56" customFormat="1" ht="12.75">
      <c r="A2951" s="466" t="s">
        <v>1105</v>
      </c>
      <c r="B2951" s="362"/>
      <c r="C2951" s="362"/>
      <c r="D2951" s="362"/>
      <c r="E2951" s="362"/>
      <c r="F2951" s="362"/>
      <c r="G2951" s="362"/>
      <c r="H2951" s="362"/>
      <c r="I2951" s="362"/>
      <c r="J2951" s="362"/>
    </row>
    <row r="2952" spans="1:56">
      <c r="A2952" s="114"/>
      <c r="B2952" s="385" t="s">
        <v>1243</v>
      </c>
      <c r="C2952" s="140"/>
      <c r="D2952" s="140"/>
      <c r="E2952" s="140"/>
      <c r="F2952" s="401"/>
      <c r="G2952" s="401"/>
      <c r="H2952" s="401"/>
      <c r="I2952" s="401"/>
      <c r="J2952" s="362"/>
      <c r="AW2952" s="117"/>
      <c r="AX2952" s="117"/>
      <c r="AY2952" s="117"/>
      <c r="AZ2952" s="117"/>
      <c r="BA2952" s="117"/>
      <c r="BB2952" s="117"/>
      <c r="BC2952" s="117"/>
      <c r="BD2952" s="117"/>
    </row>
    <row r="2953" spans="1:56" ht="15">
      <c r="A2953" s="114"/>
      <c r="B2953" s="456"/>
      <c r="C2953" s="401"/>
      <c r="D2953" s="401"/>
      <c r="E2953" s="401"/>
      <c r="F2953" s="401"/>
      <c r="G2953" s="401"/>
      <c r="H2953" s="401"/>
      <c r="I2953" s="401"/>
      <c r="J2953" s="362"/>
      <c r="AW2953" s="117"/>
      <c r="AX2953" s="117"/>
      <c r="AY2953" s="117"/>
      <c r="AZ2953" s="117"/>
      <c r="BA2953" s="117"/>
      <c r="BB2953" s="117"/>
      <c r="BC2953" s="117"/>
      <c r="BD2953" s="117"/>
    </row>
    <row r="2954" spans="1:56" ht="18">
      <c r="A2954" s="114"/>
      <c r="B2954" s="457" t="s">
        <v>1141</v>
      </c>
      <c r="C2954" s="458">
        <v>0.2</v>
      </c>
      <c r="D2954" s="459" t="s">
        <v>10</v>
      </c>
      <c r="E2954" s="401"/>
      <c r="F2954" s="401"/>
      <c r="G2954" s="392" t="s">
        <v>1142</v>
      </c>
      <c r="H2954" s="393">
        <f>C2957*C2958</f>
        <v>2.5600000000000005</v>
      </c>
      <c r="I2954" s="196" t="s">
        <v>1213</v>
      </c>
      <c r="J2954" s="401"/>
      <c r="AW2954" s="117"/>
      <c r="AX2954" s="117"/>
      <c r="AY2954" s="117"/>
      <c r="AZ2954" s="117"/>
      <c r="BA2954" s="117"/>
      <c r="BB2954" s="117"/>
      <c r="BC2954" s="117"/>
      <c r="BD2954" s="117"/>
    </row>
    <row r="2955" spans="1:56" ht="15">
      <c r="A2955" s="114"/>
      <c r="B2955" s="457" t="s">
        <v>1145</v>
      </c>
      <c r="C2955" s="458">
        <v>0.2</v>
      </c>
      <c r="D2955" s="459" t="s">
        <v>10</v>
      </c>
      <c r="E2955" s="401"/>
      <c r="F2955" s="401"/>
      <c r="G2955" s="392"/>
      <c r="H2955" s="393"/>
      <c r="I2955" s="196"/>
      <c r="J2955" s="401"/>
      <c r="AW2955" s="117"/>
      <c r="AX2955" s="117"/>
      <c r="AY2955" s="117"/>
      <c r="AZ2955" s="117"/>
      <c r="BA2955" s="117"/>
      <c r="BB2955" s="117"/>
      <c r="BC2955" s="117"/>
      <c r="BD2955" s="117"/>
    </row>
    <row r="2956" spans="1:56" ht="15">
      <c r="A2956" s="114"/>
      <c r="B2956" s="457" t="s">
        <v>1144</v>
      </c>
      <c r="C2956" s="458">
        <v>0.2</v>
      </c>
      <c r="D2956" s="459" t="s">
        <v>10</v>
      </c>
      <c r="E2956" s="401"/>
      <c r="F2956" s="401"/>
      <c r="G2956" s="392" t="e">
        <f>TEXT(C2965,"tg 0°=")</f>
        <v>#VALUE!</v>
      </c>
      <c r="H2956" s="394">
        <f>TAN(3.14159265359*C2965/180)</f>
        <v>1.732050807569153</v>
      </c>
      <c r="I2956" s="196"/>
      <c r="J2956" s="401"/>
      <c r="AW2956" s="117"/>
      <c r="AX2956" s="117"/>
      <c r="AY2956" s="117"/>
      <c r="AZ2956" s="117"/>
      <c r="BA2956" s="117"/>
      <c r="BB2956" s="117"/>
      <c r="BC2956" s="117"/>
      <c r="BD2956" s="117"/>
    </row>
    <row r="2957" spans="1:56" ht="15">
      <c r="A2957" s="114"/>
      <c r="B2957" s="457" t="s">
        <v>1110</v>
      </c>
      <c r="C2957" s="458">
        <v>1.6</v>
      </c>
      <c r="D2957" s="459" t="s">
        <v>10</v>
      </c>
      <c r="E2957" s="401"/>
      <c r="F2957" s="401"/>
      <c r="G2957" s="392"/>
      <c r="H2957" s="393"/>
      <c r="I2957" s="196"/>
      <c r="J2957" s="196"/>
      <c r="AW2957" s="117"/>
      <c r="AX2957" s="117"/>
      <c r="AY2957" s="117"/>
      <c r="AZ2957" s="117"/>
      <c r="BA2957" s="117"/>
      <c r="BB2957" s="117"/>
      <c r="BC2957" s="117"/>
      <c r="BD2957" s="117"/>
    </row>
    <row r="2958" spans="1:56" ht="18">
      <c r="A2958" s="114"/>
      <c r="B2958" s="457" t="s">
        <v>1111</v>
      </c>
      <c r="C2958" s="458">
        <v>1.6</v>
      </c>
      <c r="D2958" s="459" t="s">
        <v>10</v>
      </c>
      <c r="E2958" s="401"/>
      <c r="F2958" s="401"/>
      <c r="G2958" s="392" t="s">
        <v>1142</v>
      </c>
      <c r="H2958" s="450">
        <f>(C2957+2*C2960+((C2959+0.05)/H2956)*2)*(C2958+2*C2960+((C2959+0.05)/H2956)*2)</f>
        <v>18.269775392710613</v>
      </c>
      <c r="I2958" s="196" t="s">
        <v>1213</v>
      </c>
      <c r="J2958" s="196"/>
      <c r="AW2958" s="117"/>
      <c r="AX2958" s="117"/>
      <c r="AY2958" s="117"/>
      <c r="AZ2958" s="117"/>
      <c r="BA2958" s="117"/>
      <c r="BB2958" s="117"/>
      <c r="BC2958" s="117"/>
      <c r="BD2958" s="117"/>
    </row>
    <row r="2959" spans="1:56" ht="18">
      <c r="A2959" s="114"/>
      <c r="B2959" s="457" t="s">
        <v>1112</v>
      </c>
      <c r="C2959" s="458">
        <v>1.4</v>
      </c>
      <c r="D2959" s="459" t="s">
        <v>10</v>
      </c>
      <c r="E2959" s="288" t="s">
        <v>1239</v>
      </c>
      <c r="F2959" s="401"/>
      <c r="G2959" s="392" t="s">
        <v>1147</v>
      </c>
      <c r="H2959" s="450">
        <f>(C2957+2*C2960)*(C2958+2*C2960)</f>
        <v>6.7600000000000007</v>
      </c>
      <c r="I2959" s="196" t="s">
        <v>1213</v>
      </c>
      <c r="J2959" s="196"/>
      <c r="AW2959" s="117"/>
      <c r="AX2959" s="117"/>
      <c r="AY2959" s="117"/>
      <c r="AZ2959" s="117"/>
      <c r="BA2959" s="117"/>
      <c r="BB2959" s="117"/>
      <c r="BC2959" s="117"/>
      <c r="BD2959" s="117"/>
    </row>
    <row r="2960" spans="1:56" ht="15">
      <c r="A2960" s="114"/>
      <c r="B2960" s="457" t="s">
        <v>1113</v>
      </c>
      <c r="C2960" s="458">
        <v>0.5</v>
      </c>
      <c r="D2960" s="459" t="s">
        <v>10</v>
      </c>
      <c r="E2960" s="361" t="s">
        <v>1120</v>
      </c>
      <c r="F2960" s="401"/>
      <c r="G2960" s="392"/>
      <c r="H2960" s="393"/>
      <c r="I2960" s="196"/>
      <c r="J2960" s="196"/>
      <c r="AW2960" s="117"/>
      <c r="AX2960" s="117"/>
      <c r="AY2960" s="117"/>
      <c r="AZ2960" s="117"/>
      <c r="BA2960" s="117"/>
      <c r="BB2960" s="117"/>
      <c r="BC2960" s="117"/>
      <c r="BD2960" s="117"/>
    </row>
    <row r="2961" spans="1:56" ht="15">
      <c r="A2961" s="114"/>
      <c r="B2961" s="457" t="s">
        <v>1113</v>
      </c>
      <c r="C2961" s="458">
        <v>0.1</v>
      </c>
      <c r="D2961" s="459" t="s">
        <v>10</v>
      </c>
      <c r="E2961" s="361" t="s">
        <v>1121</v>
      </c>
      <c r="F2961" s="401"/>
      <c r="G2961" s="392"/>
      <c r="H2961" s="393"/>
      <c r="I2961" s="196"/>
      <c r="J2961" s="196"/>
      <c r="AW2961" s="117"/>
      <c r="AX2961" s="117"/>
      <c r="AY2961" s="117"/>
      <c r="AZ2961" s="117"/>
      <c r="BA2961" s="117"/>
      <c r="BB2961" s="117"/>
      <c r="BC2961" s="117"/>
      <c r="BD2961" s="117"/>
    </row>
    <row r="2962" spans="1:56" ht="15">
      <c r="A2962" s="114"/>
      <c r="B2962" s="457" t="s">
        <v>1117</v>
      </c>
      <c r="C2962" s="460">
        <v>3</v>
      </c>
      <c r="D2962" s="459" t="s">
        <v>1118</v>
      </c>
      <c r="E2962" s="401"/>
      <c r="F2962" s="401"/>
      <c r="G2962" s="401"/>
      <c r="H2962" s="392"/>
      <c r="I2962" s="393"/>
      <c r="J2962" s="196"/>
      <c r="AW2962" s="117"/>
      <c r="AX2962" s="117"/>
      <c r="AY2962" s="117"/>
      <c r="AZ2962" s="117"/>
      <c r="BA2962" s="117"/>
      <c r="BB2962" s="117"/>
      <c r="BC2962" s="117"/>
      <c r="BD2962" s="117"/>
    </row>
    <row r="2963" spans="1:56" ht="15">
      <c r="A2963" s="114"/>
      <c r="B2963" s="410"/>
      <c r="C2963" s="410"/>
      <c r="D2963" s="410"/>
      <c r="E2963" s="410"/>
      <c r="F2963" s="401"/>
      <c r="G2963" s="401"/>
      <c r="H2963" s="392"/>
      <c r="I2963" s="393"/>
      <c r="J2963" s="196"/>
      <c r="AW2963" s="117"/>
      <c r="AX2963" s="117"/>
      <c r="AY2963" s="117"/>
      <c r="AZ2963" s="117"/>
      <c r="BA2963" s="117"/>
      <c r="BB2963" s="117"/>
      <c r="BC2963" s="117"/>
      <c r="BD2963" s="117"/>
    </row>
    <row r="2964" spans="1:56" ht="15">
      <c r="A2964" s="114"/>
      <c r="B2964" s="401" t="s">
        <v>1148</v>
      </c>
      <c r="C2964" s="461"/>
      <c r="D2964" s="401"/>
      <c r="E2964" s="401"/>
      <c r="F2964" s="401"/>
      <c r="G2964" s="401"/>
      <c r="H2964" s="392"/>
      <c r="I2964" s="393"/>
      <c r="J2964" s="196"/>
      <c r="AW2964" s="117"/>
      <c r="AX2964" s="117"/>
      <c r="AY2964" s="117"/>
      <c r="AZ2964" s="117"/>
      <c r="BA2964" s="117"/>
      <c r="BB2964" s="117"/>
      <c r="BC2964" s="117"/>
      <c r="BD2964" s="117"/>
    </row>
    <row r="2965" spans="1:56" ht="15">
      <c r="A2965" s="114"/>
      <c r="B2965" s="457" t="s">
        <v>1149</v>
      </c>
      <c r="C2965" s="462">
        <v>60</v>
      </c>
      <c r="D2965" s="459" t="s">
        <v>1150</v>
      </c>
      <c r="E2965" s="401"/>
      <c r="F2965" s="401"/>
      <c r="G2965" s="401" t="s">
        <v>1240</v>
      </c>
      <c r="H2965" s="114"/>
      <c r="I2965" s="362"/>
      <c r="J2965" s="196"/>
      <c r="AW2965" s="117"/>
      <c r="AX2965" s="117"/>
      <c r="AY2965" s="117"/>
      <c r="AZ2965" s="117"/>
      <c r="BA2965" s="117"/>
      <c r="BB2965" s="117"/>
      <c r="BC2965" s="117"/>
      <c r="BD2965" s="117"/>
    </row>
    <row r="2966" spans="1:56" ht="15">
      <c r="A2966" s="114"/>
      <c r="B2966" s="410"/>
      <c r="C2966" s="410"/>
      <c r="D2966" s="410"/>
      <c r="E2966" s="410"/>
      <c r="F2966" s="410"/>
      <c r="G2966" s="410"/>
      <c r="H2966" s="362"/>
      <c r="I2966" s="362"/>
      <c r="J2966" s="196"/>
      <c r="AW2966" s="117"/>
      <c r="AX2966" s="117"/>
      <c r="AY2966" s="117"/>
      <c r="AZ2966" s="117"/>
      <c r="BA2966" s="117"/>
      <c r="BB2966" s="117"/>
      <c r="BC2966" s="117"/>
      <c r="BD2966" s="117"/>
    </row>
    <row r="2967" spans="1:56" ht="15">
      <c r="A2967" s="114"/>
      <c r="B2967" s="303" t="s">
        <v>1122</v>
      </c>
      <c r="C2967" s="410"/>
      <c r="D2967" s="410"/>
      <c r="E2967" s="410"/>
      <c r="F2967" s="410"/>
      <c r="G2967" s="401"/>
      <c r="H2967" s="196"/>
      <c r="I2967" s="362"/>
      <c r="J2967" s="196"/>
      <c r="AW2967" s="117"/>
      <c r="AX2967" s="117"/>
      <c r="AY2967" s="117"/>
      <c r="AZ2967" s="117"/>
      <c r="BA2967" s="117"/>
      <c r="BB2967" s="117"/>
      <c r="BC2967" s="117"/>
      <c r="BD2967" s="117"/>
    </row>
    <row r="2968" spans="1:56" ht="16.5">
      <c r="A2968" s="114"/>
      <c r="B2968" s="463" t="s">
        <v>1123</v>
      </c>
      <c r="C2968" s="464"/>
      <c r="D2968" s="457"/>
      <c r="E2968" s="397">
        <f>C2962*(((H2959+H2958)/2)*(C2959+0.05))</f>
        <v>54.439761479145588</v>
      </c>
      <c r="F2968" s="459" t="s">
        <v>1241</v>
      </c>
      <c r="G2968" s="401"/>
      <c r="H2968" s="362"/>
      <c r="I2968" s="362"/>
      <c r="J2968" s="196"/>
      <c r="AW2968" s="117"/>
      <c r="AX2968" s="117"/>
      <c r="AY2968" s="117"/>
      <c r="AZ2968" s="117"/>
      <c r="BA2968" s="117"/>
      <c r="BB2968" s="117"/>
      <c r="BC2968" s="117"/>
      <c r="BD2968" s="117"/>
    </row>
    <row r="2969" spans="1:56" ht="16.5">
      <c r="A2969" s="114"/>
      <c r="B2969" s="463" t="s">
        <v>1125</v>
      </c>
      <c r="C2969" s="464"/>
      <c r="D2969" s="457"/>
      <c r="E2969" s="400">
        <f>E2968-(E2973+E2975)</f>
        <v>49.921761479145587</v>
      </c>
      <c r="F2969" s="459" t="s">
        <v>1241</v>
      </c>
      <c r="G2969" s="401"/>
      <c r="H2969" s="196"/>
      <c r="I2969" s="196"/>
      <c r="J2969" s="196"/>
      <c r="AW2969" s="117"/>
      <c r="AX2969" s="117"/>
      <c r="AY2969" s="117"/>
      <c r="AZ2969" s="117"/>
      <c r="BA2969" s="117"/>
      <c r="BB2969" s="117"/>
      <c r="BC2969" s="117"/>
      <c r="BD2969" s="117"/>
    </row>
    <row r="2970" spans="1:56" ht="15">
      <c r="A2970" s="114"/>
      <c r="B2970" s="463" t="s">
        <v>1126</v>
      </c>
      <c r="C2970" s="464"/>
      <c r="D2970" s="457"/>
      <c r="E2970" s="400">
        <f>C2962*((C2957+2*C2961)*(C2958+2*C2961))</f>
        <v>9.7200000000000006</v>
      </c>
      <c r="F2970" s="459" t="s">
        <v>13</v>
      </c>
      <c r="G2970" s="465"/>
      <c r="H2970" s="362"/>
      <c r="I2970" s="362"/>
      <c r="J2970" s="362"/>
      <c r="AW2970" s="117"/>
      <c r="AX2970" s="117"/>
      <c r="AY2970" s="117"/>
      <c r="AZ2970" s="117"/>
      <c r="BA2970" s="117"/>
      <c r="BB2970" s="117"/>
      <c r="BC2970" s="117"/>
      <c r="BD2970" s="117"/>
    </row>
    <row r="2971" spans="1:56" ht="15">
      <c r="A2971" s="114"/>
      <c r="B2971" s="410"/>
      <c r="C2971" s="410"/>
      <c r="D2971" s="410"/>
      <c r="E2971" s="401"/>
      <c r="F2971" s="401"/>
      <c r="G2971" s="465"/>
      <c r="H2971" s="362"/>
      <c r="I2971" s="362"/>
      <c r="J2971" s="362"/>
      <c r="AW2971" s="117"/>
      <c r="AX2971" s="117"/>
      <c r="AY2971" s="117"/>
      <c r="AZ2971" s="117"/>
      <c r="BA2971" s="117"/>
      <c r="BB2971" s="117"/>
      <c r="BC2971" s="117"/>
      <c r="BD2971" s="117"/>
    </row>
    <row r="2972" spans="1:56" ht="15">
      <c r="A2972" s="114"/>
      <c r="B2972" s="303" t="s">
        <v>1242</v>
      </c>
      <c r="C2972" s="410"/>
      <c r="D2972" s="410"/>
      <c r="E2972" s="410"/>
      <c r="F2972" s="410"/>
      <c r="G2972" s="465"/>
      <c r="H2972" s="362"/>
      <c r="I2972" s="362"/>
      <c r="J2972" s="196"/>
      <c r="AW2972" s="117"/>
      <c r="AX2972" s="117"/>
      <c r="AY2972" s="117"/>
      <c r="AZ2972" s="117"/>
      <c r="BA2972" s="117"/>
      <c r="BB2972" s="117"/>
      <c r="BC2972" s="117"/>
      <c r="BD2972" s="117"/>
    </row>
    <row r="2973" spans="1:56" ht="16.5">
      <c r="A2973" s="114"/>
      <c r="B2973" s="463" t="s">
        <v>1128</v>
      </c>
      <c r="C2973" s="464"/>
      <c r="D2973" s="457"/>
      <c r="E2973" s="402">
        <f>E2970*0.05</f>
        <v>0.48600000000000004</v>
      </c>
      <c r="F2973" s="459" t="s">
        <v>1241</v>
      </c>
      <c r="G2973" s="465"/>
      <c r="H2973" s="362"/>
      <c r="I2973" s="362"/>
      <c r="J2973" s="362"/>
      <c r="AW2973" s="117"/>
      <c r="AX2973" s="117"/>
      <c r="AY2973" s="117"/>
      <c r="AZ2973" s="117"/>
      <c r="BA2973" s="117"/>
      <c r="BB2973" s="117"/>
      <c r="BC2973" s="117"/>
      <c r="BD2973" s="117"/>
    </row>
    <row r="2974" spans="1:56" ht="15">
      <c r="A2974" s="114"/>
      <c r="B2974" s="463" t="s">
        <v>1129</v>
      </c>
      <c r="C2974" s="464"/>
      <c r="D2974" s="457"/>
      <c r="E2974" s="397">
        <f>C2962*((2*C2957+2*C2958)*C2959+(2*(C2957-C2954-C2955)+2*(C2958-2*C2954))*(C2959-C2956))</f>
        <v>44.16</v>
      </c>
      <c r="F2974" s="459" t="s">
        <v>13</v>
      </c>
      <c r="G2974" s="465"/>
      <c r="H2974" s="362"/>
      <c r="I2974" s="362"/>
      <c r="J2974" s="362"/>
      <c r="AW2974" s="117"/>
      <c r="AX2974" s="117"/>
      <c r="AY2974" s="117"/>
      <c r="AZ2974" s="117"/>
      <c r="BA2974" s="117"/>
      <c r="BB2974" s="117"/>
      <c r="BC2974" s="117"/>
      <c r="BD2974" s="117"/>
    </row>
    <row r="2975" spans="1:56" ht="16.5">
      <c r="A2975" s="114"/>
      <c r="B2975" s="463" t="s">
        <v>1130</v>
      </c>
      <c r="C2975" s="464"/>
      <c r="D2975" s="457"/>
      <c r="E2975" s="467">
        <f>((C2957*C2958*C2956)+((C2957*C2958)-((C2957-C2954-C2955)*(C2958-C2954-C2954))*(C2959-C2956)))*C2962</f>
        <v>4.0320000000000009</v>
      </c>
      <c r="F2975" s="459" t="s">
        <v>1241</v>
      </c>
      <c r="G2975" s="465"/>
      <c r="H2975" s="362"/>
      <c r="I2975" s="362"/>
      <c r="J2975" s="362"/>
      <c r="AW2975" s="117"/>
      <c r="AX2975" s="117"/>
      <c r="AY2975" s="117"/>
      <c r="AZ2975" s="117"/>
      <c r="BA2975" s="117"/>
      <c r="BB2975" s="117"/>
      <c r="BC2975" s="117"/>
      <c r="BD2975" s="117"/>
    </row>
    <row r="2976" spans="1:56" customFormat="1" ht="12.75">
      <c r="B2976" s="362"/>
      <c r="C2976" s="362"/>
      <c r="D2976" s="362"/>
      <c r="E2976" s="362"/>
      <c r="F2976" s="362"/>
      <c r="G2976" s="362"/>
      <c r="H2976" s="362"/>
      <c r="I2976" s="362"/>
      <c r="J2976" s="362"/>
    </row>
    <row r="2977" spans="1:56">
      <c r="A2977" s="114"/>
      <c r="B2977" s="115"/>
      <c r="C2977" s="115"/>
      <c r="D2977" s="115"/>
      <c r="E2977" s="115"/>
      <c r="F2977" s="115"/>
      <c r="G2977" s="115"/>
      <c r="H2977" s="115"/>
      <c r="I2977" s="115"/>
      <c r="J2977" s="114"/>
      <c r="AW2977" s="117"/>
      <c r="AX2977" s="117"/>
      <c r="AY2977" s="117"/>
      <c r="AZ2977" s="117"/>
      <c r="BA2977" s="117"/>
      <c r="BB2977" s="117"/>
      <c r="BC2977" s="117"/>
      <c r="BD2977" s="117"/>
    </row>
    <row r="2978" spans="1:56">
      <c r="A2978" s="114"/>
      <c r="B2978" s="385" t="s">
        <v>1244</v>
      </c>
      <c r="C2978" s="140"/>
      <c r="D2978" s="140"/>
      <c r="E2978" s="140"/>
      <c r="F2978" s="401"/>
      <c r="G2978" s="401"/>
      <c r="H2978" s="401"/>
      <c r="I2978" s="401"/>
      <c r="J2978" s="362"/>
      <c r="AW2978" s="117"/>
      <c r="AX2978" s="117"/>
      <c r="AY2978" s="117"/>
      <c r="AZ2978" s="117"/>
      <c r="BA2978" s="117"/>
      <c r="BB2978" s="117"/>
      <c r="BC2978" s="117"/>
      <c r="BD2978" s="117"/>
    </row>
    <row r="2979" spans="1:56" ht="15">
      <c r="A2979" s="114"/>
      <c r="B2979" s="456"/>
      <c r="C2979" s="401"/>
      <c r="D2979" s="401"/>
      <c r="E2979" s="401"/>
      <c r="F2979" s="401"/>
      <c r="G2979" s="401"/>
      <c r="H2979" s="401"/>
      <c r="I2979" s="401"/>
      <c r="J2979" s="362"/>
      <c r="AW2979" s="117"/>
      <c r="AX2979" s="117"/>
      <c r="AY2979" s="117"/>
      <c r="AZ2979" s="117"/>
      <c r="BA2979" s="117"/>
      <c r="BB2979" s="117"/>
      <c r="BC2979" s="117"/>
      <c r="BD2979" s="117"/>
    </row>
    <row r="2980" spans="1:56" ht="18">
      <c r="A2980" s="114"/>
      <c r="B2980" s="457" t="s">
        <v>1141</v>
      </c>
      <c r="C2980" s="458">
        <v>0.2</v>
      </c>
      <c r="D2980" s="459" t="s">
        <v>10</v>
      </c>
      <c r="E2980" s="401"/>
      <c r="F2980" s="401"/>
      <c r="G2980" s="392" t="s">
        <v>1142</v>
      </c>
      <c r="H2980" s="393">
        <f>C2983*C2984</f>
        <v>22.77</v>
      </c>
      <c r="I2980" s="196" t="s">
        <v>1213</v>
      </c>
      <c r="J2980" s="401"/>
      <c r="AW2980" s="117"/>
      <c r="AX2980" s="117"/>
      <c r="AY2980" s="117"/>
      <c r="AZ2980" s="117"/>
      <c r="BA2980" s="117"/>
      <c r="BB2980" s="117"/>
      <c r="BC2980" s="117"/>
      <c r="BD2980" s="117"/>
    </row>
    <row r="2981" spans="1:56" ht="15">
      <c r="A2981" s="114"/>
      <c r="B2981" s="457" t="s">
        <v>1145</v>
      </c>
      <c r="C2981" s="458">
        <v>0.2</v>
      </c>
      <c r="D2981" s="459" t="s">
        <v>10</v>
      </c>
      <c r="E2981" s="401"/>
      <c r="F2981" s="401"/>
      <c r="G2981" s="392"/>
      <c r="H2981" s="393"/>
      <c r="I2981" s="196"/>
      <c r="J2981" s="401"/>
      <c r="AW2981" s="117"/>
      <c r="AX2981" s="117"/>
      <c r="AY2981" s="117"/>
      <c r="AZ2981" s="117"/>
      <c r="BA2981" s="117"/>
      <c r="BB2981" s="117"/>
      <c r="BC2981" s="117"/>
      <c r="BD2981" s="117"/>
    </row>
    <row r="2982" spans="1:56" ht="15">
      <c r="A2982" s="114"/>
      <c r="B2982" s="457" t="s">
        <v>1144</v>
      </c>
      <c r="C2982" s="458">
        <v>0.2</v>
      </c>
      <c r="D2982" s="459" t="s">
        <v>10</v>
      </c>
      <c r="E2982" s="401"/>
      <c r="F2982" s="401"/>
      <c r="G2982" s="392" t="e">
        <f>TEXT(C2991,"tg 0°=")</f>
        <v>#VALUE!</v>
      </c>
      <c r="H2982" s="394">
        <f>TAN(3.14159265359*C2991/180)</f>
        <v>1.732050807569153</v>
      </c>
      <c r="I2982" s="196"/>
      <c r="J2982" s="401"/>
      <c r="AW2982" s="117"/>
      <c r="AX2982" s="117"/>
      <c r="AY2982" s="117"/>
      <c r="AZ2982" s="117"/>
      <c r="BA2982" s="117"/>
      <c r="BB2982" s="117"/>
      <c r="BC2982" s="117"/>
      <c r="BD2982" s="117"/>
    </row>
    <row r="2983" spans="1:56" ht="15">
      <c r="A2983" s="114"/>
      <c r="B2983" s="457" t="s">
        <v>1110</v>
      </c>
      <c r="C2983" s="458">
        <v>25.3</v>
      </c>
      <c r="D2983" s="459" t="s">
        <v>10</v>
      </c>
      <c r="E2983" s="401"/>
      <c r="F2983" s="401"/>
      <c r="G2983" s="392"/>
      <c r="H2983" s="393"/>
      <c r="I2983" s="196"/>
      <c r="J2983" s="196"/>
      <c r="AW2983" s="117"/>
      <c r="AX2983" s="117"/>
      <c r="AY2983" s="117"/>
      <c r="AZ2983" s="117"/>
      <c r="BA2983" s="117"/>
      <c r="BB2983" s="117"/>
      <c r="BC2983" s="117"/>
      <c r="BD2983" s="117"/>
    </row>
    <row r="2984" spans="1:56" ht="18">
      <c r="A2984" s="114"/>
      <c r="B2984" s="457" t="s">
        <v>1111</v>
      </c>
      <c r="C2984" s="458">
        <v>0.9</v>
      </c>
      <c r="D2984" s="459" t="s">
        <v>10</v>
      </c>
      <c r="E2984" s="401"/>
      <c r="F2984" s="401"/>
      <c r="G2984" s="392" t="s">
        <v>1142</v>
      </c>
      <c r="H2984" s="450">
        <f>(C2983+2*C2986+((C2985+0.05)/H2982)*2)*(C2984+2*C2986+((C2985+0.05)/H2982)*2)</f>
        <v>75.141916386717043</v>
      </c>
      <c r="I2984" s="196" t="s">
        <v>1213</v>
      </c>
      <c r="J2984" s="196"/>
      <c r="AW2984" s="117"/>
      <c r="AX2984" s="117"/>
      <c r="AY2984" s="117"/>
      <c r="AZ2984" s="117"/>
      <c r="BA2984" s="117"/>
      <c r="BB2984" s="117"/>
      <c r="BC2984" s="117"/>
      <c r="BD2984" s="117"/>
    </row>
    <row r="2985" spans="1:56" ht="18">
      <c r="A2985" s="114"/>
      <c r="B2985" s="457" t="s">
        <v>1112</v>
      </c>
      <c r="C2985" s="458">
        <v>0.7</v>
      </c>
      <c r="D2985" s="459" t="s">
        <v>10</v>
      </c>
      <c r="E2985" s="288" t="s">
        <v>1239</v>
      </c>
      <c r="F2985" s="401"/>
      <c r="G2985" s="392" t="s">
        <v>1147</v>
      </c>
      <c r="H2985" s="450">
        <f>(C2983+2*C2986)*(C2984+2*C2986)</f>
        <v>49.97</v>
      </c>
      <c r="I2985" s="196" t="s">
        <v>1213</v>
      </c>
      <c r="J2985" s="196"/>
      <c r="AW2985" s="117"/>
      <c r="AX2985" s="117"/>
      <c r="AY2985" s="117"/>
      <c r="AZ2985" s="117"/>
      <c r="BA2985" s="117"/>
      <c r="BB2985" s="117"/>
      <c r="BC2985" s="117"/>
      <c r="BD2985" s="117"/>
    </row>
    <row r="2986" spans="1:56" ht="15">
      <c r="A2986" s="114"/>
      <c r="B2986" s="457" t="s">
        <v>1113</v>
      </c>
      <c r="C2986" s="458">
        <v>0.5</v>
      </c>
      <c r="D2986" s="459" t="s">
        <v>10</v>
      </c>
      <c r="E2986" s="361" t="s">
        <v>1120</v>
      </c>
      <c r="F2986" s="401"/>
      <c r="G2986" s="392"/>
      <c r="H2986" s="393"/>
      <c r="I2986" s="196"/>
      <c r="J2986" s="196"/>
      <c r="AW2986" s="117"/>
      <c r="AX2986" s="117"/>
      <c r="AY2986" s="117"/>
      <c r="AZ2986" s="117"/>
      <c r="BA2986" s="117"/>
      <c r="BB2986" s="117"/>
      <c r="BC2986" s="117"/>
      <c r="BD2986" s="117"/>
    </row>
    <row r="2987" spans="1:56" ht="15">
      <c r="A2987" s="114"/>
      <c r="B2987" s="457" t="s">
        <v>1113</v>
      </c>
      <c r="C2987" s="458">
        <v>0.1</v>
      </c>
      <c r="D2987" s="459" t="s">
        <v>10</v>
      </c>
      <c r="E2987" s="361" t="s">
        <v>1121</v>
      </c>
      <c r="F2987" s="401"/>
      <c r="G2987" s="392"/>
      <c r="H2987" s="393"/>
      <c r="I2987" s="196"/>
      <c r="J2987" s="196"/>
      <c r="AW2987" s="117"/>
      <c r="AX2987" s="117"/>
      <c r="AY2987" s="117"/>
      <c r="AZ2987" s="117"/>
      <c r="BA2987" s="117"/>
      <c r="BB2987" s="117"/>
      <c r="BC2987" s="117"/>
      <c r="BD2987" s="117"/>
    </row>
    <row r="2988" spans="1:56" ht="15">
      <c r="A2988" s="114"/>
      <c r="B2988" s="457" t="s">
        <v>1117</v>
      </c>
      <c r="C2988" s="460">
        <v>1</v>
      </c>
      <c r="D2988" s="459" t="s">
        <v>1118</v>
      </c>
      <c r="E2988" s="401"/>
      <c r="F2988" s="401"/>
      <c r="G2988" s="401"/>
      <c r="H2988" s="392"/>
      <c r="I2988" s="393"/>
      <c r="J2988" s="196"/>
      <c r="AW2988" s="117"/>
      <c r="AX2988" s="117"/>
      <c r="AY2988" s="117"/>
      <c r="AZ2988" s="117"/>
      <c r="BA2988" s="117"/>
      <c r="BB2988" s="117"/>
      <c r="BC2988" s="117"/>
      <c r="BD2988" s="117"/>
    </row>
    <row r="2989" spans="1:56" ht="15">
      <c r="A2989" s="114"/>
      <c r="B2989" s="410"/>
      <c r="C2989" s="410"/>
      <c r="D2989" s="410"/>
      <c r="E2989" s="410"/>
      <c r="F2989" s="401"/>
      <c r="G2989" s="401"/>
      <c r="H2989" s="392"/>
      <c r="I2989" s="393"/>
      <c r="J2989" s="196"/>
      <c r="AW2989" s="117"/>
      <c r="AX2989" s="117"/>
      <c r="AY2989" s="117"/>
      <c r="AZ2989" s="117"/>
      <c r="BA2989" s="117"/>
      <c r="BB2989" s="117"/>
      <c r="BC2989" s="117"/>
      <c r="BD2989" s="117"/>
    </row>
    <row r="2990" spans="1:56" ht="15">
      <c r="A2990" s="114"/>
      <c r="B2990" s="401" t="s">
        <v>1148</v>
      </c>
      <c r="C2990" s="461"/>
      <c r="D2990" s="401"/>
      <c r="E2990" s="401"/>
      <c r="F2990" s="401"/>
      <c r="G2990" s="401"/>
      <c r="H2990" s="392"/>
      <c r="I2990" s="393"/>
      <c r="J2990" s="196"/>
      <c r="AW2990" s="117"/>
      <c r="AX2990" s="117"/>
      <c r="AY2990" s="117"/>
      <c r="AZ2990" s="117"/>
      <c r="BA2990" s="117"/>
      <c r="BB2990" s="117"/>
      <c r="BC2990" s="117"/>
      <c r="BD2990" s="117"/>
    </row>
    <row r="2991" spans="1:56" ht="15">
      <c r="A2991" s="114"/>
      <c r="B2991" s="457" t="s">
        <v>1149</v>
      </c>
      <c r="C2991" s="462">
        <v>60</v>
      </c>
      <c r="D2991" s="459" t="s">
        <v>1150</v>
      </c>
      <c r="E2991" s="401"/>
      <c r="F2991" s="401"/>
      <c r="G2991" s="401" t="s">
        <v>1240</v>
      </c>
      <c r="H2991" s="114"/>
      <c r="I2991" s="362"/>
      <c r="J2991" s="196"/>
      <c r="AW2991" s="117"/>
      <c r="AX2991" s="117"/>
      <c r="AY2991" s="117"/>
      <c r="AZ2991" s="117"/>
      <c r="BA2991" s="117"/>
      <c r="BB2991" s="117"/>
      <c r="BC2991" s="117"/>
      <c r="BD2991" s="117"/>
    </row>
    <row r="2992" spans="1:56" ht="15">
      <c r="A2992" s="114"/>
      <c r="B2992" s="410"/>
      <c r="C2992" s="410"/>
      <c r="D2992" s="410"/>
      <c r="E2992" s="410"/>
      <c r="F2992" s="410"/>
      <c r="G2992" s="410"/>
      <c r="H2992" s="362"/>
      <c r="I2992" s="362"/>
      <c r="J2992" s="196"/>
      <c r="AW2992" s="117"/>
      <c r="AX2992" s="117"/>
      <c r="AY2992" s="117"/>
      <c r="AZ2992" s="117"/>
      <c r="BA2992" s="117"/>
      <c r="BB2992" s="117"/>
      <c r="BC2992" s="117"/>
      <c r="BD2992" s="117"/>
    </row>
    <row r="2993" spans="1:56" ht="15">
      <c r="A2993" s="114"/>
      <c r="B2993" s="303" t="s">
        <v>1122</v>
      </c>
      <c r="C2993" s="410"/>
      <c r="D2993" s="410"/>
      <c r="E2993" s="410"/>
      <c r="F2993" s="410"/>
      <c r="G2993" s="401"/>
      <c r="H2993" s="196"/>
      <c r="I2993" s="362"/>
      <c r="J2993" s="196"/>
      <c r="AW2993" s="117"/>
      <c r="AX2993" s="117"/>
      <c r="AY2993" s="117"/>
      <c r="AZ2993" s="117"/>
      <c r="BA2993" s="117"/>
      <c r="BB2993" s="117"/>
      <c r="BC2993" s="117"/>
      <c r="BD2993" s="117"/>
    </row>
    <row r="2994" spans="1:56" ht="16.5">
      <c r="A2994" s="114"/>
      <c r="B2994" s="463" t="s">
        <v>1123</v>
      </c>
      <c r="C2994" s="464"/>
      <c r="D2994" s="457"/>
      <c r="E2994" s="397">
        <f>C2988*(((H2985+H2984)/2)*(C2985+0.05))</f>
        <v>46.916968645018891</v>
      </c>
      <c r="F2994" s="459" t="s">
        <v>1241</v>
      </c>
      <c r="G2994" s="401"/>
      <c r="H2994" s="362"/>
      <c r="I2994" s="362"/>
      <c r="J2994" s="196"/>
      <c r="AW2994" s="117"/>
      <c r="AX2994" s="117"/>
      <c r="AY2994" s="117"/>
      <c r="AZ2994" s="117"/>
      <c r="BA2994" s="117"/>
      <c r="BB2994" s="117"/>
      <c r="BC2994" s="117"/>
      <c r="BD2994" s="117"/>
    </row>
    <row r="2995" spans="1:56" ht="16.5">
      <c r="A2995" s="114"/>
      <c r="B2995" s="463" t="s">
        <v>1125</v>
      </c>
      <c r="C2995" s="464"/>
      <c r="D2995" s="457"/>
      <c r="E2995" s="400">
        <f>E2994-(E2999+E3001)</f>
        <v>24.415468645018887</v>
      </c>
      <c r="F2995" s="459" t="s">
        <v>1241</v>
      </c>
      <c r="G2995" s="401"/>
      <c r="H2995" s="196"/>
      <c r="I2995" s="196"/>
      <c r="J2995" s="196"/>
      <c r="AW2995" s="117"/>
      <c r="AX2995" s="117"/>
      <c r="AY2995" s="117"/>
      <c r="AZ2995" s="117"/>
      <c r="BA2995" s="117"/>
      <c r="BB2995" s="117"/>
      <c r="BC2995" s="117"/>
      <c r="BD2995" s="117"/>
    </row>
    <row r="2996" spans="1:56" ht="15">
      <c r="A2996" s="114"/>
      <c r="B2996" s="463" t="s">
        <v>1126</v>
      </c>
      <c r="C2996" s="464"/>
      <c r="D2996" s="457"/>
      <c r="E2996" s="400">
        <f>C2988*((C2983+2*C2987)*(C2984+2*C2987))</f>
        <v>28.05</v>
      </c>
      <c r="F2996" s="459" t="s">
        <v>13</v>
      </c>
      <c r="G2996" s="465"/>
      <c r="H2996" s="362"/>
      <c r="I2996" s="362"/>
      <c r="J2996" s="362"/>
      <c r="AW2996" s="117"/>
      <c r="AX2996" s="117"/>
      <c r="AY2996" s="117"/>
      <c r="AZ2996" s="117"/>
      <c r="BA2996" s="117"/>
      <c r="BB2996" s="117"/>
      <c r="BC2996" s="117"/>
      <c r="BD2996" s="117"/>
    </row>
    <row r="2997" spans="1:56" ht="15">
      <c r="A2997" s="114"/>
      <c r="B2997" s="410"/>
      <c r="C2997" s="410"/>
      <c r="D2997" s="410"/>
      <c r="E2997" s="401"/>
      <c r="F2997" s="401"/>
      <c r="G2997" s="465"/>
      <c r="H2997" s="362"/>
      <c r="I2997" s="362"/>
      <c r="J2997" s="362"/>
      <c r="AW2997" s="117"/>
      <c r="AX2997" s="117"/>
      <c r="AY2997" s="117"/>
      <c r="AZ2997" s="117"/>
      <c r="BA2997" s="117"/>
      <c r="BB2997" s="117"/>
      <c r="BC2997" s="117"/>
      <c r="BD2997" s="117"/>
    </row>
    <row r="2998" spans="1:56" ht="15">
      <c r="A2998" s="114"/>
      <c r="B2998" s="303" t="s">
        <v>1245</v>
      </c>
      <c r="C2998" s="410"/>
      <c r="D2998" s="410"/>
      <c r="E2998" s="410"/>
      <c r="F2998" s="410"/>
      <c r="G2998" s="465"/>
      <c r="H2998" s="362"/>
      <c r="I2998" s="362"/>
      <c r="J2998" s="196"/>
      <c r="AW2998" s="117"/>
      <c r="AX2998" s="117"/>
      <c r="AY2998" s="117"/>
      <c r="AZ2998" s="117"/>
      <c r="BA2998" s="117"/>
      <c r="BB2998" s="117"/>
      <c r="BC2998" s="117"/>
      <c r="BD2998" s="117"/>
    </row>
    <row r="2999" spans="1:56" ht="16.5">
      <c r="A2999" s="114"/>
      <c r="B2999" s="463" t="s">
        <v>1128</v>
      </c>
      <c r="C2999" s="464"/>
      <c r="D2999" s="457"/>
      <c r="E2999" s="402">
        <f>E2996*0.05</f>
        <v>1.4025000000000001</v>
      </c>
      <c r="F2999" s="459" t="s">
        <v>1241</v>
      </c>
      <c r="G2999" s="465"/>
      <c r="H2999" s="362"/>
      <c r="I2999" s="362"/>
      <c r="J2999" s="362"/>
      <c r="AW2999" s="117"/>
      <c r="AX2999" s="117"/>
      <c r="AY2999" s="117"/>
      <c r="AZ2999" s="117"/>
      <c r="BA2999" s="117"/>
      <c r="BB2999" s="117"/>
      <c r="BC2999" s="117"/>
      <c r="BD2999" s="117"/>
    </row>
    <row r="3000" spans="1:56" ht="15">
      <c r="A3000" s="114"/>
      <c r="B3000" s="463" t="s">
        <v>1129</v>
      </c>
      <c r="C3000" s="464"/>
      <c r="D3000" s="457"/>
      <c r="E3000" s="397">
        <f>C2988*((2*C2983+2*C2984)*C2985+(2*(C2983-C2980-C2981)+2*(C2984-2*C2980))*(C2985-C2982))</f>
        <v>62.08</v>
      </c>
      <c r="F3000" s="459" t="s">
        <v>13</v>
      </c>
      <c r="G3000" s="465"/>
      <c r="H3000" s="362"/>
      <c r="I3000" s="362"/>
      <c r="J3000" s="362"/>
      <c r="AW3000" s="117"/>
      <c r="AX3000" s="117"/>
      <c r="AY3000" s="117"/>
      <c r="AZ3000" s="117"/>
      <c r="BA3000" s="117"/>
      <c r="BB3000" s="117"/>
      <c r="BC3000" s="117"/>
      <c r="BD3000" s="117"/>
    </row>
    <row r="3001" spans="1:56" ht="16.5">
      <c r="A3001" s="114"/>
      <c r="B3001" s="463" t="s">
        <v>1130</v>
      </c>
      <c r="C3001" s="464"/>
      <c r="D3001" s="457"/>
      <c r="E3001" s="397">
        <f>((C2983*C2984*C2982)+((C2983*C2984)-((C2983-C2980-C2981)*(C2984-C2980-C2980))*(C2985-C2982)))*C2988</f>
        <v>21.099000000000004</v>
      </c>
      <c r="F3001" s="459" t="s">
        <v>1241</v>
      </c>
      <c r="G3001" s="465"/>
      <c r="H3001" s="362"/>
      <c r="I3001" s="362"/>
      <c r="J3001" s="362"/>
      <c r="AW3001" s="117"/>
      <c r="AX3001" s="117"/>
      <c r="AY3001" s="117"/>
      <c r="AZ3001" s="117"/>
      <c r="BA3001" s="117"/>
      <c r="BB3001" s="117"/>
      <c r="BC3001" s="117"/>
      <c r="BD3001" s="117"/>
    </row>
    <row r="3002" spans="1:56" s="470" customFormat="1" ht="15">
      <c r="A3002" s="264"/>
      <c r="B3002" s="401"/>
      <c r="C3002" s="468"/>
      <c r="D3002" s="468"/>
      <c r="E3002" s="287"/>
      <c r="F3002" s="401"/>
      <c r="G3002" s="469"/>
      <c r="H3002" s="6"/>
      <c r="I3002" s="6"/>
      <c r="J3002" s="6"/>
      <c r="K3002" s="264"/>
      <c r="L3002" s="264"/>
      <c r="M3002" s="264"/>
      <c r="N3002" s="264"/>
      <c r="O3002" s="264"/>
      <c r="P3002" s="264"/>
      <c r="Q3002" s="264"/>
      <c r="R3002" s="264"/>
      <c r="S3002" s="264"/>
      <c r="T3002" s="264"/>
      <c r="U3002" s="264"/>
      <c r="V3002" s="264"/>
      <c r="W3002" s="264"/>
      <c r="X3002" s="264"/>
      <c r="Y3002" s="264"/>
      <c r="Z3002" s="264"/>
      <c r="AA3002" s="264"/>
      <c r="AB3002" s="264"/>
      <c r="AC3002" s="264"/>
      <c r="AD3002" s="264"/>
      <c r="AE3002" s="264"/>
      <c r="AF3002" s="264"/>
      <c r="AG3002" s="264"/>
      <c r="AH3002" s="264"/>
      <c r="AI3002" s="264"/>
      <c r="AJ3002" s="264"/>
      <c r="AK3002" s="264"/>
      <c r="AL3002" s="264"/>
      <c r="AM3002" s="264"/>
      <c r="AN3002" s="264"/>
      <c r="AO3002" s="264"/>
      <c r="AP3002" s="264"/>
      <c r="AQ3002" s="264"/>
      <c r="AR3002" s="264"/>
      <c r="AS3002" s="264"/>
      <c r="AT3002" s="264"/>
      <c r="AU3002" s="264"/>
      <c r="AV3002" s="264"/>
    </row>
    <row r="3003" spans="1:56" s="470" customFormat="1" ht="15">
      <c r="A3003" s="264"/>
      <c r="B3003" s="401"/>
      <c r="C3003" s="468"/>
      <c r="D3003" s="468"/>
      <c r="E3003" s="287"/>
      <c r="F3003" s="401"/>
      <c r="G3003" s="469"/>
      <c r="H3003" s="6"/>
      <c r="I3003" s="6"/>
      <c r="J3003" s="6"/>
      <c r="K3003" s="264"/>
      <c r="L3003" s="264"/>
      <c r="M3003" s="264"/>
      <c r="N3003" s="264"/>
      <c r="O3003" s="264"/>
      <c r="P3003" s="264"/>
      <c r="Q3003" s="264"/>
      <c r="R3003" s="264"/>
      <c r="S3003" s="264"/>
      <c r="T3003" s="264"/>
      <c r="U3003" s="264"/>
      <c r="V3003" s="264"/>
      <c r="W3003" s="264"/>
      <c r="X3003" s="264"/>
      <c r="Y3003" s="264"/>
      <c r="Z3003" s="264"/>
      <c r="AA3003" s="264"/>
      <c r="AB3003" s="264"/>
      <c r="AC3003" s="264"/>
      <c r="AD3003" s="264"/>
      <c r="AE3003" s="264"/>
      <c r="AF3003" s="264"/>
      <c r="AG3003" s="264"/>
      <c r="AH3003" s="264"/>
      <c r="AI3003" s="264"/>
      <c r="AJ3003" s="264"/>
      <c r="AK3003" s="264"/>
      <c r="AL3003" s="264"/>
      <c r="AM3003" s="264"/>
      <c r="AN3003" s="264"/>
      <c r="AO3003" s="264"/>
      <c r="AP3003" s="264"/>
      <c r="AQ3003" s="264"/>
      <c r="AR3003" s="264"/>
      <c r="AS3003" s="264"/>
      <c r="AT3003" s="264"/>
      <c r="AU3003" s="264"/>
      <c r="AV3003" s="264"/>
    </row>
    <row r="3004" spans="1:56" s="470" customFormat="1" ht="15">
      <c r="A3004" s="264"/>
      <c r="B3004" s="401"/>
      <c r="C3004" s="468"/>
      <c r="D3004" s="468"/>
      <c r="E3004" s="287"/>
      <c r="F3004" s="401"/>
      <c r="G3004" s="469"/>
      <c r="H3004" s="6"/>
      <c r="I3004" s="6"/>
      <c r="J3004" s="6"/>
      <c r="K3004" s="264"/>
      <c r="L3004" s="264"/>
      <c r="M3004" s="264"/>
      <c r="N3004" s="264"/>
      <c r="O3004" s="264"/>
      <c r="P3004" s="264"/>
      <c r="Q3004" s="264"/>
      <c r="R3004" s="264"/>
      <c r="S3004" s="264"/>
      <c r="T3004" s="264"/>
      <c r="U3004" s="264"/>
      <c r="V3004" s="264"/>
      <c r="W3004" s="264"/>
      <c r="X3004" s="264"/>
      <c r="Y3004" s="264"/>
      <c r="Z3004" s="264"/>
      <c r="AA3004" s="264"/>
      <c r="AB3004" s="264"/>
      <c r="AC3004" s="264"/>
      <c r="AD3004" s="264"/>
      <c r="AE3004" s="264"/>
      <c r="AF3004" s="264"/>
      <c r="AG3004" s="264"/>
      <c r="AH3004" s="264"/>
      <c r="AI3004" s="264"/>
      <c r="AJ3004" s="264"/>
      <c r="AK3004" s="264"/>
      <c r="AL3004" s="264"/>
      <c r="AM3004" s="264"/>
      <c r="AN3004" s="264"/>
      <c r="AO3004" s="264"/>
      <c r="AP3004" s="264"/>
      <c r="AQ3004" s="264"/>
      <c r="AR3004" s="264"/>
      <c r="AS3004" s="264"/>
      <c r="AT3004" s="264"/>
      <c r="AU3004" s="264"/>
      <c r="AV3004" s="264"/>
    </row>
    <row r="3005" spans="1:56" s="470" customFormat="1" ht="15">
      <c r="A3005" s="264"/>
      <c r="B3005" s="401"/>
      <c r="C3005" s="468"/>
      <c r="D3005" s="468"/>
      <c r="E3005" s="287"/>
      <c r="F3005" s="401"/>
      <c r="G3005" s="469"/>
      <c r="H3005" s="6"/>
      <c r="I3005" s="6"/>
      <c r="J3005" s="6"/>
      <c r="K3005" s="264"/>
      <c r="L3005" s="264"/>
      <c r="M3005" s="264"/>
      <c r="N3005" s="264"/>
      <c r="O3005" s="264"/>
      <c r="P3005" s="264"/>
      <c r="Q3005" s="264"/>
      <c r="R3005" s="264"/>
      <c r="S3005" s="264"/>
      <c r="T3005" s="264"/>
      <c r="U3005" s="264"/>
      <c r="V3005" s="264"/>
      <c r="W3005" s="264"/>
      <c r="X3005" s="264"/>
      <c r="Y3005" s="264"/>
      <c r="Z3005" s="264"/>
      <c r="AA3005" s="264"/>
      <c r="AB3005" s="264"/>
      <c r="AC3005" s="264"/>
      <c r="AD3005" s="264"/>
      <c r="AE3005" s="264"/>
      <c r="AF3005" s="264"/>
      <c r="AG3005" s="264"/>
      <c r="AH3005" s="264"/>
      <c r="AI3005" s="264"/>
      <c r="AJ3005" s="264"/>
      <c r="AK3005" s="264"/>
      <c r="AL3005" s="264"/>
      <c r="AM3005" s="264"/>
      <c r="AN3005" s="264"/>
      <c r="AO3005" s="264"/>
      <c r="AP3005" s="264"/>
      <c r="AQ3005" s="264"/>
      <c r="AR3005" s="264"/>
      <c r="AS3005" s="264"/>
      <c r="AT3005" s="264"/>
      <c r="AU3005" s="264"/>
      <c r="AV3005" s="264"/>
    </row>
    <row r="3006" spans="1:56">
      <c r="A3006" s="114"/>
      <c r="B3006" s="385" t="s">
        <v>1246</v>
      </c>
      <c r="C3006" s="140"/>
      <c r="D3006" s="140"/>
      <c r="E3006" s="140"/>
      <c r="F3006" s="401"/>
      <c r="G3006" s="401"/>
      <c r="H3006" s="401"/>
      <c r="I3006" s="401"/>
      <c r="J3006" s="362"/>
      <c r="AW3006" s="117"/>
      <c r="AX3006" s="117"/>
      <c r="AY3006" s="117"/>
      <c r="AZ3006" s="117"/>
      <c r="BA3006" s="117"/>
      <c r="BB3006" s="117"/>
      <c r="BC3006" s="117"/>
      <c r="BD3006" s="117"/>
    </row>
    <row r="3007" spans="1:56" ht="15">
      <c r="A3007" s="114"/>
      <c r="B3007" s="456"/>
      <c r="C3007" s="401"/>
      <c r="D3007" s="401"/>
      <c r="E3007" s="401"/>
      <c r="F3007" s="401"/>
      <c r="G3007" s="401"/>
      <c r="H3007" s="401"/>
      <c r="I3007" s="401"/>
      <c r="J3007" s="362"/>
      <c r="AW3007" s="117"/>
      <c r="AX3007" s="117"/>
      <c r="AY3007" s="117"/>
      <c r="AZ3007" s="117"/>
      <c r="BA3007" s="117"/>
      <c r="BB3007" s="117"/>
      <c r="BC3007" s="117"/>
      <c r="BD3007" s="117"/>
    </row>
    <row r="3008" spans="1:56" ht="18">
      <c r="A3008" s="114"/>
      <c r="B3008" s="457" t="s">
        <v>1141</v>
      </c>
      <c r="C3008" s="458">
        <v>0.2</v>
      </c>
      <c r="D3008" s="459" t="s">
        <v>10</v>
      </c>
      <c r="E3008" s="401"/>
      <c r="F3008" s="401"/>
      <c r="G3008" s="392" t="s">
        <v>1142</v>
      </c>
      <c r="H3008" s="393">
        <f>C3011*C3012</f>
        <v>7.1820000000000004</v>
      </c>
      <c r="I3008" s="196" t="s">
        <v>1213</v>
      </c>
      <c r="J3008" s="401"/>
      <c r="AW3008" s="117"/>
      <c r="AX3008" s="117"/>
      <c r="AY3008" s="117"/>
      <c r="AZ3008" s="117"/>
      <c r="BA3008" s="117"/>
      <c r="BB3008" s="117"/>
      <c r="BC3008" s="117"/>
      <c r="BD3008" s="117"/>
    </row>
    <row r="3009" spans="1:56" ht="15">
      <c r="A3009" s="114"/>
      <c r="B3009" s="457" t="s">
        <v>1145</v>
      </c>
      <c r="C3009" s="458">
        <v>0.2</v>
      </c>
      <c r="D3009" s="459" t="s">
        <v>10</v>
      </c>
      <c r="E3009" s="401"/>
      <c r="F3009" s="401"/>
      <c r="G3009" s="392"/>
      <c r="H3009" s="393"/>
      <c r="I3009" s="196"/>
      <c r="J3009" s="401"/>
      <c r="AW3009" s="117"/>
      <c r="AX3009" s="117"/>
      <c r="AY3009" s="117"/>
      <c r="AZ3009" s="117"/>
      <c r="BA3009" s="117"/>
      <c r="BB3009" s="117"/>
      <c r="BC3009" s="117"/>
      <c r="BD3009" s="117"/>
    </row>
    <row r="3010" spans="1:56" ht="15">
      <c r="A3010" s="114"/>
      <c r="B3010" s="457" t="s">
        <v>1144</v>
      </c>
      <c r="C3010" s="458">
        <v>0.2</v>
      </c>
      <c r="D3010" s="459" t="s">
        <v>10</v>
      </c>
      <c r="E3010" s="401"/>
      <c r="F3010" s="401"/>
      <c r="G3010" s="392" t="e">
        <f>TEXT(C3019,"tg 0°=")</f>
        <v>#VALUE!</v>
      </c>
      <c r="H3010" s="394">
        <f>TAN(3.14159265359*C3019/180)</f>
        <v>1.732050807569153</v>
      </c>
      <c r="I3010" s="196"/>
      <c r="J3010" s="401"/>
      <c r="AW3010" s="117"/>
      <c r="AX3010" s="117"/>
      <c r="AY3010" s="117"/>
      <c r="AZ3010" s="117"/>
      <c r="BA3010" s="117"/>
      <c r="BB3010" s="117"/>
      <c r="BC3010" s="117"/>
      <c r="BD3010" s="117"/>
    </row>
    <row r="3011" spans="1:56" ht="15">
      <c r="A3011" s="114"/>
      <c r="B3011" s="457" t="s">
        <v>1110</v>
      </c>
      <c r="C3011" s="458">
        <v>7.98</v>
      </c>
      <c r="D3011" s="459" t="s">
        <v>10</v>
      </c>
      <c r="E3011" s="401"/>
      <c r="F3011" s="401"/>
      <c r="G3011" s="392"/>
      <c r="H3011" s="393"/>
      <c r="I3011" s="196"/>
      <c r="J3011" s="196"/>
      <c r="AW3011" s="117"/>
      <c r="AX3011" s="117"/>
      <c r="AY3011" s="117"/>
      <c r="AZ3011" s="117"/>
      <c r="BA3011" s="117"/>
      <c r="BB3011" s="117"/>
      <c r="BC3011" s="117"/>
      <c r="BD3011" s="117"/>
    </row>
    <row r="3012" spans="1:56" ht="18">
      <c r="A3012" s="114"/>
      <c r="B3012" s="457" t="s">
        <v>1111</v>
      </c>
      <c r="C3012" s="458">
        <v>0.9</v>
      </c>
      <c r="D3012" s="459" t="s">
        <v>10</v>
      </c>
      <c r="E3012" s="401"/>
      <c r="F3012" s="401"/>
      <c r="G3012" s="392" t="s">
        <v>1142</v>
      </c>
      <c r="H3012" s="450">
        <f>(C3011+2*C3014+((C3013+0.05)/H3010)*2)*(C3012+2*C3014+((C3013+0.05)/H3010)*2)</f>
        <v>27.234356393172952</v>
      </c>
      <c r="I3012" s="196" t="s">
        <v>1213</v>
      </c>
      <c r="J3012" s="196"/>
      <c r="AW3012" s="117"/>
      <c r="AX3012" s="117"/>
      <c r="AY3012" s="117"/>
      <c r="AZ3012" s="117"/>
      <c r="BA3012" s="117"/>
      <c r="BB3012" s="117"/>
      <c r="BC3012" s="117"/>
      <c r="BD3012" s="117"/>
    </row>
    <row r="3013" spans="1:56" ht="18">
      <c r="A3013" s="114"/>
      <c r="B3013" s="457" t="s">
        <v>1112</v>
      </c>
      <c r="C3013" s="458">
        <v>0.7</v>
      </c>
      <c r="D3013" s="459" t="s">
        <v>10</v>
      </c>
      <c r="E3013" s="288" t="s">
        <v>1239</v>
      </c>
      <c r="F3013" s="401"/>
      <c r="G3013" s="392" t="s">
        <v>1147</v>
      </c>
      <c r="H3013" s="450">
        <f>(C3011+2*C3014)*(C3012+2*C3014)</f>
        <v>17.062000000000001</v>
      </c>
      <c r="I3013" s="196" t="s">
        <v>1213</v>
      </c>
      <c r="J3013" s="196"/>
      <c r="AW3013" s="117"/>
      <c r="AX3013" s="117"/>
      <c r="AY3013" s="117"/>
      <c r="AZ3013" s="117"/>
      <c r="BA3013" s="117"/>
      <c r="BB3013" s="117"/>
      <c r="BC3013" s="117"/>
      <c r="BD3013" s="117"/>
    </row>
    <row r="3014" spans="1:56" ht="15">
      <c r="A3014" s="114"/>
      <c r="B3014" s="457" t="s">
        <v>1113</v>
      </c>
      <c r="C3014" s="458">
        <v>0.5</v>
      </c>
      <c r="D3014" s="459" t="s">
        <v>10</v>
      </c>
      <c r="E3014" s="361" t="s">
        <v>1120</v>
      </c>
      <c r="F3014" s="401"/>
      <c r="G3014" s="392"/>
      <c r="H3014" s="393"/>
      <c r="I3014" s="196"/>
      <c r="J3014" s="196"/>
      <c r="AW3014" s="117"/>
      <c r="AX3014" s="117"/>
      <c r="AY3014" s="117"/>
      <c r="AZ3014" s="117"/>
      <c r="BA3014" s="117"/>
      <c r="BB3014" s="117"/>
      <c r="BC3014" s="117"/>
      <c r="BD3014" s="117"/>
    </row>
    <row r="3015" spans="1:56" ht="15">
      <c r="A3015" s="114"/>
      <c r="B3015" s="457" t="s">
        <v>1113</v>
      </c>
      <c r="C3015" s="458">
        <v>0.1</v>
      </c>
      <c r="D3015" s="459" t="s">
        <v>10</v>
      </c>
      <c r="E3015" s="361" t="s">
        <v>1121</v>
      </c>
      <c r="F3015" s="401"/>
      <c r="G3015" s="392"/>
      <c r="H3015" s="393"/>
      <c r="I3015" s="196"/>
      <c r="J3015" s="196"/>
      <c r="AW3015" s="117"/>
      <c r="AX3015" s="117"/>
      <c r="AY3015" s="117"/>
      <c r="AZ3015" s="117"/>
      <c r="BA3015" s="117"/>
      <c r="BB3015" s="117"/>
      <c r="BC3015" s="117"/>
      <c r="BD3015" s="117"/>
    </row>
    <row r="3016" spans="1:56" ht="15">
      <c r="A3016" s="114"/>
      <c r="B3016" s="457" t="s">
        <v>1117</v>
      </c>
      <c r="C3016" s="460">
        <v>1</v>
      </c>
      <c r="D3016" s="459" t="s">
        <v>1118</v>
      </c>
      <c r="E3016" s="401"/>
      <c r="F3016" s="401"/>
      <c r="G3016" s="401"/>
      <c r="H3016" s="392"/>
      <c r="I3016" s="393"/>
      <c r="J3016" s="196"/>
      <c r="AW3016" s="117"/>
      <c r="AX3016" s="117"/>
      <c r="AY3016" s="117"/>
      <c r="AZ3016" s="117"/>
      <c r="BA3016" s="117"/>
      <c r="BB3016" s="117"/>
      <c r="BC3016" s="117"/>
      <c r="BD3016" s="117"/>
    </row>
    <row r="3017" spans="1:56" ht="15">
      <c r="A3017" s="114"/>
      <c r="B3017" s="410"/>
      <c r="C3017" s="410"/>
      <c r="D3017" s="410"/>
      <c r="E3017" s="410"/>
      <c r="F3017" s="401"/>
      <c r="G3017" s="401"/>
      <c r="H3017" s="392"/>
      <c r="I3017" s="393"/>
      <c r="J3017" s="196"/>
      <c r="AW3017" s="117"/>
      <c r="AX3017" s="117"/>
      <c r="AY3017" s="117"/>
      <c r="AZ3017" s="117"/>
      <c r="BA3017" s="117"/>
      <c r="BB3017" s="117"/>
      <c r="BC3017" s="117"/>
      <c r="BD3017" s="117"/>
    </row>
    <row r="3018" spans="1:56" ht="15">
      <c r="A3018" s="114"/>
      <c r="B3018" s="401" t="s">
        <v>1148</v>
      </c>
      <c r="C3018" s="461"/>
      <c r="D3018" s="401"/>
      <c r="E3018" s="401"/>
      <c r="F3018" s="401"/>
      <c r="G3018" s="401"/>
      <c r="H3018" s="392"/>
      <c r="I3018" s="393"/>
      <c r="J3018" s="196"/>
      <c r="AW3018" s="117"/>
      <c r="AX3018" s="117"/>
      <c r="AY3018" s="117"/>
      <c r="AZ3018" s="117"/>
      <c r="BA3018" s="117"/>
      <c r="BB3018" s="117"/>
      <c r="BC3018" s="117"/>
      <c r="BD3018" s="117"/>
    </row>
    <row r="3019" spans="1:56" ht="15">
      <c r="A3019" s="114"/>
      <c r="B3019" s="457" t="s">
        <v>1149</v>
      </c>
      <c r="C3019" s="462">
        <v>60</v>
      </c>
      <c r="D3019" s="459" t="s">
        <v>1150</v>
      </c>
      <c r="E3019" s="401"/>
      <c r="F3019" s="401"/>
      <c r="G3019" s="401" t="s">
        <v>1240</v>
      </c>
      <c r="H3019" s="114"/>
      <c r="I3019" s="362"/>
      <c r="J3019" s="196"/>
      <c r="AW3019" s="117"/>
      <c r="AX3019" s="117"/>
      <c r="AY3019" s="117"/>
      <c r="AZ3019" s="117"/>
      <c r="BA3019" s="117"/>
      <c r="BB3019" s="117"/>
      <c r="BC3019" s="117"/>
      <c r="BD3019" s="117"/>
    </row>
    <row r="3020" spans="1:56" ht="15">
      <c r="A3020" s="114"/>
      <c r="B3020" s="410"/>
      <c r="C3020" s="410"/>
      <c r="D3020" s="410"/>
      <c r="E3020" s="410"/>
      <c r="F3020" s="410"/>
      <c r="G3020" s="410"/>
      <c r="H3020" s="362"/>
      <c r="I3020" s="362"/>
      <c r="J3020" s="196"/>
      <c r="AW3020" s="117"/>
      <c r="AX3020" s="117"/>
      <c r="AY3020" s="117"/>
      <c r="AZ3020" s="117"/>
      <c r="BA3020" s="117"/>
      <c r="BB3020" s="117"/>
      <c r="BC3020" s="117"/>
      <c r="BD3020" s="117"/>
    </row>
    <row r="3021" spans="1:56" ht="15">
      <c r="A3021" s="114"/>
      <c r="B3021" s="303" t="s">
        <v>1122</v>
      </c>
      <c r="C3021" s="410"/>
      <c r="D3021" s="410"/>
      <c r="E3021" s="410"/>
      <c r="F3021" s="410"/>
      <c r="G3021" s="401"/>
      <c r="H3021" s="196"/>
      <c r="I3021" s="362"/>
      <c r="J3021" s="196"/>
      <c r="AW3021" s="117"/>
      <c r="AX3021" s="117"/>
      <c r="AY3021" s="117"/>
      <c r="AZ3021" s="117"/>
      <c r="BA3021" s="117"/>
      <c r="BB3021" s="117"/>
      <c r="BC3021" s="117"/>
      <c r="BD3021" s="117"/>
    </row>
    <row r="3022" spans="1:56" ht="16.5">
      <c r="A3022" s="114"/>
      <c r="B3022" s="463" t="s">
        <v>1123</v>
      </c>
      <c r="C3022" s="464"/>
      <c r="D3022" s="457"/>
      <c r="E3022" s="397">
        <f>C3016*(((H3013+H3012)/2)*(C3013+0.05))</f>
        <v>16.611133647439857</v>
      </c>
      <c r="F3022" s="459" t="s">
        <v>1241</v>
      </c>
      <c r="G3022" s="401"/>
      <c r="H3022" s="362"/>
      <c r="I3022" s="362"/>
      <c r="J3022" s="196"/>
      <c r="AW3022" s="117"/>
      <c r="AX3022" s="117"/>
      <c r="AY3022" s="117"/>
      <c r="AZ3022" s="117"/>
      <c r="BA3022" s="117"/>
      <c r="BB3022" s="117"/>
      <c r="BC3022" s="117"/>
      <c r="BD3022" s="117"/>
    </row>
    <row r="3023" spans="1:56" ht="16.5">
      <c r="A3023" s="114"/>
      <c r="B3023" s="463" t="s">
        <v>1125</v>
      </c>
      <c r="C3023" s="464"/>
      <c r="D3023" s="457"/>
      <c r="E3023" s="400">
        <f>E3022-(E3027+E3029)</f>
        <v>9.4378336474398559</v>
      </c>
      <c r="F3023" s="459" t="s">
        <v>1241</v>
      </c>
      <c r="G3023" s="401"/>
      <c r="H3023" s="196"/>
      <c r="I3023" s="196"/>
      <c r="J3023" s="196"/>
      <c r="AW3023" s="117"/>
      <c r="AX3023" s="117"/>
      <c r="AY3023" s="117"/>
      <c r="AZ3023" s="117"/>
      <c r="BA3023" s="117"/>
      <c r="BB3023" s="117"/>
      <c r="BC3023" s="117"/>
      <c r="BD3023" s="117"/>
    </row>
    <row r="3024" spans="1:56" ht="15">
      <c r="A3024" s="114"/>
      <c r="B3024" s="463" t="s">
        <v>1126</v>
      </c>
      <c r="C3024" s="464"/>
      <c r="D3024" s="457"/>
      <c r="E3024" s="400">
        <f>C3016*((C3011+2*C3015)*(C3012+2*C3015))</f>
        <v>8.9980000000000011</v>
      </c>
      <c r="F3024" s="459" t="s">
        <v>13</v>
      </c>
      <c r="G3024" s="465"/>
      <c r="H3024" s="362"/>
      <c r="I3024" s="362"/>
      <c r="J3024" s="362"/>
      <c r="AW3024" s="117"/>
      <c r="AX3024" s="117"/>
      <c r="AY3024" s="117"/>
      <c r="AZ3024" s="117"/>
      <c r="BA3024" s="117"/>
      <c r="BB3024" s="117"/>
      <c r="BC3024" s="117"/>
      <c r="BD3024" s="117"/>
    </row>
    <row r="3025" spans="1:56" ht="15">
      <c r="A3025" s="114"/>
      <c r="B3025" s="410"/>
      <c r="C3025" s="410"/>
      <c r="D3025" s="410"/>
      <c r="E3025" s="401"/>
      <c r="F3025" s="401"/>
      <c r="G3025" s="465"/>
      <c r="H3025" s="362"/>
      <c r="I3025" s="362"/>
      <c r="J3025" s="362"/>
      <c r="AW3025" s="117"/>
      <c r="AX3025" s="117"/>
      <c r="AY3025" s="117"/>
      <c r="AZ3025" s="117"/>
      <c r="BA3025" s="117"/>
      <c r="BB3025" s="117"/>
      <c r="BC3025" s="117"/>
      <c r="BD3025" s="117"/>
    </row>
    <row r="3026" spans="1:56" ht="15">
      <c r="A3026" s="114"/>
      <c r="B3026" s="303" t="s">
        <v>1245</v>
      </c>
      <c r="C3026" s="410"/>
      <c r="D3026" s="410"/>
      <c r="E3026" s="410"/>
      <c r="F3026" s="410"/>
      <c r="G3026" s="465"/>
      <c r="H3026" s="362"/>
      <c r="I3026" s="362"/>
      <c r="J3026" s="196"/>
      <c r="AW3026" s="117"/>
      <c r="AX3026" s="117"/>
      <c r="AY3026" s="117"/>
      <c r="AZ3026" s="117"/>
      <c r="BA3026" s="117"/>
      <c r="BB3026" s="117"/>
      <c r="BC3026" s="117"/>
      <c r="BD3026" s="117"/>
    </row>
    <row r="3027" spans="1:56" ht="16.5">
      <c r="A3027" s="114"/>
      <c r="B3027" s="463" t="s">
        <v>1128</v>
      </c>
      <c r="C3027" s="464"/>
      <c r="D3027" s="457"/>
      <c r="E3027" s="402">
        <f>E3024*0.05</f>
        <v>0.44990000000000008</v>
      </c>
      <c r="F3027" s="459" t="s">
        <v>1241</v>
      </c>
      <c r="G3027" s="465"/>
      <c r="H3027" s="362"/>
      <c r="I3027" s="362"/>
      <c r="J3027" s="362"/>
      <c r="AW3027" s="117"/>
      <c r="AX3027" s="117"/>
      <c r="AY3027" s="117"/>
      <c r="AZ3027" s="117"/>
      <c r="BA3027" s="117"/>
      <c r="BB3027" s="117"/>
      <c r="BC3027" s="117"/>
      <c r="BD3027" s="117"/>
    </row>
    <row r="3028" spans="1:56" ht="15">
      <c r="A3028" s="114"/>
      <c r="B3028" s="463" t="s">
        <v>1129</v>
      </c>
      <c r="C3028" s="464"/>
      <c r="D3028" s="457"/>
      <c r="E3028" s="397">
        <f>C3016*((2*C3011+2*C3012)*C3013+(2*(C3011-C3008-C3009)+2*(C3012-2*C3008))*(C3013-C3010))</f>
        <v>20.512</v>
      </c>
      <c r="F3028" s="459" t="s">
        <v>13</v>
      </c>
      <c r="G3028" s="465"/>
      <c r="H3028" s="362"/>
      <c r="I3028" s="362"/>
      <c r="J3028" s="362"/>
      <c r="AW3028" s="117"/>
      <c r="AX3028" s="117"/>
      <c r="AY3028" s="117"/>
      <c r="AZ3028" s="117"/>
      <c r="BA3028" s="117"/>
      <c r="BB3028" s="117"/>
      <c r="BC3028" s="117"/>
      <c r="BD3028" s="117"/>
    </row>
    <row r="3029" spans="1:56" ht="16.5">
      <c r="A3029" s="114"/>
      <c r="B3029" s="463" t="s">
        <v>1130</v>
      </c>
      <c r="C3029" s="464"/>
      <c r="D3029" s="457"/>
      <c r="E3029" s="397">
        <f>((C3011*C3012*C3010)+((C3011*C3012)-((C3011-C3008-C3009)*(C3012-C3008-C3008))*(C3013-C3010)))*C3016</f>
        <v>6.7234000000000007</v>
      </c>
      <c r="F3029" s="459" t="s">
        <v>1241</v>
      </c>
      <c r="G3029" s="465"/>
      <c r="H3029" s="362"/>
      <c r="I3029" s="362"/>
      <c r="J3029" s="362"/>
      <c r="AW3029" s="117"/>
      <c r="AX3029" s="117"/>
      <c r="AY3029" s="117"/>
      <c r="AZ3029" s="117"/>
      <c r="BA3029" s="117"/>
      <c r="BB3029" s="117"/>
      <c r="BC3029" s="117"/>
      <c r="BD3029" s="117"/>
    </row>
    <row r="3030" spans="1:56" ht="15">
      <c r="A3030" s="114"/>
      <c r="B3030" s="293"/>
      <c r="C3030" s="387"/>
      <c r="D3030" s="387"/>
      <c r="E3030" s="387"/>
      <c r="F3030" s="387"/>
      <c r="G3030" s="387"/>
      <c r="H3030" s="386"/>
      <c r="I3030" s="386"/>
      <c r="J3030" s="114"/>
      <c r="AW3030" s="117"/>
      <c r="AX3030" s="117"/>
      <c r="AY3030" s="117"/>
      <c r="AZ3030" s="117"/>
      <c r="BA3030" s="117"/>
      <c r="BB3030" s="117"/>
      <c r="BC3030" s="117"/>
      <c r="BD3030" s="117"/>
    </row>
    <row r="3031" spans="1:56">
      <c r="A3031" s="114"/>
      <c r="B3031" s="385" t="s">
        <v>1206</v>
      </c>
      <c r="C3031" s="196"/>
      <c r="D3031" s="196"/>
      <c r="E3031" s="196"/>
      <c r="F3031" s="196"/>
      <c r="G3031" s="196"/>
      <c r="H3031" s="196"/>
      <c r="I3031" s="196"/>
      <c r="J3031" s="196"/>
      <c r="AX3031" s="117"/>
      <c r="AY3031" s="117"/>
      <c r="AZ3031" s="117"/>
      <c r="BA3031" s="117"/>
      <c r="BB3031" s="117"/>
      <c r="BC3031" s="117"/>
      <c r="BD3031" s="117"/>
    </row>
    <row r="3032" spans="1:56" ht="15">
      <c r="A3032" s="114"/>
      <c r="B3032" s="362"/>
      <c r="C3032" s="362"/>
      <c r="D3032" s="362"/>
      <c r="E3032" s="362"/>
      <c r="F3032" s="404"/>
      <c r="G3032" s="404"/>
      <c r="H3032" s="404"/>
      <c r="I3032" s="404"/>
      <c r="J3032" s="404"/>
      <c r="AX3032" s="117"/>
      <c r="AY3032" s="117"/>
      <c r="AZ3032" s="117"/>
      <c r="BA3032" s="117"/>
      <c r="BB3032" s="117"/>
      <c r="BC3032" s="117"/>
      <c r="BD3032" s="117"/>
    </row>
    <row r="3033" spans="1:56" ht="18">
      <c r="A3033" s="114"/>
      <c r="B3033" s="388" t="s">
        <v>1207</v>
      </c>
      <c r="C3033" s="389">
        <v>0</v>
      </c>
      <c r="D3033" s="390" t="s">
        <v>10</v>
      </c>
      <c r="E3033" s="196"/>
      <c r="F3033" s="405"/>
      <c r="G3033" s="441" t="s">
        <v>1142</v>
      </c>
      <c r="H3033" s="442">
        <f>C3033*C3034</f>
        <v>0</v>
      </c>
      <c r="I3033" s="443" t="s">
        <v>1208</v>
      </c>
      <c r="J3033" s="405"/>
      <c r="AX3033" s="117"/>
      <c r="AY3033" s="117"/>
      <c r="AZ3033" s="117"/>
      <c r="BA3033" s="117"/>
      <c r="BB3033" s="117"/>
      <c r="BC3033" s="117"/>
      <c r="BD3033" s="117"/>
    </row>
    <row r="3034" spans="1:56" ht="15">
      <c r="A3034" s="114"/>
      <c r="B3034" s="388" t="s">
        <v>1207</v>
      </c>
      <c r="C3034" s="389">
        <v>0</v>
      </c>
      <c r="D3034" s="390" t="s">
        <v>10</v>
      </c>
      <c r="E3034" s="196"/>
      <c r="F3034" s="405"/>
      <c r="G3034" s="441" t="e">
        <f>TEXT(C3042,"tg 0°=")</f>
        <v>#VALUE!</v>
      </c>
      <c r="H3034" s="444">
        <f>TAN(3.14159265359*C3042/180)</f>
        <v>1.732050807569153</v>
      </c>
      <c r="I3034" s="443"/>
      <c r="J3034" s="405"/>
      <c r="AX3034" s="117"/>
      <c r="AY3034" s="117"/>
      <c r="AZ3034" s="117"/>
      <c r="BA3034" s="117"/>
      <c r="BB3034" s="117"/>
      <c r="BC3034" s="117"/>
      <c r="BD3034" s="117"/>
    </row>
    <row r="3035" spans="1:56" ht="15">
      <c r="A3035" s="114"/>
      <c r="B3035" s="388" t="s">
        <v>1110</v>
      </c>
      <c r="C3035" s="389">
        <v>2.85</v>
      </c>
      <c r="D3035" s="390" t="s">
        <v>10</v>
      </c>
      <c r="E3035" s="196"/>
      <c r="F3035" s="405"/>
      <c r="G3035" s="441"/>
      <c r="H3035" s="442"/>
      <c r="I3035" s="443"/>
      <c r="J3035" s="405"/>
      <c r="AX3035" s="117"/>
      <c r="AY3035" s="117"/>
      <c r="AZ3035" s="117"/>
      <c r="BA3035" s="117"/>
      <c r="BB3035" s="117"/>
      <c r="BC3035" s="117"/>
      <c r="BD3035" s="117"/>
    </row>
    <row r="3036" spans="1:56" ht="18">
      <c r="A3036" s="114"/>
      <c r="B3036" s="388" t="s">
        <v>1111</v>
      </c>
      <c r="C3036" s="389">
        <v>2.1800000000000002</v>
      </c>
      <c r="D3036" s="390" t="s">
        <v>10</v>
      </c>
      <c r="E3036" s="196"/>
      <c r="F3036" s="405"/>
      <c r="G3036" s="441" t="s">
        <v>1142</v>
      </c>
      <c r="H3036" s="445">
        <f>(C3035+2*C3044+((C3037+C3038+0.05)/H3034)*2)*(C3036+2*C3044+((C3037+C3038+0.05)/H3034)*2)</f>
        <v>20.628790306324021</v>
      </c>
      <c r="I3036" s="443" t="s">
        <v>1208</v>
      </c>
      <c r="J3036" s="405"/>
      <c r="AX3036" s="117"/>
      <c r="AY3036" s="117"/>
      <c r="AZ3036" s="117"/>
      <c r="BA3036" s="117"/>
      <c r="BB3036" s="117"/>
      <c r="BC3036" s="117"/>
      <c r="BD3036" s="117"/>
    </row>
    <row r="3037" spans="1:56" ht="18">
      <c r="A3037" s="114"/>
      <c r="B3037" s="388" t="s">
        <v>1112</v>
      </c>
      <c r="C3037" s="389">
        <v>0.6</v>
      </c>
      <c r="D3037" s="390" t="s">
        <v>10</v>
      </c>
      <c r="E3037" s="196"/>
      <c r="F3037" s="405"/>
      <c r="G3037" s="441" t="s">
        <v>1147</v>
      </c>
      <c r="H3037" s="445">
        <f>(C3035+2*C3044)*(C3036+2*C3044)</f>
        <v>12.243</v>
      </c>
      <c r="I3037" s="443" t="s">
        <v>1208</v>
      </c>
      <c r="J3037" s="405"/>
      <c r="AX3037" s="117"/>
      <c r="AY3037" s="117"/>
      <c r="AZ3037" s="117"/>
      <c r="BA3037" s="117"/>
      <c r="BB3037" s="117"/>
      <c r="BC3037" s="117"/>
      <c r="BD3037" s="117"/>
    </row>
    <row r="3038" spans="1:56" ht="15">
      <c r="A3038" s="114"/>
      <c r="B3038" s="388" t="s">
        <v>1113</v>
      </c>
      <c r="C3038" s="389">
        <v>0.25</v>
      </c>
      <c r="D3038" s="390" t="s">
        <v>10</v>
      </c>
      <c r="E3038" s="196"/>
      <c r="F3038" s="405"/>
      <c r="G3038" s="441"/>
      <c r="H3038" s="442"/>
      <c r="I3038" s="443"/>
      <c r="J3038" s="405"/>
      <c r="AX3038" s="117"/>
      <c r="AY3038" s="117"/>
      <c r="AZ3038" s="117"/>
      <c r="BA3038" s="117"/>
      <c r="BB3038" s="117"/>
      <c r="BC3038" s="117"/>
      <c r="BD3038" s="117"/>
    </row>
    <row r="3039" spans="1:56" ht="15">
      <c r="A3039" s="114"/>
      <c r="B3039" s="388" t="s">
        <v>1114</v>
      </c>
      <c r="C3039" s="389">
        <v>0.35</v>
      </c>
      <c r="D3039" s="390" t="s">
        <v>10</v>
      </c>
      <c r="E3039" s="196"/>
      <c r="F3039" s="405"/>
      <c r="G3039" s="441"/>
      <c r="H3039" s="442"/>
      <c r="I3039" s="443"/>
      <c r="J3039" s="405"/>
      <c r="AX3039" s="117"/>
      <c r="AY3039" s="117"/>
      <c r="AZ3039" s="117"/>
      <c r="BA3039" s="117"/>
      <c r="BB3039" s="117"/>
      <c r="BC3039" s="117"/>
      <c r="BD3039" s="117"/>
    </row>
    <row r="3040" spans="1:56" ht="15">
      <c r="A3040" s="114"/>
      <c r="B3040" s="388" t="s">
        <v>1117</v>
      </c>
      <c r="C3040" s="391">
        <v>1</v>
      </c>
      <c r="D3040" s="390" t="s">
        <v>1118</v>
      </c>
      <c r="E3040" s="196"/>
      <c r="F3040" s="405"/>
      <c r="G3040" s="406"/>
      <c r="H3040" s="407"/>
      <c r="I3040" s="405"/>
      <c r="J3040" s="405"/>
      <c r="AX3040" s="117"/>
      <c r="AY3040" s="117"/>
      <c r="AZ3040" s="117"/>
      <c r="BA3040" s="117"/>
      <c r="BB3040" s="117"/>
      <c r="BC3040" s="117"/>
      <c r="BD3040" s="117"/>
    </row>
    <row r="3041" spans="1:56" ht="15">
      <c r="A3041" s="114"/>
      <c r="B3041" s="196" t="s">
        <v>1148</v>
      </c>
      <c r="C3041" s="393"/>
      <c r="D3041" s="196"/>
      <c r="E3041" s="196"/>
      <c r="F3041" s="405"/>
      <c r="G3041" s="406"/>
      <c r="H3041" s="407"/>
      <c r="I3041" s="405"/>
      <c r="J3041" s="405"/>
      <c r="AX3041" s="117"/>
      <c r="AY3041" s="117"/>
      <c r="AZ3041" s="117"/>
      <c r="BA3041" s="117"/>
      <c r="BB3041" s="117"/>
      <c r="BC3041" s="117"/>
      <c r="BD3041" s="117"/>
    </row>
    <row r="3042" spans="1:56" ht="15">
      <c r="A3042" s="114"/>
      <c r="B3042" s="388" t="s">
        <v>1149</v>
      </c>
      <c r="C3042" s="389">
        <v>60</v>
      </c>
      <c r="D3042" s="390" t="s">
        <v>1150</v>
      </c>
      <c r="E3042" s="196"/>
      <c r="F3042" s="196"/>
      <c r="G3042" s="392"/>
      <c r="H3042" s="393"/>
      <c r="I3042" s="196"/>
      <c r="J3042" s="196"/>
      <c r="AX3042" s="117"/>
      <c r="AY3042" s="117"/>
      <c r="AZ3042" s="117"/>
      <c r="BA3042" s="117"/>
      <c r="BB3042" s="117"/>
      <c r="BC3042" s="117"/>
      <c r="BD3042" s="117"/>
    </row>
    <row r="3043" spans="1:56" ht="15">
      <c r="A3043" s="114"/>
      <c r="B3043" s="362"/>
      <c r="C3043" s="196"/>
      <c r="D3043" s="196"/>
      <c r="E3043" s="196"/>
      <c r="F3043" s="196"/>
      <c r="G3043" s="362"/>
      <c r="H3043" s="362"/>
      <c r="I3043" s="362"/>
      <c r="J3043" s="196"/>
      <c r="AX3043" s="117"/>
      <c r="AY3043" s="117"/>
      <c r="AZ3043" s="117"/>
      <c r="BA3043" s="117"/>
      <c r="BB3043" s="117"/>
      <c r="BC3043" s="117"/>
      <c r="BD3043" s="117"/>
    </row>
    <row r="3044" spans="1:56">
      <c r="A3044" s="114"/>
      <c r="B3044" s="388" t="s">
        <v>1115</v>
      </c>
      <c r="C3044" s="389">
        <v>0.5</v>
      </c>
      <c r="D3044" s="390" t="s">
        <v>10</v>
      </c>
      <c r="E3044" s="288" t="s">
        <v>1120</v>
      </c>
      <c r="F3044" s="196"/>
      <c r="G3044" s="362"/>
      <c r="H3044" s="115"/>
      <c r="I3044" s="362"/>
      <c r="J3044" s="196"/>
      <c r="AX3044" s="117"/>
      <c r="AY3044" s="117"/>
      <c r="AZ3044" s="117"/>
      <c r="BA3044" s="117"/>
      <c r="BB3044" s="117"/>
      <c r="BC3044" s="117"/>
      <c r="BD3044" s="117"/>
    </row>
    <row r="3045" spans="1:56" ht="15">
      <c r="A3045" s="114"/>
      <c r="B3045" s="388" t="s">
        <v>1115</v>
      </c>
      <c r="C3045" s="389">
        <v>0.1</v>
      </c>
      <c r="D3045" s="390" t="s">
        <v>10</v>
      </c>
      <c r="E3045" s="288" t="s">
        <v>1121</v>
      </c>
      <c r="F3045" s="196"/>
      <c r="G3045" s="196"/>
      <c r="H3045" s="196"/>
      <c r="I3045" s="196"/>
      <c r="J3045" s="196"/>
      <c r="AX3045" s="117"/>
      <c r="AY3045" s="117"/>
      <c r="AZ3045" s="117"/>
      <c r="BA3045" s="117"/>
      <c r="BB3045" s="117"/>
      <c r="BC3045" s="117"/>
      <c r="BD3045" s="117"/>
    </row>
    <row r="3046" spans="1:56" ht="15">
      <c r="A3046" s="114"/>
      <c r="B3046" s="362"/>
      <c r="C3046" s="362"/>
      <c r="D3046" s="362"/>
      <c r="E3046" s="362"/>
      <c r="F3046" s="362"/>
      <c r="G3046" s="114"/>
      <c r="H3046" s="362"/>
      <c r="I3046" s="196"/>
      <c r="J3046" s="196"/>
      <c r="AX3046" s="117"/>
      <c r="AY3046" s="117"/>
      <c r="AZ3046" s="117"/>
      <c r="BA3046" s="117"/>
      <c r="BB3046" s="117"/>
      <c r="BC3046" s="117"/>
      <c r="BD3046" s="117"/>
    </row>
    <row r="3047" spans="1:56" ht="15">
      <c r="A3047" s="114"/>
      <c r="B3047" s="303" t="s">
        <v>1122</v>
      </c>
      <c r="C3047" s="362"/>
      <c r="D3047" s="362"/>
      <c r="E3047" s="362"/>
      <c r="F3047" s="362"/>
      <c r="G3047" s="196"/>
      <c r="H3047" s="196"/>
      <c r="I3047" s="196"/>
      <c r="J3047" s="196"/>
      <c r="AX3047" s="117"/>
      <c r="AY3047" s="117"/>
      <c r="AZ3047" s="117"/>
      <c r="BA3047" s="117"/>
      <c r="BB3047" s="117"/>
      <c r="BC3047" s="117"/>
      <c r="BD3047" s="117"/>
    </row>
    <row r="3048" spans="1:56" ht="18">
      <c r="A3048" s="114"/>
      <c r="B3048" s="398" t="s">
        <v>1123</v>
      </c>
      <c r="C3048" s="172"/>
      <c r="D3048" s="173"/>
      <c r="E3048" s="397">
        <f>C3040*((H3037+H3036)/2)*(C3037-C3038+0.05)</f>
        <v>6.574358061264804</v>
      </c>
      <c r="F3048" s="390" t="s">
        <v>1124</v>
      </c>
      <c r="G3048" s="196"/>
      <c r="H3048" s="115"/>
      <c r="I3048" s="362"/>
      <c r="J3048" s="362"/>
      <c r="AX3048" s="117"/>
      <c r="AY3048" s="117"/>
      <c r="AZ3048" s="117"/>
      <c r="BA3048" s="117"/>
      <c r="BB3048" s="117"/>
      <c r="BC3048" s="117"/>
      <c r="BD3048" s="117"/>
    </row>
    <row r="3049" spans="1:56" ht="18">
      <c r="A3049" s="114"/>
      <c r="B3049" s="398" t="s">
        <v>1125</v>
      </c>
      <c r="C3049" s="172"/>
      <c r="D3049" s="173"/>
      <c r="E3049" s="400">
        <f>E3048-(E3056-(C3035*C3036*C3038))</f>
        <v>4.3998080612648041</v>
      </c>
      <c r="F3049" s="390" t="s">
        <v>1124</v>
      </c>
      <c r="G3049" s="196"/>
      <c r="H3049" s="196"/>
      <c r="I3049" s="196"/>
      <c r="J3049" s="196"/>
      <c r="AX3049" s="117"/>
      <c r="AY3049" s="117"/>
      <c r="AZ3049" s="117"/>
      <c r="BA3049" s="117"/>
      <c r="BB3049" s="117"/>
      <c r="BC3049" s="117"/>
      <c r="BD3049" s="117"/>
    </row>
    <row r="3050" spans="1:56" ht="15">
      <c r="A3050" s="114"/>
      <c r="B3050" s="398" t="s">
        <v>1126</v>
      </c>
      <c r="C3050" s="172"/>
      <c r="D3050" s="173"/>
      <c r="E3050" s="400">
        <f>((C3035+2*C3045)*(C3036+2*C3045))*C3040</f>
        <v>7.2590000000000012</v>
      </c>
      <c r="F3050" s="390" t="s">
        <v>13</v>
      </c>
      <c r="G3050" s="362"/>
      <c r="H3050" s="362"/>
      <c r="I3050" s="362"/>
      <c r="J3050" s="362"/>
      <c r="AX3050" s="117"/>
      <c r="AY3050" s="117"/>
      <c r="AZ3050" s="117"/>
      <c r="BA3050" s="117"/>
      <c r="BB3050" s="117"/>
      <c r="BC3050" s="117"/>
      <c r="BD3050" s="117"/>
    </row>
    <row r="3051" spans="1:56" ht="15">
      <c r="A3051" s="114"/>
      <c r="B3051" s="362"/>
      <c r="C3051" s="362"/>
      <c r="D3051" s="362"/>
      <c r="E3051" s="401"/>
      <c r="F3051" s="196"/>
      <c r="G3051" s="362"/>
      <c r="H3051" s="362"/>
      <c r="I3051" s="362"/>
      <c r="J3051" s="362"/>
      <c r="AX3051" s="117"/>
      <c r="AY3051" s="117"/>
      <c r="AZ3051" s="117"/>
      <c r="BA3051" s="117"/>
      <c r="BB3051" s="117"/>
      <c r="BC3051" s="117"/>
      <c r="BD3051" s="117"/>
    </row>
    <row r="3052" spans="1:56" ht="15">
      <c r="A3052" s="114"/>
      <c r="B3052" s="362"/>
      <c r="C3052" s="362"/>
      <c r="D3052" s="362"/>
      <c r="E3052" s="410"/>
      <c r="F3052" s="362"/>
      <c r="G3052" s="362"/>
      <c r="H3052" s="362"/>
      <c r="I3052" s="362"/>
      <c r="J3052" s="362"/>
      <c r="AX3052" s="117"/>
      <c r="AY3052" s="117"/>
      <c r="AZ3052" s="117"/>
      <c r="BA3052" s="117"/>
      <c r="BB3052" s="117"/>
      <c r="BC3052" s="117"/>
      <c r="BD3052" s="117"/>
    </row>
    <row r="3053" spans="1:56" ht="15">
      <c r="A3053" s="114"/>
      <c r="B3053" s="303" t="s">
        <v>1160</v>
      </c>
      <c r="C3053" s="362"/>
      <c r="D3053" s="362"/>
      <c r="E3053" s="410"/>
      <c r="F3053" s="362"/>
      <c r="G3053" s="362"/>
      <c r="H3053" s="196" t="s">
        <v>1131</v>
      </c>
      <c r="I3053" s="362"/>
      <c r="J3053" s="362"/>
      <c r="AX3053" s="117"/>
      <c r="AY3053" s="117"/>
      <c r="AZ3053" s="117"/>
      <c r="BA3053" s="117"/>
      <c r="BB3053" s="117"/>
      <c r="BC3053" s="117"/>
      <c r="BD3053" s="117"/>
    </row>
    <row r="3054" spans="1:56" ht="18">
      <c r="A3054" s="114"/>
      <c r="B3054" s="398" t="s">
        <v>1128</v>
      </c>
      <c r="C3054" s="172"/>
      <c r="D3054" s="173"/>
      <c r="E3054" s="402">
        <f>E3050*0.05</f>
        <v>0.36295000000000011</v>
      </c>
      <c r="F3054" s="390" t="s">
        <v>1124</v>
      </c>
      <c r="G3054" s="362"/>
      <c r="H3054" s="362"/>
      <c r="I3054" s="362"/>
      <c r="J3054" s="362"/>
      <c r="AX3054" s="117"/>
      <c r="AY3054" s="117"/>
      <c r="AZ3054" s="117"/>
      <c r="BA3054" s="117"/>
      <c r="BB3054" s="117"/>
      <c r="BC3054" s="117"/>
      <c r="BD3054" s="117"/>
    </row>
    <row r="3055" spans="1:56" ht="15">
      <c r="A3055" s="114"/>
      <c r="B3055" s="398" t="s">
        <v>1129</v>
      </c>
      <c r="C3055" s="172"/>
      <c r="D3055" s="173"/>
      <c r="E3055" s="397">
        <f>(2*(C3035+C3036)*C3037)*C3040</f>
        <v>6.0360000000000005</v>
      </c>
      <c r="F3055" s="390" t="s">
        <v>13</v>
      </c>
      <c r="G3055" s="362"/>
      <c r="H3055" s="362"/>
      <c r="I3055" s="362"/>
      <c r="J3055" s="362"/>
      <c r="AX3055" s="117"/>
      <c r="AY3055" s="117"/>
      <c r="AZ3055" s="117"/>
      <c r="BA3055" s="117"/>
      <c r="BB3055" s="117"/>
      <c r="BC3055" s="117"/>
      <c r="BD3055" s="117"/>
    </row>
    <row r="3056" spans="1:56" ht="18">
      <c r="A3056" s="114"/>
      <c r="B3056" s="398" t="s">
        <v>1130</v>
      </c>
      <c r="C3056" s="172"/>
      <c r="D3056" s="173"/>
      <c r="E3056" s="402">
        <f>(C3035*C3036*C3037)*C3040</f>
        <v>3.7278000000000002</v>
      </c>
      <c r="F3056" s="390" t="s">
        <v>1124</v>
      </c>
      <c r="G3056" s="362"/>
      <c r="H3056" s="362"/>
      <c r="I3056" s="362"/>
      <c r="J3056" s="362"/>
      <c r="AX3056" s="117"/>
      <c r="AY3056" s="117"/>
      <c r="AZ3056" s="117"/>
      <c r="BA3056" s="117"/>
      <c r="BB3056" s="117"/>
      <c r="BC3056" s="117"/>
      <c r="BD3056" s="117"/>
    </row>
    <row r="3057" spans="1:56" ht="15">
      <c r="A3057" s="114"/>
      <c r="B3057" s="293"/>
      <c r="C3057" s="387"/>
      <c r="D3057" s="387"/>
      <c r="E3057" s="387"/>
      <c r="F3057" s="387"/>
      <c r="G3057" s="387"/>
      <c r="H3057" s="386"/>
      <c r="I3057" s="386"/>
      <c r="J3057" s="114"/>
      <c r="AW3057" s="117"/>
      <c r="AX3057" s="117"/>
      <c r="AY3057" s="117"/>
      <c r="AZ3057" s="117"/>
      <c r="BA3057" s="117"/>
      <c r="BB3057" s="117"/>
      <c r="BC3057" s="117"/>
      <c r="BD3057" s="117"/>
    </row>
    <row r="3058" spans="1:56" ht="15">
      <c r="A3058" s="114"/>
      <c r="B3058" s="293"/>
      <c r="C3058" s="387"/>
      <c r="D3058" s="387"/>
      <c r="E3058" s="387"/>
      <c r="F3058" s="387"/>
      <c r="G3058" s="387"/>
      <c r="H3058" s="386"/>
      <c r="I3058" s="386"/>
      <c r="J3058" s="114"/>
      <c r="AW3058" s="117"/>
      <c r="AX3058" s="117"/>
      <c r="AY3058" s="117"/>
      <c r="AZ3058" s="117"/>
      <c r="BA3058" s="117"/>
      <c r="BB3058" s="117"/>
      <c r="BC3058" s="117"/>
      <c r="BD3058" s="117"/>
    </row>
    <row r="3059" spans="1:56">
      <c r="A3059" s="114"/>
      <c r="B3059" s="385" t="s">
        <v>1210</v>
      </c>
      <c r="C3059" s="196"/>
      <c r="D3059" s="196"/>
      <c r="E3059" s="196"/>
      <c r="F3059" s="196"/>
      <c r="G3059" s="196"/>
      <c r="H3059" s="196"/>
      <c r="I3059" s="196"/>
      <c r="J3059" s="196"/>
      <c r="AX3059" s="117"/>
      <c r="AY3059" s="117"/>
      <c r="AZ3059" s="117"/>
      <c r="BA3059" s="117"/>
      <c r="BB3059" s="117"/>
      <c r="BC3059" s="117"/>
      <c r="BD3059" s="117"/>
    </row>
    <row r="3060" spans="1:56" ht="15">
      <c r="A3060" s="114"/>
      <c r="B3060" s="362"/>
      <c r="C3060" s="362"/>
      <c r="D3060" s="362"/>
      <c r="E3060" s="362"/>
      <c r="F3060" s="404"/>
      <c r="G3060" s="404"/>
      <c r="H3060" s="404"/>
      <c r="I3060" s="404"/>
      <c r="J3060" s="404"/>
      <c r="AX3060" s="117"/>
      <c r="AY3060" s="117"/>
      <c r="AZ3060" s="117"/>
      <c r="BA3060" s="117"/>
      <c r="BB3060" s="117"/>
      <c r="BC3060" s="117"/>
      <c r="BD3060" s="117"/>
    </row>
    <row r="3061" spans="1:56" ht="18">
      <c r="A3061" s="114"/>
      <c r="B3061" s="388" t="s">
        <v>1207</v>
      </c>
      <c r="C3061" s="389">
        <v>0</v>
      </c>
      <c r="D3061" s="390" t="s">
        <v>10</v>
      </c>
      <c r="E3061" s="196"/>
      <c r="F3061" s="405"/>
      <c r="G3061" s="441" t="s">
        <v>1142</v>
      </c>
      <c r="H3061" s="442">
        <f>C3061*C3062</f>
        <v>0</v>
      </c>
      <c r="I3061" s="443" t="s">
        <v>1208</v>
      </c>
      <c r="J3061" s="405"/>
      <c r="AX3061" s="117"/>
      <c r="AY3061" s="117"/>
      <c r="AZ3061" s="117"/>
      <c r="BA3061" s="117"/>
      <c r="BB3061" s="117"/>
      <c r="BC3061" s="117"/>
      <c r="BD3061" s="117"/>
    </row>
    <row r="3062" spans="1:56" ht="15">
      <c r="A3062" s="114"/>
      <c r="B3062" s="388" t="s">
        <v>1207</v>
      </c>
      <c r="C3062" s="389">
        <v>0</v>
      </c>
      <c r="D3062" s="390" t="s">
        <v>10</v>
      </c>
      <c r="E3062" s="196"/>
      <c r="F3062" s="405"/>
      <c r="G3062" s="441" t="e">
        <f>TEXT(C3070,"tg 0°=")</f>
        <v>#VALUE!</v>
      </c>
      <c r="H3062" s="444">
        <f>TAN(3.14159265359*C3070/180)</f>
        <v>1.732050807569153</v>
      </c>
      <c r="I3062" s="443"/>
      <c r="J3062" s="405"/>
      <c r="AX3062" s="117"/>
      <c r="AY3062" s="117"/>
      <c r="AZ3062" s="117"/>
      <c r="BA3062" s="117"/>
      <c r="BB3062" s="117"/>
      <c r="BC3062" s="117"/>
      <c r="BD3062" s="117"/>
    </row>
    <row r="3063" spans="1:56" ht="15">
      <c r="A3063" s="114"/>
      <c r="B3063" s="388" t="s">
        <v>1110</v>
      </c>
      <c r="C3063" s="389">
        <v>1.52</v>
      </c>
      <c r="D3063" s="390" t="s">
        <v>10</v>
      </c>
      <c r="E3063" s="196"/>
      <c r="F3063" s="405"/>
      <c r="G3063" s="441"/>
      <c r="H3063" s="442"/>
      <c r="I3063" s="443"/>
      <c r="J3063" s="405"/>
      <c r="AX3063" s="117"/>
      <c r="AY3063" s="117"/>
      <c r="AZ3063" s="117"/>
      <c r="BA3063" s="117"/>
      <c r="BB3063" s="117"/>
      <c r="BC3063" s="117"/>
      <c r="BD3063" s="117"/>
    </row>
    <row r="3064" spans="1:56" ht="18">
      <c r="A3064" s="114"/>
      <c r="B3064" s="388" t="s">
        <v>1111</v>
      </c>
      <c r="C3064" s="389">
        <v>2.1800000000000002</v>
      </c>
      <c r="D3064" s="390" t="s">
        <v>10</v>
      </c>
      <c r="E3064" s="196"/>
      <c r="F3064" s="405"/>
      <c r="G3064" s="441" t="s">
        <v>1142</v>
      </c>
      <c r="H3064" s="445">
        <f>(C3063+2*C3072+((C3065+C3066+0.05)/H3062)*2)*(C3064+2*C3072+((C3065+C3066+0.05)/H3062)*2)</f>
        <v>16.866905708969579</v>
      </c>
      <c r="I3064" s="443" t="s">
        <v>1208</v>
      </c>
      <c r="J3064" s="405"/>
      <c r="AX3064" s="117"/>
      <c r="AY3064" s="117"/>
      <c r="AZ3064" s="117"/>
      <c r="BA3064" s="117"/>
      <c r="BB3064" s="117"/>
      <c r="BC3064" s="117"/>
      <c r="BD3064" s="117"/>
    </row>
    <row r="3065" spans="1:56" ht="18">
      <c r="A3065" s="114"/>
      <c r="B3065" s="388" t="s">
        <v>1112</v>
      </c>
      <c r="C3065" s="389">
        <v>0.8</v>
      </c>
      <c r="D3065" s="390" t="s">
        <v>10</v>
      </c>
      <c r="E3065" s="196"/>
      <c r="F3065" s="405"/>
      <c r="G3065" s="441" t="s">
        <v>1147</v>
      </c>
      <c r="H3065" s="445">
        <f>(C3063+2*C3072)*(C3064+2*C3072)</f>
        <v>8.0136000000000003</v>
      </c>
      <c r="I3065" s="443" t="s">
        <v>1208</v>
      </c>
      <c r="J3065" s="405"/>
      <c r="AX3065" s="117"/>
      <c r="AY3065" s="117"/>
      <c r="AZ3065" s="117"/>
      <c r="BA3065" s="117"/>
      <c r="BB3065" s="117"/>
      <c r="BC3065" s="117"/>
      <c r="BD3065" s="117"/>
    </row>
    <row r="3066" spans="1:56" ht="15">
      <c r="A3066" s="114"/>
      <c r="B3066" s="388" t="s">
        <v>1113</v>
      </c>
      <c r="C3066" s="389">
        <v>0.25</v>
      </c>
      <c r="D3066" s="390" t="s">
        <v>10</v>
      </c>
      <c r="E3066" s="196"/>
      <c r="F3066" s="405"/>
      <c r="G3066" s="441"/>
      <c r="H3066" s="442"/>
      <c r="I3066" s="443"/>
      <c r="J3066" s="405"/>
      <c r="AX3066" s="117"/>
      <c r="AY3066" s="117"/>
      <c r="AZ3066" s="117"/>
      <c r="BA3066" s="117"/>
      <c r="BB3066" s="117"/>
      <c r="BC3066" s="117"/>
      <c r="BD3066" s="117"/>
    </row>
    <row r="3067" spans="1:56" ht="15">
      <c r="A3067" s="114"/>
      <c r="B3067" s="388" t="s">
        <v>1114</v>
      </c>
      <c r="C3067" s="389">
        <v>0.55000000000000004</v>
      </c>
      <c r="D3067" s="390" t="s">
        <v>10</v>
      </c>
      <c r="E3067" s="196"/>
      <c r="F3067" s="405"/>
      <c r="G3067" s="441"/>
      <c r="H3067" s="442"/>
      <c r="I3067" s="443"/>
      <c r="J3067" s="405"/>
      <c r="AX3067" s="117"/>
      <c r="AY3067" s="117"/>
      <c r="AZ3067" s="117"/>
      <c r="BA3067" s="117"/>
      <c r="BB3067" s="117"/>
      <c r="BC3067" s="117"/>
      <c r="BD3067" s="117"/>
    </row>
    <row r="3068" spans="1:56" ht="15">
      <c r="A3068" s="114"/>
      <c r="B3068" s="388" t="s">
        <v>1117</v>
      </c>
      <c r="C3068" s="391">
        <v>3</v>
      </c>
      <c r="D3068" s="390" t="s">
        <v>1118</v>
      </c>
      <c r="E3068" s="196"/>
      <c r="F3068" s="405"/>
      <c r="G3068" s="406"/>
      <c r="H3068" s="407"/>
      <c r="I3068" s="405"/>
      <c r="J3068" s="405"/>
      <c r="AX3068" s="117"/>
      <c r="AY3068" s="117"/>
      <c r="AZ3068" s="117"/>
      <c r="BA3068" s="117"/>
      <c r="BB3068" s="117"/>
      <c r="BC3068" s="117"/>
      <c r="BD3068" s="117"/>
    </row>
    <row r="3069" spans="1:56" ht="15">
      <c r="A3069" s="114"/>
      <c r="B3069" s="196" t="s">
        <v>1148</v>
      </c>
      <c r="C3069" s="393"/>
      <c r="D3069" s="196"/>
      <c r="E3069" s="196"/>
      <c r="F3069" s="405"/>
      <c r="G3069" s="406"/>
      <c r="H3069" s="407"/>
      <c r="I3069" s="405"/>
      <c r="J3069" s="405"/>
      <c r="AX3069" s="117"/>
      <c r="AY3069" s="117"/>
      <c r="AZ3069" s="117"/>
      <c r="BA3069" s="117"/>
      <c r="BB3069" s="117"/>
      <c r="BC3069" s="117"/>
      <c r="BD3069" s="117"/>
    </row>
    <row r="3070" spans="1:56" ht="15">
      <c r="A3070" s="114"/>
      <c r="B3070" s="388" t="s">
        <v>1149</v>
      </c>
      <c r="C3070" s="389">
        <v>60</v>
      </c>
      <c r="D3070" s="390" t="s">
        <v>1150</v>
      </c>
      <c r="E3070" s="196"/>
      <c r="F3070" s="196"/>
      <c r="G3070" s="392"/>
      <c r="H3070" s="393"/>
      <c r="I3070" s="196"/>
      <c r="J3070" s="196"/>
      <c r="AX3070" s="117"/>
      <c r="AY3070" s="117"/>
      <c r="AZ3070" s="117"/>
      <c r="BA3070" s="117"/>
      <c r="BB3070" s="117"/>
      <c r="BC3070" s="117"/>
      <c r="BD3070" s="117"/>
    </row>
    <row r="3071" spans="1:56" ht="15">
      <c r="A3071" s="114"/>
      <c r="B3071" s="362"/>
      <c r="C3071" s="196"/>
      <c r="D3071" s="196"/>
      <c r="E3071" s="196"/>
      <c r="F3071" s="196"/>
      <c r="G3071" s="362"/>
      <c r="H3071" s="362"/>
      <c r="I3071" s="362"/>
      <c r="J3071" s="196"/>
      <c r="AX3071" s="117"/>
      <c r="AY3071" s="117"/>
      <c r="AZ3071" s="117"/>
      <c r="BA3071" s="117"/>
      <c r="BB3071" s="117"/>
      <c r="BC3071" s="117"/>
      <c r="BD3071" s="117"/>
    </row>
    <row r="3072" spans="1:56">
      <c r="A3072" s="114"/>
      <c r="B3072" s="388" t="s">
        <v>1115</v>
      </c>
      <c r="C3072" s="389">
        <v>0.5</v>
      </c>
      <c r="D3072" s="390" t="s">
        <v>10</v>
      </c>
      <c r="E3072" s="288" t="s">
        <v>1120</v>
      </c>
      <c r="F3072" s="196"/>
      <c r="G3072" s="362"/>
      <c r="H3072" s="115"/>
      <c r="I3072" s="362"/>
      <c r="J3072" s="196"/>
      <c r="AX3072" s="117"/>
      <c r="AY3072" s="117"/>
      <c r="AZ3072" s="117"/>
      <c r="BA3072" s="117"/>
      <c r="BB3072" s="117"/>
      <c r="BC3072" s="117"/>
      <c r="BD3072" s="117"/>
    </row>
    <row r="3073" spans="1:56" ht="15">
      <c r="A3073" s="114"/>
      <c r="B3073" s="388" t="s">
        <v>1115</v>
      </c>
      <c r="C3073" s="389">
        <v>0.1</v>
      </c>
      <c r="D3073" s="390" t="s">
        <v>10</v>
      </c>
      <c r="E3073" s="288" t="s">
        <v>1121</v>
      </c>
      <c r="F3073" s="196"/>
      <c r="G3073" s="196"/>
      <c r="H3073" s="196"/>
      <c r="I3073" s="196"/>
      <c r="J3073" s="196"/>
      <c r="AX3073" s="117"/>
      <c r="AY3073" s="117"/>
      <c r="AZ3073" s="117"/>
      <c r="BA3073" s="117"/>
      <c r="BB3073" s="117"/>
      <c r="BC3073" s="117"/>
      <c r="BD3073" s="117"/>
    </row>
    <row r="3074" spans="1:56" ht="15">
      <c r="A3074" s="114"/>
      <c r="B3074" s="362"/>
      <c r="C3074" s="362"/>
      <c r="D3074" s="362"/>
      <c r="E3074" s="362"/>
      <c r="F3074" s="362"/>
      <c r="G3074" s="114"/>
      <c r="H3074" s="362"/>
      <c r="I3074" s="196"/>
      <c r="J3074" s="196"/>
      <c r="AX3074" s="117"/>
      <c r="AY3074" s="117"/>
      <c r="AZ3074" s="117"/>
      <c r="BA3074" s="117"/>
      <c r="BB3074" s="117"/>
      <c r="BC3074" s="117"/>
      <c r="BD3074" s="117"/>
    </row>
    <row r="3075" spans="1:56" ht="15">
      <c r="A3075" s="114"/>
      <c r="B3075" s="303" t="s">
        <v>1122</v>
      </c>
      <c r="C3075" s="362"/>
      <c r="D3075" s="362"/>
      <c r="E3075" s="362"/>
      <c r="F3075" s="362"/>
      <c r="G3075" s="196"/>
      <c r="H3075" s="196"/>
      <c r="I3075" s="196"/>
      <c r="J3075" s="196"/>
      <c r="AX3075" s="117"/>
      <c r="AY3075" s="117"/>
      <c r="AZ3075" s="117"/>
      <c r="BA3075" s="117"/>
      <c r="BB3075" s="117"/>
      <c r="BC3075" s="117"/>
      <c r="BD3075" s="117"/>
    </row>
    <row r="3076" spans="1:56" ht="18">
      <c r="A3076" s="114"/>
      <c r="B3076" s="398" t="s">
        <v>1123</v>
      </c>
      <c r="C3076" s="172"/>
      <c r="D3076" s="173"/>
      <c r="E3076" s="397">
        <f>C3068*((H3065+H3064)/2)*(C3065-C3066+0.05)</f>
        <v>22.392455138072624</v>
      </c>
      <c r="F3076" s="390" t="s">
        <v>1124</v>
      </c>
      <c r="G3076" s="196"/>
      <c r="H3076" s="115"/>
      <c r="I3076" s="362"/>
      <c r="J3076" s="362"/>
      <c r="AX3076" s="117"/>
      <c r="AY3076" s="117"/>
      <c r="AZ3076" s="117"/>
      <c r="BA3076" s="117"/>
      <c r="BB3076" s="117"/>
      <c r="BC3076" s="117"/>
      <c r="BD3076" s="117"/>
    </row>
    <row r="3077" spans="1:56" ht="18">
      <c r="A3077" s="114"/>
      <c r="B3077" s="398" t="s">
        <v>1125</v>
      </c>
      <c r="C3077" s="172"/>
      <c r="D3077" s="173"/>
      <c r="E3077" s="400">
        <f>E3076-(E3084-(C3063*C3064*C3066))</f>
        <v>15.268215138072623</v>
      </c>
      <c r="F3077" s="390" t="s">
        <v>1124</v>
      </c>
      <c r="G3077" s="196"/>
      <c r="H3077" s="196"/>
      <c r="I3077" s="196"/>
      <c r="J3077" s="196"/>
      <c r="AX3077" s="117"/>
      <c r="AY3077" s="117"/>
      <c r="AZ3077" s="117"/>
      <c r="BA3077" s="117"/>
      <c r="BB3077" s="117"/>
      <c r="BC3077" s="117"/>
      <c r="BD3077" s="117"/>
    </row>
    <row r="3078" spans="1:56" ht="15">
      <c r="A3078" s="114"/>
      <c r="B3078" s="398" t="s">
        <v>1126</v>
      </c>
      <c r="C3078" s="172"/>
      <c r="D3078" s="173"/>
      <c r="E3078" s="400">
        <f>((C3063+2*C3073)*(C3064+2*C3073))*C3068</f>
        <v>12.280800000000001</v>
      </c>
      <c r="F3078" s="390" t="s">
        <v>13</v>
      </c>
      <c r="G3078" s="362"/>
      <c r="H3078" s="362"/>
      <c r="I3078" s="362"/>
      <c r="J3078" s="362"/>
      <c r="AX3078" s="117"/>
      <c r="AY3078" s="117"/>
      <c r="AZ3078" s="117"/>
      <c r="BA3078" s="117"/>
      <c r="BB3078" s="117"/>
      <c r="BC3078" s="117"/>
      <c r="BD3078" s="117"/>
    </row>
    <row r="3079" spans="1:56" ht="15">
      <c r="A3079" s="114"/>
      <c r="B3079" s="362"/>
      <c r="C3079" s="362"/>
      <c r="D3079" s="362"/>
      <c r="E3079" s="401"/>
      <c r="F3079" s="196"/>
      <c r="G3079" s="362"/>
      <c r="H3079" s="362"/>
      <c r="I3079" s="362"/>
      <c r="J3079" s="362"/>
      <c r="AX3079" s="117"/>
      <c r="AY3079" s="117"/>
      <c r="AZ3079" s="117"/>
      <c r="BA3079" s="117"/>
      <c r="BB3079" s="117"/>
      <c r="BC3079" s="117"/>
      <c r="BD3079" s="117"/>
    </row>
    <row r="3080" spans="1:56" ht="15">
      <c r="A3080" s="114"/>
      <c r="B3080" s="362"/>
      <c r="C3080" s="362"/>
      <c r="D3080" s="362"/>
      <c r="E3080" s="410"/>
      <c r="F3080" s="362"/>
      <c r="G3080" s="362"/>
      <c r="H3080" s="362"/>
      <c r="I3080" s="362"/>
      <c r="J3080" s="362"/>
      <c r="AX3080" s="117"/>
      <c r="AY3080" s="117"/>
      <c r="AZ3080" s="117"/>
      <c r="BA3080" s="117"/>
      <c r="BB3080" s="117"/>
      <c r="BC3080" s="117"/>
      <c r="BD3080" s="117"/>
    </row>
    <row r="3081" spans="1:56" ht="15">
      <c r="A3081" s="114"/>
      <c r="B3081" s="303" t="s">
        <v>1160</v>
      </c>
      <c r="C3081" s="362"/>
      <c r="D3081" s="362"/>
      <c r="E3081" s="410"/>
      <c r="F3081" s="362"/>
      <c r="G3081" s="362"/>
      <c r="H3081" s="196" t="s">
        <v>1131</v>
      </c>
      <c r="I3081" s="362"/>
      <c r="J3081" s="362"/>
      <c r="AX3081" s="117"/>
      <c r="AY3081" s="117"/>
      <c r="AZ3081" s="117"/>
      <c r="BA3081" s="117"/>
      <c r="BB3081" s="117"/>
      <c r="BC3081" s="117"/>
      <c r="BD3081" s="117"/>
    </row>
    <row r="3082" spans="1:56" ht="18">
      <c r="A3082" s="114"/>
      <c r="B3082" s="398" t="s">
        <v>1128</v>
      </c>
      <c r="C3082" s="172"/>
      <c r="D3082" s="173"/>
      <c r="E3082" s="402">
        <f>E3078*0.05</f>
        <v>0.61404000000000014</v>
      </c>
      <c r="F3082" s="390" t="s">
        <v>1124</v>
      </c>
      <c r="G3082" s="362"/>
      <c r="H3082" s="362"/>
      <c r="I3082" s="362"/>
      <c r="J3082" s="362"/>
      <c r="AX3082" s="117"/>
      <c r="AY3082" s="117"/>
      <c r="AZ3082" s="117"/>
      <c r="BA3082" s="117"/>
      <c r="BB3082" s="117"/>
      <c r="BC3082" s="117"/>
      <c r="BD3082" s="117"/>
    </row>
    <row r="3083" spans="1:56" ht="15">
      <c r="A3083" s="114"/>
      <c r="B3083" s="398" t="s">
        <v>1129</v>
      </c>
      <c r="C3083" s="172"/>
      <c r="D3083" s="173"/>
      <c r="E3083" s="397">
        <f>(2*(C3063+C3064)*C3065)*C3068</f>
        <v>17.760000000000002</v>
      </c>
      <c r="F3083" s="390" t="s">
        <v>13</v>
      </c>
      <c r="G3083" s="362"/>
      <c r="H3083" s="362"/>
      <c r="I3083" s="362"/>
      <c r="J3083" s="362"/>
      <c r="AX3083" s="117"/>
      <c r="AY3083" s="117"/>
      <c r="AZ3083" s="117"/>
      <c r="BA3083" s="117"/>
      <c r="BB3083" s="117"/>
      <c r="BC3083" s="117"/>
      <c r="BD3083" s="117"/>
    </row>
    <row r="3084" spans="1:56" ht="18">
      <c r="A3084" s="114"/>
      <c r="B3084" s="398" t="s">
        <v>1130</v>
      </c>
      <c r="C3084" s="172"/>
      <c r="D3084" s="173"/>
      <c r="E3084" s="402">
        <f>(C3063*C3064*C3065)*C3068</f>
        <v>7.9526400000000006</v>
      </c>
      <c r="F3084" s="390" t="s">
        <v>1124</v>
      </c>
      <c r="G3084" s="362"/>
      <c r="H3084" s="362"/>
      <c r="I3084" s="362"/>
      <c r="J3084" s="362"/>
      <c r="AX3084" s="117"/>
      <c r="AY3084" s="117"/>
      <c r="AZ3084" s="117"/>
      <c r="BA3084" s="117"/>
      <c r="BB3084" s="117"/>
      <c r="BC3084" s="117"/>
      <c r="BD3084" s="117"/>
    </row>
    <row r="3085" spans="1:56" ht="15">
      <c r="A3085" s="114"/>
      <c r="B3085" s="293"/>
      <c r="C3085" s="387"/>
      <c r="D3085" s="387"/>
      <c r="E3085" s="387"/>
      <c r="F3085" s="387"/>
      <c r="G3085" s="387"/>
      <c r="H3085" s="386"/>
      <c r="I3085" s="386"/>
      <c r="J3085" s="114"/>
      <c r="AW3085" s="117"/>
      <c r="AX3085" s="117"/>
      <c r="AY3085" s="117"/>
      <c r="AZ3085" s="117"/>
      <c r="BA3085" s="117"/>
      <c r="BB3085" s="117"/>
      <c r="BC3085" s="117"/>
      <c r="BD3085" s="117"/>
    </row>
    <row r="3086" spans="1:56" ht="15">
      <c r="A3086" s="114"/>
      <c r="B3086" s="293"/>
      <c r="C3086" s="387"/>
      <c r="D3086" s="387"/>
      <c r="E3086" s="387"/>
      <c r="F3086" s="387"/>
      <c r="G3086" s="387"/>
      <c r="H3086" s="386"/>
      <c r="I3086" s="386"/>
      <c r="J3086" s="114"/>
      <c r="AW3086" s="117"/>
      <c r="AX3086" s="117"/>
      <c r="AY3086" s="117"/>
      <c r="AZ3086" s="117"/>
      <c r="BA3086" s="117"/>
      <c r="BB3086" s="117"/>
      <c r="BC3086" s="117"/>
      <c r="BD3086" s="117"/>
    </row>
    <row r="3087" spans="1:56">
      <c r="A3087" s="114"/>
      <c r="B3087" s="385" t="s">
        <v>1247</v>
      </c>
      <c r="C3087" s="196"/>
      <c r="D3087" s="196"/>
      <c r="E3087" s="196"/>
      <c r="F3087" s="196"/>
      <c r="G3087" s="196"/>
      <c r="H3087" s="196"/>
      <c r="I3087" s="196"/>
      <c r="J3087" s="196"/>
      <c r="AX3087" s="117"/>
      <c r="AY3087" s="117"/>
      <c r="AZ3087" s="117"/>
      <c r="BA3087" s="117"/>
      <c r="BB3087" s="117"/>
      <c r="BC3087" s="117"/>
      <c r="BD3087" s="117"/>
    </row>
    <row r="3088" spans="1:56" ht="15">
      <c r="A3088" s="114"/>
      <c r="B3088" s="362"/>
      <c r="C3088" s="362"/>
      <c r="D3088" s="362"/>
      <c r="E3088" s="362"/>
      <c r="F3088" s="404"/>
      <c r="G3088" s="404"/>
      <c r="H3088" s="404"/>
      <c r="I3088" s="404"/>
      <c r="J3088" s="404"/>
      <c r="AX3088" s="117"/>
      <c r="AY3088" s="117"/>
      <c r="AZ3088" s="117"/>
      <c r="BA3088" s="117"/>
      <c r="BB3088" s="117"/>
      <c r="BC3088" s="117"/>
      <c r="BD3088" s="117"/>
    </row>
    <row r="3089" spans="1:56" ht="18">
      <c r="A3089" s="114"/>
      <c r="B3089" s="388" t="s">
        <v>1207</v>
      </c>
      <c r="C3089" s="389">
        <v>0</v>
      </c>
      <c r="D3089" s="390" t="s">
        <v>10</v>
      </c>
      <c r="E3089" s="196"/>
      <c r="F3089" s="405"/>
      <c r="G3089" s="441" t="s">
        <v>1142</v>
      </c>
      <c r="H3089" s="442">
        <f>C3089*C3090</f>
        <v>0</v>
      </c>
      <c r="I3089" s="443" t="s">
        <v>1208</v>
      </c>
      <c r="J3089" s="405"/>
      <c r="AX3089" s="117"/>
      <c r="AY3089" s="117"/>
      <c r="AZ3089" s="117"/>
      <c r="BA3089" s="117"/>
      <c r="BB3089" s="117"/>
      <c r="BC3089" s="117"/>
      <c r="BD3089" s="117"/>
    </row>
    <row r="3090" spans="1:56" ht="15">
      <c r="A3090" s="114"/>
      <c r="B3090" s="388" t="s">
        <v>1207</v>
      </c>
      <c r="C3090" s="389">
        <v>0</v>
      </c>
      <c r="D3090" s="390" t="s">
        <v>10</v>
      </c>
      <c r="E3090" s="196"/>
      <c r="F3090" s="405"/>
      <c r="G3090" s="441" t="e">
        <f>TEXT(C3098,"tg 0°=")</f>
        <v>#VALUE!</v>
      </c>
      <c r="H3090" s="444">
        <f>TAN(3.14159265359*C3098/180)</f>
        <v>1.732050807569153</v>
      </c>
      <c r="I3090" s="443"/>
      <c r="J3090" s="405"/>
      <c r="AX3090" s="117"/>
      <c r="AY3090" s="117"/>
      <c r="AZ3090" s="117"/>
      <c r="BA3090" s="117"/>
      <c r="BB3090" s="117"/>
      <c r="BC3090" s="117"/>
      <c r="BD3090" s="117"/>
    </row>
    <row r="3091" spans="1:56" ht="15">
      <c r="A3091" s="114"/>
      <c r="B3091" s="388" t="s">
        <v>1110</v>
      </c>
      <c r="C3091" s="389">
        <v>2</v>
      </c>
      <c r="D3091" s="390" t="s">
        <v>10</v>
      </c>
      <c r="E3091" s="196"/>
      <c r="F3091" s="405"/>
      <c r="G3091" s="441"/>
      <c r="H3091" s="442"/>
      <c r="I3091" s="443"/>
      <c r="J3091" s="405"/>
      <c r="AX3091" s="117"/>
      <c r="AY3091" s="117"/>
      <c r="AZ3091" s="117"/>
      <c r="BA3091" s="117"/>
      <c r="BB3091" s="117"/>
      <c r="BC3091" s="117"/>
      <c r="BD3091" s="117"/>
    </row>
    <row r="3092" spans="1:56" ht="18">
      <c r="A3092" s="114"/>
      <c r="B3092" s="388" t="s">
        <v>1111</v>
      </c>
      <c r="C3092" s="389">
        <v>6</v>
      </c>
      <c r="D3092" s="390" t="s">
        <v>10</v>
      </c>
      <c r="E3092" s="196"/>
      <c r="F3092" s="405"/>
      <c r="G3092" s="441" t="s">
        <v>1142</v>
      </c>
      <c r="H3092" s="445">
        <f>(C3091+2*C3100+((C3093+C3094+0.05)/H3090)*2)*(C3092+2*C3100+((C3093+C3094+0.05)/H3090)*2)</f>
        <v>32.472304845411266</v>
      </c>
      <c r="I3092" s="443" t="s">
        <v>1208</v>
      </c>
      <c r="J3092" s="405"/>
      <c r="AX3092" s="117"/>
      <c r="AY3092" s="117"/>
      <c r="AZ3092" s="117"/>
      <c r="BA3092" s="117"/>
      <c r="BB3092" s="117"/>
      <c r="BC3092" s="117"/>
      <c r="BD3092" s="117"/>
    </row>
    <row r="3093" spans="1:56" ht="18">
      <c r="A3093" s="114"/>
      <c r="B3093" s="388" t="s">
        <v>1112</v>
      </c>
      <c r="C3093" s="389">
        <v>0.6</v>
      </c>
      <c r="D3093" s="390" t="s">
        <v>10</v>
      </c>
      <c r="E3093" s="196"/>
      <c r="F3093" s="405"/>
      <c r="G3093" s="441" t="s">
        <v>1147</v>
      </c>
      <c r="H3093" s="445">
        <f>(C3091+2*C3100)*(C3092+2*C3100)</f>
        <v>21</v>
      </c>
      <c r="I3093" s="443" t="s">
        <v>1208</v>
      </c>
      <c r="J3093" s="405"/>
      <c r="AX3093" s="117"/>
      <c r="AY3093" s="117"/>
      <c r="AZ3093" s="117"/>
      <c r="BA3093" s="117"/>
      <c r="BB3093" s="117"/>
      <c r="BC3093" s="117"/>
      <c r="BD3093" s="117"/>
    </row>
    <row r="3094" spans="1:56" ht="15">
      <c r="A3094" s="114"/>
      <c r="B3094" s="388" t="s">
        <v>1113</v>
      </c>
      <c r="C3094" s="389">
        <v>0.25</v>
      </c>
      <c r="D3094" s="390" t="s">
        <v>10</v>
      </c>
      <c r="E3094" s="196"/>
      <c r="F3094" s="405"/>
      <c r="G3094" s="441"/>
      <c r="H3094" s="442"/>
      <c r="I3094" s="443"/>
      <c r="J3094" s="405"/>
      <c r="AX3094" s="117"/>
      <c r="AY3094" s="117"/>
      <c r="AZ3094" s="117"/>
      <c r="BA3094" s="117"/>
      <c r="BB3094" s="117"/>
      <c r="BC3094" s="117"/>
      <c r="BD3094" s="117"/>
    </row>
    <row r="3095" spans="1:56" ht="15">
      <c r="A3095" s="114"/>
      <c r="B3095" s="388" t="s">
        <v>1114</v>
      </c>
      <c r="C3095" s="389">
        <v>0.35</v>
      </c>
      <c r="D3095" s="390" t="s">
        <v>10</v>
      </c>
      <c r="E3095" s="196"/>
      <c r="F3095" s="405"/>
      <c r="G3095" s="441"/>
      <c r="H3095" s="442"/>
      <c r="I3095" s="443"/>
      <c r="J3095" s="405"/>
      <c r="AX3095" s="117"/>
      <c r="AY3095" s="117"/>
      <c r="AZ3095" s="117"/>
      <c r="BA3095" s="117"/>
      <c r="BB3095" s="117"/>
      <c r="BC3095" s="117"/>
      <c r="BD3095" s="117"/>
    </row>
    <row r="3096" spans="1:56" ht="15">
      <c r="A3096" s="114"/>
      <c r="B3096" s="388" t="s">
        <v>1117</v>
      </c>
      <c r="C3096" s="391">
        <v>4</v>
      </c>
      <c r="D3096" s="390" t="s">
        <v>1118</v>
      </c>
      <c r="E3096" s="196"/>
      <c r="F3096" s="405"/>
      <c r="G3096" s="406"/>
      <c r="H3096" s="407"/>
      <c r="I3096" s="405"/>
      <c r="J3096" s="405"/>
      <c r="AX3096" s="117"/>
      <c r="AY3096" s="117"/>
      <c r="AZ3096" s="117"/>
      <c r="BA3096" s="117"/>
      <c r="BB3096" s="117"/>
      <c r="BC3096" s="117"/>
      <c r="BD3096" s="117"/>
    </row>
    <row r="3097" spans="1:56" ht="15">
      <c r="A3097" s="114"/>
      <c r="B3097" s="196" t="s">
        <v>1148</v>
      </c>
      <c r="C3097" s="393"/>
      <c r="D3097" s="196"/>
      <c r="E3097" s="196"/>
      <c r="F3097" s="405"/>
      <c r="G3097" s="406"/>
      <c r="H3097" s="407"/>
      <c r="I3097" s="405"/>
      <c r="J3097" s="405"/>
      <c r="AX3097" s="117"/>
      <c r="AY3097" s="117"/>
      <c r="AZ3097" s="117"/>
      <c r="BA3097" s="117"/>
      <c r="BB3097" s="117"/>
      <c r="BC3097" s="117"/>
      <c r="BD3097" s="117"/>
    </row>
    <row r="3098" spans="1:56" ht="15">
      <c r="A3098" s="114"/>
      <c r="B3098" s="388" t="s">
        <v>1149</v>
      </c>
      <c r="C3098" s="389">
        <v>60</v>
      </c>
      <c r="D3098" s="390" t="s">
        <v>1150</v>
      </c>
      <c r="E3098" s="196"/>
      <c r="F3098" s="196"/>
      <c r="G3098" s="392"/>
      <c r="H3098" s="393"/>
      <c r="I3098" s="196"/>
      <c r="J3098" s="196"/>
      <c r="AX3098" s="117"/>
      <c r="AY3098" s="117"/>
      <c r="AZ3098" s="117"/>
      <c r="BA3098" s="117"/>
      <c r="BB3098" s="117"/>
      <c r="BC3098" s="117"/>
      <c r="BD3098" s="117"/>
    </row>
    <row r="3099" spans="1:56" ht="15">
      <c r="A3099" s="114"/>
      <c r="B3099" s="362"/>
      <c r="C3099" s="196"/>
      <c r="D3099" s="196"/>
      <c r="E3099" s="196"/>
      <c r="F3099" s="196"/>
      <c r="G3099" s="362"/>
      <c r="H3099" s="362"/>
      <c r="I3099" s="362"/>
      <c r="J3099" s="196"/>
      <c r="AX3099" s="117"/>
      <c r="AY3099" s="117"/>
      <c r="AZ3099" s="117"/>
      <c r="BA3099" s="117"/>
      <c r="BB3099" s="117"/>
      <c r="BC3099" s="117"/>
      <c r="BD3099" s="117"/>
    </row>
    <row r="3100" spans="1:56">
      <c r="A3100" s="114"/>
      <c r="B3100" s="388" t="s">
        <v>1115</v>
      </c>
      <c r="C3100" s="389">
        <v>0.5</v>
      </c>
      <c r="D3100" s="390" t="s">
        <v>10</v>
      </c>
      <c r="E3100" s="288" t="s">
        <v>1120</v>
      </c>
      <c r="F3100" s="196"/>
      <c r="G3100" s="362"/>
      <c r="H3100" s="115"/>
      <c r="I3100" s="362"/>
      <c r="J3100" s="196"/>
      <c r="AX3100" s="117"/>
      <c r="AY3100" s="117"/>
      <c r="AZ3100" s="117"/>
      <c r="BA3100" s="117"/>
      <c r="BB3100" s="117"/>
      <c r="BC3100" s="117"/>
      <c r="BD3100" s="117"/>
    </row>
    <row r="3101" spans="1:56" ht="15">
      <c r="A3101" s="114"/>
      <c r="B3101" s="388" t="s">
        <v>1115</v>
      </c>
      <c r="C3101" s="389">
        <v>0.1</v>
      </c>
      <c r="D3101" s="390" t="s">
        <v>10</v>
      </c>
      <c r="E3101" s="288" t="s">
        <v>1121</v>
      </c>
      <c r="F3101" s="196"/>
      <c r="G3101" s="196"/>
      <c r="H3101" s="196"/>
      <c r="I3101" s="196"/>
      <c r="J3101" s="196"/>
      <c r="AX3101" s="117"/>
      <c r="AY3101" s="117"/>
      <c r="AZ3101" s="117"/>
      <c r="BA3101" s="117"/>
      <c r="BB3101" s="117"/>
      <c r="BC3101" s="117"/>
      <c r="BD3101" s="117"/>
    </row>
    <row r="3102" spans="1:56" ht="15">
      <c r="A3102" s="114"/>
      <c r="B3102" s="362"/>
      <c r="C3102" s="362"/>
      <c r="D3102" s="362"/>
      <c r="E3102" s="362"/>
      <c r="F3102" s="362"/>
      <c r="G3102" s="114"/>
      <c r="H3102" s="362"/>
      <c r="I3102" s="196"/>
      <c r="J3102" s="196"/>
      <c r="AX3102" s="117"/>
      <c r="AY3102" s="117"/>
      <c r="AZ3102" s="117"/>
      <c r="BA3102" s="117"/>
      <c r="BB3102" s="117"/>
      <c r="BC3102" s="117"/>
      <c r="BD3102" s="117"/>
    </row>
    <row r="3103" spans="1:56" ht="15">
      <c r="A3103" s="114"/>
      <c r="B3103" s="303" t="s">
        <v>1122</v>
      </c>
      <c r="C3103" s="362"/>
      <c r="D3103" s="362"/>
      <c r="E3103" s="362"/>
      <c r="F3103" s="362"/>
      <c r="G3103" s="196"/>
      <c r="H3103" s="196"/>
      <c r="I3103" s="196"/>
      <c r="J3103" s="196"/>
      <c r="AX3103" s="117"/>
      <c r="AY3103" s="117"/>
      <c r="AZ3103" s="117"/>
      <c r="BA3103" s="117"/>
      <c r="BB3103" s="117"/>
      <c r="BC3103" s="117"/>
      <c r="BD3103" s="117"/>
    </row>
    <row r="3104" spans="1:56" ht="18">
      <c r="A3104" s="114"/>
      <c r="B3104" s="398" t="s">
        <v>1123</v>
      </c>
      <c r="C3104" s="172"/>
      <c r="D3104" s="173"/>
      <c r="E3104" s="397">
        <f>C3096*((H3093+H3092)/2)*(C3093-C3094+0.05)</f>
        <v>42.777843876329008</v>
      </c>
      <c r="F3104" s="390" t="s">
        <v>1124</v>
      </c>
      <c r="G3104" s="196"/>
      <c r="H3104" s="115"/>
      <c r="I3104" s="362"/>
      <c r="J3104" s="362"/>
      <c r="AX3104" s="117"/>
      <c r="AY3104" s="117"/>
      <c r="AZ3104" s="117"/>
      <c r="BA3104" s="117"/>
      <c r="BB3104" s="117"/>
      <c r="BC3104" s="117"/>
      <c r="BD3104" s="117"/>
    </row>
    <row r="3105" spans="1:56" ht="18">
      <c r="A3105" s="114"/>
      <c r="B3105" s="398" t="s">
        <v>1125</v>
      </c>
      <c r="C3105" s="172"/>
      <c r="D3105" s="173"/>
      <c r="E3105" s="400">
        <f>E3104-(E3112-(C3091*C3092*C3094))</f>
        <v>16.977843876329011</v>
      </c>
      <c r="F3105" s="390" t="s">
        <v>1124</v>
      </c>
      <c r="G3105" s="196"/>
      <c r="H3105" s="196"/>
      <c r="I3105" s="196"/>
      <c r="J3105" s="196"/>
      <c r="AX3105" s="117"/>
      <c r="AY3105" s="117"/>
      <c r="AZ3105" s="117"/>
      <c r="BA3105" s="117"/>
      <c r="BB3105" s="117"/>
      <c r="BC3105" s="117"/>
      <c r="BD3105" s="117"/>
    </row>
    <row r="3106" spans="1:56" ht="15">
      <c r="A3106" s="114"/>
      <c r="B3106" s="398" t="s">
        <v>1126</v>
      </c>
      <c r="C3106" s="172"/>
      <c r="D3106" s="173"/>
      <c r="E3106" s="400">
        <f>((C3091+2*C3101)*(C3092+2*C3101))*C3096</f>
        <v>54.560000000000009</v>
      </c>
      <c r="F3106" s="390" t="s">
        <v>13</v>
      </c>
      <c r="G3106" s="362"/>
      <c r="H3106" s="362"/>
      <c r="I3106" s="362"/>
      <c r="J3106" s="362"/>
      <c r="AX3106" s="117"/>
      <c r="AY3106" s="117"/>
      <c r="AZ3106" s="117"/>
      <c r="BA3106" s="117"/>
      <c r="BB3106" s="117"/>
      <c r="BC3106" s="117"/>
      <c r="BD3106" s="117"/>
    </row>
    <row r="3107" spans="1:56" ht="15">
      <c r="A3107" s="114"/>
      <c r="B3107" s="362"/>
      <c r="C3107" s="362"/>
      <c r="D3107" s="362"/>
      <c r="E3107" s="401"/>
      <c r="F3107" s="196"/>
      <c r="G3107" s="362"/>
      <c r="H3107" s="362"/>
      <c r="I3107" s="362"/>
      <c r="J3107" s="362"/>
      <c r="AX3107" s="117"/>
      <c r="AY3107" s="117"/>
      <c r="AZ3107" s="117"/>
      <c r="BA3107" s="117"/>
      <c r="BB3107" s="117"/>
      <c r="BC3107" s="117"/>
      <c r="BD3107" s="117"/>
    </row>
    <row r="3108" spans="1:56" ht="15">
      <c r="A3108" s="114"/>
      <c r="B3108" s="362"/>
      <c r="C3108" s="362"/>
      <c r="D3108" s="362"/>
      <c r="E3108" s="410"/>
      <c r="F3108" s="362"/>
      <c r="G3108" s="362"/>
      <c r="H3108" s="362"/>
      <c r="I3108" s="362"/>
      <c r="J3108" s="362"/>
      <c r="AX3108" s="117"/>
      <c r="AY3108" s="117"/>
      <c r="AZ3108" s="117"/>
      <c r="BA3108" s="117"/>
      <c r="BB3108" s="117"/>
      <c r="BC3108" s="117"/>
      <c r="BD3108" s="117"/>
    </row>
    <row r="3109" spans="1:56" ht="15">
      <c r="A3109" s="114"/>
      <c r="B3109" s="303" t="s">
        <v>1160</v>
      </c>
      <c r="C3109" s="362"/>
      <c r="D3109" s="362"/>
      <c r="E3109" s="410"/>
      <c r="F3109" s="362"/>
      <c r="G3109" s="362"/>
      <c r="H3109" s="196" t="s">
        <v>1131</v>
      </c>
      <c r="I3109" s="362"/>
      <c r="J3109" s="362"/>
      <c r="AX3109" s="117"/>
      <c r="AY3109" s="117"/>
      <c r="AZ3109" s="117"/>
      <c r="BA3109" s="117"/>
      <c r="BB3109" s="117"/>
      <c r="BC3109" s="117"/>
      <c r="BD3109" s="117"/>
    </row>
    <row r="3110" spans="1:56" ht="18">
      <c r="A3110" s="114"/>
      <c r="B3110" s="398" t="s">
        <v>1128</v>
      </c>
      <c r="C3110" s="172"/>
      <c r="D3110" s="173"/>
      <c r="E3110" s="402">
        <f>E3106*0.05</f>
        <v>2.7280000000000006</v>
      </c>
      <c r="F3110" s="390" t="s">
        <v>1124</v>
      </c>
      <c r="G3110" s="362"/>
      <c r="H3110" s="362"/>
      <c r="I3110" s="362"/>
      <c r="J3110" s="362"/>
      <c r="AX3110" s="117"/>
      <c r="AY3110" s="117"/>
      <c r="AZ3110" s="117"/>
      <c r="BA3110" s="117"/>
      <c r="BB3110" s="117"/>
      <c r="BC3110" s="117"/>
      <c r="BD3110" s="117"/>
    </row>
    <row r="3111" spans="1:56" ht="15">
      <c r="A3111" s="114"/>
      <c r="B3111" s="398" t="s">
        <v>1129</v>
      </c>
      <c r="C3111" s="172"/>
      <c r="D3111" s="173"/>
      <c r="E3111" s="397">
        <f>(2*(C3091+C3092)*C3093)*C3096</f>
        <v>38.4</v>
      </c>
      <c r="F3111" s="390" t="s">
        <v>13</v>
      </c>
      <c r="G3111" s="362"/>
      <c r="H3111" s="362"/>
      <c r="I3111" s="362"/>
      <c r="J3111" s="362"/>
      <c r="AX3111" s="117"/>
      <c r="AY3111" s="117"/>
      <c r="AZ3111" s="117"/>
      <c r="BA3111" s="117"/>
      <c r="BB3111" s="117"/>
      <c r="BC3111" s="117"/>
      <c r="BD3111" s="117"/>
    </row>
    <row r="3112" spans="1:56" ht="18">
      <c r="A3112" s="114"/>
      <c r="B3112" s="398" t="s">
        <v>1130</v>
      </c>
      <c r="C3112" s="172"/>
      <c r="D3112" s="173"/>
      <c r="E3112" s="402">
        <f>(C3091*C3092*C3093)*C3096</f>
        <v>28.799999999999997</v>
      </c>
      <c r="F3112" s="390" t="s">
        <v>1124</v>
      </c>
      <c r="G3112" s="362"/>
      <c r="H3112" s="362"/>
      <c r="I3112" s="362"/>
      <c r="J3112" s="362"/>
      <c r="AX3112" s="117"/>
      <c r="AY3112" s="117"/>
      <c r="AZ3112" s="117"/>
      <c r="BA3112" s="117"/>
      <c r="BB3112" s="117"/>
      <c r="BC3112" s="117"/>
      <c r="BD3112" s="117"/>
    </row>
    <row r="3113" spans="1:56" ht="15">
      <c r="A3113" s="114"/>
      <c r="B3113" s="293"/>
      <c r="C3113" s="387"/>
      <c r="D3113" s="387"/>
      <c r="E3113" s="387"/>
      <c r="F3113" s="387"/>
      <c r="G3113" s="387"/>
      <c r="H3113" s="386"/>
      <c r="I3113" s="386"/>
      <c r="J3113" s="114"/>
      <c r="AW3113" s="117"/>
      <c r="AX3113" s="117"/>
      <c r="AY3113" s="117"/>
      <c r="AZ3113" s="117"/>
      <c r="BA3113" s="117"/>
      <c r="BB3113" s="117"/>
      <c r="BC3113" s="117"/>
      <c r="BD3113" s="117"/>
    </row>
    <row r="3114" spans="1:56" ht="15">
      <c r="A3114" s="114"/>
      <c r="B3114" s="293"/>
      <c r="C3114" s="387"/>
      <c r="D3114" s="387"/>
      <c r="E3114" s="387"/>
      <c r="F3114" s="387"/>
      <c r="G3114" s="387"/>
      <c r="H3114" s="386"/>
      <c r="I3114" s="386"/>
      <c r="J3114" s="114"/>
      <c r="AW3114" s="117"/>
      <c r="AX3114" s="117"/>
      <c r="AY3114" s="117"/>
      <c r="AZ3114" s="117"/>
      <c r="BA3114" s="117"/>
      <c r="BB3114" s="117"/>
      <c r="BC3114" s="117"/>
      <c r="BD3114" s="117"/>
    </row>
    <row r="3115" spans="1:56">
      <c r="A3115" s="114"/>
      <c r="B3115" s="385" t="s">
        <v>1248</v>
      </c>
      <c r="C3115" s="196"/>
      <c r="D3115" s="196"/>
      <c r="E3115" s="196"/>
      <c r="F3115" s="196"/>
      <c r="G3115" s="196"/>
      <c r="H3115" s="196"/>
      <c r="I3115" s="196"/>
      <c r="J3115" s="196"/>
      <c r="AX3115" s="117"/>
      <c r="AY3115" s="117"/>
      <c r="AZ3115" s="117"/>
      <c r="BA3115" s="117"/>
      <c r="BB3115" s="117"/>
      <c r="BC3115" s="117"/>
      <c r="BD3115" s="117"/>
    </row>
    <row r="3116" spans="1:56" ht="15">
      <c r="A3116" s="114"/>
      <c r="B3116" s="362"/>
      <c r="C3116" s="362"/>
      <c r="D3116" s="362"/>
      <c r="E3116" s="362"/>
      <c r="F3116" s="404"/>
      <c r="G3116" s="404"/>
      <c r="H3116" s="404"/>
      <c r="I3116" s="404"/>
      <c r="J3116" s="404"/>
      <c r="AX3116" s="117"/>
      <c r="AY3116" s="117"/>
      <c r="AZ3116" s="117"/>
      <c r="BA3116" s="117"/>
      <c r="BB3116" s="117"/>
      <c r="BC3116" s="117"/>
      <c r="BD3116" s="117"/>
    </row>
    <row r="3117" spans="1:56" ht="18">
      <c r="A3117" s="114"/>
      <c r="B3117" s="388" t="s">
        <v>1207</v>
      </c>
      <c r="C3117" s="389">
        <v>0</v>
      </c>
      <c r="D3117" s="390" t="s">
        <v>10</v>
      </c>
      <c r="E3117" s="196"/>
      <c r="F3117" s="405"/>
      <c r="G3117" s="441" t="s">
        <v>1142</v>
      </c>
      <c r="H3117" s="442">
        <f>C3117*C3118</f>
        <v>0</v>
      </c>
      <c r="I3117" s="443" t="s">
        <v>1208</v>
      </c>
      <c r="J3117" s="405"/>
      <c r="AX3117" s="117"/>
      <c r="AY3117" s="117"/>
      <c r="AZ3117" s="117"/>
      <c r="BA3117" s="117"/>
      <c r="BB3117" s="117"/>
      <c r="BC3117" s="117"/>
      <c r="BD3117" s="117"/>
    </row>
    <row r="3118" spans="1:56" ht="15">
      <c r="A3118" s="114"/>
      <c r="B3118" s="388" t="s">
        <v>1207</v>
      </c>
      <c r="C3118" s="389">
        <v>0</v>
      </c>
      <c r="D3118" s="390" t="s">
        <v>10</v>
      </c>
      <c r="E3118" s="196"/>
      <c r="F3118" s="405"/>
      <c r="G3118" s="441" t="e">
        <f>TEXT(C3126,"tg 0°=")</f>
        <v>#VALUE!</v>
      </c>
      <c r="H3118" s="444">
        <f>TAN(3.14159265359*C3126/180)</f>
        <v>1.732050807569153</v>
      </c>
      <c r="I3118" s="443"/>
      <c r="J3118" s="405"/>
      <c r="AX3118" s="117"/>
      <c r="AY3118" s="117"/>
      <c r="AZ3118" s="117"/>
      <c r="BA3118" s="117"/>
      <c r="BB3118" s="117"/>
      <c r="BC3118" s="117"/>
      <c r="BD3118" s="117"/>
    </row>
    <row r="3119" spans="1:56" ht="15">
      <c r="A3119" s="114"/>
      <c r="B3119" s="388" t="s">
        <v>1110</v>
      </c>
      <c r="C3119" s="389">
        <v>1.64</v>
      </c>
      <c r="D3119" s="390" t="s">
        <v>10</v>
      </c>
      <c r="E3119" s="196"/>
      <c r="F3119" s="405"/>
      <c r="G3119" s="441"/>
      <c r="H3119" s="442"/>
      <c r="I3119" s="443"/>
      <c r="J3119" s="405"/>
      <c r="AX3119" s="117"/>
      <c r="AY3119" s="117"/>
      <c r="AZ3119" s="117"/>
      <c r="BA3119" s="117"/>
      <c r="BB3119" s="117"/>
      <c r="BC3119" s="117"/>
      <c r="BD3119" s="117"/>
    </row>
    <row r="3120" spans="1:56" ht="18">
      <c r="A3120" s="114"/>
      <c r="B3120" s="388" t="s">
        <v>1111</v>
      </c>
      <c r="C3120" s="389">
        <v>2.62</v>
      </c>
      <c r="D3120" s="390" t="s">
        <v>10</v>
      </c>
      <c r="E3120" s="196"/>
      <c r="F3120" s="405"/>
      <c r="G3120" s="441" t="s">
        <v>1142</v>
      </c>
      <c r="H3120" s="445">
        <f>(C3119+2*C3128+((C3121+C3122+0.05)/H3118)*2)*(C3120+2*C3128+((C3121+C3122+0.05)/H3118)*2)</f>
        <v>17.142382833227323</v>
      </c>
      <c r="I3120" s="443" t="s">
        <v>1208</v>
      </c>
      <c r="J3120" s="405"/>
      <c r="AX3120" s="117"/>
      <c r="AY3120" s="117"/>
      <c r="AZ3120" s="117"/>
      <c r="BA3120" s="117"/>
      <c r="BB3120" s="117"/>
      <c r="BC3120" s="117"/>
      <c r="BD3120" s="117"/>
    </row>
    <row r="3121" spans="1:56" ht="18">
      <c r="A3121" s="114"/>
      <c r="B3121" s="388" t="s">
        <v>1112</v>
      </c>
      <c r="C3121" s="389">
        <v>0.6</v>
      </c>
      <c r="D3121" s="390" t="s">
        <v>10</v>
      </c>
      <c r="E3121" s="196"/>
      <c r="F3121" s="405"/>
      <c r="G3121" s="441" t="s">
        <v>1147</v>
      </c>
      <c r="H3121" s="445">
        <f>(C3119+2*C3128)*(C3120+2*C3128)</f>
        <v>9.5567999999999991</v>
      </c>
      <c r="I3121" s="443" t="s">
        <v>1208</v>
      </c>
      <c r="J3121" s="405"/>
      <c r="AX3121" s="117"/>
      <c r="AY3121" s="117"/>
      <c r="AZ3121" s="117"/>
      <c r="BA3121" s="117"/>
      <c r="BB3121" s="117"/>
      <c r="BC3121" s="117"/>
      <c r="BD3121" s="117"/>
    </row>
    <row r="3122" spans="1:56" ht="15">
      <c r="A3122" s="114"/>
      <c r="B3122" s="388" t="s">
        <v>1113</v>
      </c>
      <c r="C3122" s="389">
        <v>0.25</v>
      </c>
      <c r="D3122" s="390" t="s">
        <v>10</v>
      </c>
      <c r="E3122" s="196"/>
      <c r="F3122" s="405"/>
      <c r="G3122" s="441"/>
      <c r="H3122" s="442"/>
      <c r="I3122" s="443"/>
      <c r="J3122" s="405"/>
      <c r="AX3122" s="117"/>
      <c r="AY3122" s="117"/>
      <c r="AZ3122" s="117"/>
      <c r="BA3122" s="117"/>
      <c r="BB3122" s="117"/>
      <c r="BC3122" s="117"/>
      <c r="BD3122" s="117"/>
    </row>
    <row r="3123" spans="1:56" ht="15">
      <c r="A3123" s="114"/>
      <c r="B3123" s="388" t="s">
        <v>1114</v>
      </c>
      <c r="C3123" s="389">
        <v>0.35</v>
      </c>
      <c r="D3123" s="390" t="s">
        <v>10</v>
      </c>
      <c r="E3123" s="196"/>
      <c r="F3123" s="405"/>
      <c r="G3123" s="441"/>
      <c r="H3123" s="442"/>
      <c r="I3123" s="443"/>
      <c r="J3123" s="405"/>
      <c r="AX3123" s="117"/>
      <c r="AY3123" s="117"/>
      <c r="AZ3123" s="117"/>
      <c r="BA3123" s="117"/>
      <c r="BB3123" s="117"/>
      <c r="BC3123" s="117"/>
      <c r="BD3123" s="117"/>
    </row>
    <row r="3124" spans="1:56" ht="15">
      <c r="A3124" s="114"/>
      <c r="B3124" s="388" t="s">
        <v>1117</v>
      </c>
      <c r="C3124" s="391">
        <v>1</v>
      </c>
      <c r="D3124" s="390" t="s">
        <v>1118</v>
      </c>
      <c r="E3124" s="196"/>
      <c r="F3124" s="405"/>
      <c r="G3124" s="406"/>
      <c r="H3124" s="407"/>
      <c r="I3124" s="405"/>
      <c r="J3124" s="405"/>
      <c r="AX3124" s="117"/>
      <c r="AY3124" s="117"/>
      <c r="AZ3124" s="117"/>
      <c r="BA3124" s="117"/>
      <c r="BB3124" s="117"/>
      <c r="BC3124" s="117"/>
      <c r="BD3124" s="117"/>
    </row>
    <row r="3125" spans="1:56" ht="15">
      <c r="A3125" s="114"/>
      <c r="B3125" s="196" t="s">
        <v>1148</v>
      </c>
      <c r="C3125" s="393"/>
      <c r="D3125" s="196"/>
      <c r="E3125" s="196"/>
      <c r="F3125" s="405"/>
      <c r="G3125" s="406"/>
      <c r="H3125" s="407"/>
      <c r="I3125" s="405"/>
      <c r="J3125" s="405"/>
      <c r="AX3125" s="117"/>
      <c r="AY3125" s="117"/>
      <c r="AZ3125" s="117"/>
      <c r="BA3125" s="117"/>
      <c r="BB3125" s="117"/>
      <c r="BC3125" s="117"/>
      <c r="BD3125" s="117"/>
    </row>
    <row r="3126" spans="1:56" ht="15">
      <c r="A3126" s="114"/>
      <c r="B3126" s="388" t="s">
        <v>1149</v>
      </c>
      <c r="C3126" s="389">
        <v>60</v>
      </c>
      <c r="D3126" s="390" t="s">
        <v>1150</v>
      </c>
      <c r="E3126" s="196"/>
      <c r="F3126" s="196"/>
      <c r="G3126" s="392"/>
      <c r="H3126" s="393"/>
      <c r="I3126" s="196"/>
      <c r="J3126" s="196"/>
      <c r="AX3126" s="117"/>
      <c r="AY3126" s="117"/>
      <c r="AZ3126" s="117"/>
      <c r="BA3126" s="117"/>
      <c r="BB3126" s="117"/>
      <c r="BC3126" s="117"/>
      <c r="BD3126" s="117"/>
    </row>
    <row r="3127" spans="1:56" ht="15">
      <c r="A3127" s="114"/>
      <c r="B3127" s="362"/>
      <c r="C3127" s="196"/>
      <c r="D3127" s="196"/>
      <c r="E3127" s="196"/>
      <c r="F3127" s="196"/>
      <c r="G3127" s="362"/>
      <c r="H3127" s="362"/>
      <c r="I3127" s="362"/>
      <c r="J3127" s="196"/>
      <c r="AX3127" s="117"/>
      <c r="AY3127" s="117"/>
      <c r="AZ3127" s="117"/>
      <c r="BA3127" s="117"/>
      <c r="BB3127" s="117"/>
      <c r="BC3127" s="117"/>
      <c r="BD3127" s="117"/>
    </row>
    <row r="3128" spans="1:56">
      <c r="A3128" s="114"/>
      <c r="B3128" s="388" t="s">
        <v>1115</v>
      </c>
      <c r="C3128" s="389">
        <v>0.5</v>
      </c>
      <c r="D3128" s="390" t="s">
        <v>10</v>
      </c>
      <c r="E3128" s="288" t="s">
        <v>1120</v>
      </c>
      <c r="F3128" s="196"/>
      <c r="G3128" s="362"/>
      <c r="H3128" s="115"/>
      <c r="I3128" s="362"/>
      <c r="J3128" s="196"/>
      <c r="AX3128" s="117"/>
      <c r="AY3128" s="117"/>
      <c r="AZ3128" s="117"/>
      <c r="BA3128" s="117"/>
      <c r="BB3128" s="117"/>
      <c r="BC3128" s="117"/>
      <c r="BD3128" s="117"/>
    </row>
    <row r="3129" spans="1:56" ht="15">
      <c r="A3129" s="114"/>
      <c r="B3129" s="388" t="s">
        <v>1115</v>
      </c>
      <c r="C3129" s="389">
        <v>0.1</v>
      </c>
      <c r="D3129" s="390" t="s">
        <v>10</v>
      </c>
      <c r="E3129" s="288" t="s">
        <v>1121</v>
      </c>
      <c r="F3129" s="196"/>
      <c r="G3129" s="196"/>
      <c r="H3129" s="196"/>
      <c r="I3129" s="196"/>
      <c r="J3129" s="196"/>
      <c r="AX3129" s="117"/>
      <c r="AY3129" s="117"/>
      <c r="AZ3129" s="117"/>
      <c r="BA3129" s="117"/>
      <c r="BB3129" s="117"/>
      <c r="BC3129" s="117"/>
      <c r="BD3129" s="117"/>
    </row>
    <row r="3130" spans="1:56" ht="15">
      <c r="A3130" s="114"/>
      <c r="B3130" s="362"/>
      <c r="C3130" s="362"/>
      <c r="D3130" s="362"/>
      <c r="E3130" s="362"/>
      <c r="F3130" s="362"/>
      <c r="G3130" s="114"/>
      <c r="H3130" s="362"/>
      <c r="I3130" s="196"/>
      <c r="J3130" s="196"/>
      <c r="AX3130" s="117"/>
      <c r="AY3130" s="117"/>
      <c r="AZ3130" s="117"/>
      <c r="BA3130" s="117"/>
      <c r="BB3130" s="117"/>
      <c r="BC3130" s="117"/>
      <c r="BD3130" s="117"/>
    </row>
    <row r="3131" spans="1:56" ht="15">
      <c r="A3131" s="114"/>
      <c r="B3131" s="303" t="s">
        <v>1122</v>
      </c>
      <c r="C3131" s="362"/>
      <c r="D3131" s="362"/>
      <c r="E3131" s="362"/>
      <c r="F3131" s="362"/>
      <c r="G3131" s="196"/>
      <c r="H3131" s="196"/>
      <c r="I3131" s="196"/>
      <c r="J3131" s="196"/>
      <c r="AX3131" s="117"/>
      <c r="AY3131" s="117"/>
      <c r="AZ3131" s="117"/>
      <c r="BA3131" s="117"/>
      <c r="BB3131" s="117"/>
      <c r="BC3131" s="117"/>
      <c r="BD3131" s="117"/>
    </row>
    <row r="3132" spans="1:56" ht="18">
      <c r="A3132" s="114"/>
      <c r="B3132" s="398" t="s">
        <v>1123</v>
      </c>
      <c r="C3132" s="172"/>
      <c r="D3132" s="173"/>
      <c r="E3132" s="397">
        <f>C3124*((H3121+H3120)/2)*(C3121-C3122+0.05)</f>
        <v>5.3398365666454639</v>
      </c>
      <c r="F3132" s="390" t="s">
        <v>1124</v>
      </c>
      <c r="G3132" s="196"/>
      <c r="H3132" s="115"/>
      <c r="I3132" s="362"/>
      <c r="J3132" s="362"/>
      <c r="AX3132" s="117"/>
      <c r="AY3132" s="117"/>
      <c r="AZ3132" s="117"/>
      <c r="BA3132" s="117"/>
      <c r="BB3132" s="117"/>
      <c r="BC3132" s="117"/>
      <c r="BD3132" s="117"/>
    </row>
    <row r="3133" spans="1:56" ht="18">
      <c r="A3133" s="114"/>
      <c r="B3133" s="398" t="s">
        <v>1125</v>
      </c>
      <c r="C3133" s="172"/>
      <c r="D3133" s="173"/>
      <c r="E3133" s="400">
        <f>E3132-(E3140-(C3119*C3120*C3122))</f>
        <v>3.8359565666454642</v>
      </c>
      <c r="F3133" s="390" t="s">
        <v>1124</v>
      </c>
      <c r="G3133" s="196"/>
      <c r="H3133" s="196"/>
      <c r="I3133" s="196"/>
      <c r="J3133" s="196"/>
      <c r="AX3133" s="117"/>
      <c r="AY3133" s="117"/>
      <c r="AZ3133" s="117"/>
      <c r="BA3133" s="117"/>
      <c r="BB3133" s="117"/>
      <c r="BC3133" s="117"/>
      <c r="BD3133" s="117"/>
    </row>
    <row r="3134" spans="1:56" ht="15">
      <c r="A3134" s="114"/>
      <c r="B3134" s="398" t="s">
        <v>1126</v>
      </c>
      <c r="C3134" s="172"/>
      <c r="D3134" s="173"/>
      <c r="E3134" s="400">
        <f>((C3119+2*C3129)*(C3120+2*C3129))*C3124</f>
        <v>5.1888000000000005</v>
      </c>
      <c r="F3134" s="390" t="s">
        <v>13</v>
      </c>
      <c r="G3134" s="362"/>
      <c r="H3134" s="362"/>
      <c r="I3134" s="362"/>
      <c r="J3134" s="362"/>
      <c r="AX3134" s="117"/>
      <c r="AY3134" s="117"/>
      <c r="AZ3134" s="117"/>
      <c r="BA3134" s="117"/>
      <c r="BB3134" s="117"/>
      <c r="BC3134" s="117"/>
      <c r="BD3134" s="117"/>
    </row>
    <row r="3135" spans="1:56" ht="15">
      <c r="A3135" s="114"/>
      <c r="B3135" s="362"/>
      <c r="C3135" s="362"/>
      <c r="D3135" s="362"/>
      <c r="E3135" s="401"/>
      <c r="F3135" s="196"/>
      <c r="G3135" s="362"/>
      <c r="H3135" s="362"/>
      <c r="I3135" s="362"/>
      <c r="J3135" s="362"/>
      <c r="AX3135" s="117"/>
      <c r="AY3135" s="117"/>
      <c r="AZ3135" s="117"/>
      <c r="BA3135" s="117"/>
      <c r="BB3135" s="117"/>
      <c r="BC3135" s="117"/>
      <c r="BD3135" s="117"/>
    </row>
    <row r="3136" spans="1:56" ht="15">
      <c r="A3136" s="114"/>
      <c r="B3136" s="362"/>
      <c r="C3136" s="362"/>
      <c r="D3136" s="362"/>
      <c r="E3136" s="410"/>
      <c r="F3136" s="362"/>
      <c r="G3136" s="362"/>
      <c r="H3136" s="362"/>
      <c r="I3136" s="362"/>
      <c r="J3136" s="362"/>
      <c r="AX3136" s="117"/>
      <c r="AY3136" s="117"/>
      <c r="AZ3136" s="117"/>
      <c r="BA3136" s="117"/>
      <c r="BB3136" s="117"/>
      <c r="BC3136" s="117"/>
      <c r="BD3136" s="117"/>
    </row>
    <row r="3137" spans="1:56" ht="15">
      <c r="A3137" s="114"/>
      <c r="B3137" s="303" t="s">
        <v>1160</v>
      </c>
      <c r="C3137" s="362"/>
      <c r="D3137" s="362"/>
      <c r="E3137" s="410"/>
      <c r="F3137" s="362"/>
      <c r="G3137" s="362"/>
      <c r="H3137" s="196" t="s">
        <v>1131</v>
      </c>
      <c r="I3137" s="362"/>
      <c r="J3137" s="362"/>
      <c r="AX3137" s="117"/>
      <c r="AY3137" s="117"/>
      <c r="AZ3137" s="117"/>
      <c r="BA3137" s="117"/>
      <c r="BB3137" s="117"/>
      <c r="BC3137" s="117"/>
      <c r="BD3137" s="117"/>
    </row>
    <row r="3138" spans="1:56" ht="18">
      <c r="A3138" s="114"/>
      <c r="B3138" s="398" t="s">
        <v>1128</v>
      </c>
      <c r="C3138" s="172"/>
      <c r="D3138" s="173"/>
      <c r="E3138" s="402">
        <f>E3134*0.05</f>
        <v>0.25944000000000006</v>
      </c>
      <c r="F3138" s="390" t="s">
        <v>1124</v>
      </c>
      <c r="G3138" s="362"/>
      <c r="H3138" s="362"/>
      <c r="I3138" s="362"/>
      <c r="J3138" s="362"/>
      <c r="AX3138" s="117"/>
      <c r="AY3138" s="117"/>
      <c r="AZ3138" s="117"/>
      <c r="BA3138" s="117"/>
      <c r="BB3138" s="117"/>
      <c r="BC3138" s="117"/>
      <c r="BD3138" s="117"/>
    </row>
    <row r="3139" spans="1:56" ht="15">
      <c r="A3139" s="114"/>
      <c r="B3139" s="398" t="s">
        <v>1129</v>
      </c>
      <c r="C3139" s="172"/>
      <c r="D3139" s="173"/>
      <c r="E3139" s="397">
        <f>(2*(C3119+C3120)*C3121)*C3124</f>
        <v>5.1119999999999992</v>
      </c>
      <c r="F3139" s="390" t="s">
        <v>13</v>
      </c>
      <c r="G3139" s="362"/>
      <c r="H3139" s="362"/>
      <c r="I3139" s="362"/>
      <c r="J3139" s="362"/>
      <c r="AX3139" s="117"/>
      <c r="AY3139" s="117"/>
      <c r="AZ3139" s="117"/>
      <c r="BA3139" s="117"/>
      <c r="BB3139" s="117"/>
      <c r="BC3139" s="117"/>
      <c r="BD3139" s="117"/>
    </row>
    <row r="3140" spans="1:56" ht="18">
      <c r="A3140" s="114"/>
      <c r="B3140" s="398" t="s">
        <v>1130</v>
      </c>
      <c r="C3140" s="172"/>
      <c r="D3140" s="173"/>
      <c r="E3140" s="402">
        <f>(C3119*C3120*C3121)*C3124</f>
        <v>2.5780799999999999</v>
      </c>
      <c r="F3140" s="390" t="s">
        <v>1124</v>
      </c>
      <c r="G3140" s="362"/>
      <c r="H3140" s="362"/>
      <c r="I3140" s="362"/>
      <c r="J3140" s="362"/>
      <c r="AX3140" s="117"/>
      <c r="AY3140" s="117"/>
      <c r="AZ3140" s="117"/>
      <c r="BA3140" s="117"/>
      <c r="BB3140" s="117"/>
      <c r="BC3140" s="117"/>
      <c r="BD3140" s="117"/>
    </row>
    <row r="3141" spans="1:56" ht="15">
      <c r="A3141" s="114"/>
      <c r="B3141" s="293"/>
      <c r="C3141" s="387"/>
      <c r="D3141" s="387"/>
      <c r="E3141" s="387"/>
      <c r="F3141" s="387"/>
      <c r="G3141" s="387"/>
      <c r="H3141" s="386"/>
      <c r="I3141" s="386"/>
      <c r="J3141" s="114"/>
      <c r="AW3141" s="117"/>
      <c r="AX3141" s="117"/>
      <c r="AY3141" s="117"/>
      <c r="AZ3141" s="117"/>
      <c r="BA3141" s="117"/>
      <c r="BB3141" s="117"/>
      <c r="BC3141" s="117"/>
      <c r="BD3141" s="117"/>
    </row>
    <row r="3142" spans="1:56" ht="15">
      <c r="A3142" s="114"/>
      <c r="B3142" s="293"/>
      <c r="C3142" s="387"/>
      <c r="D3142" s="387"/>
      <c r="E3142" s="387"/>
      <c r="F3142" s="387"/>
      <c r="G3142" s="387"/>
      <c r="H3142" s="386"/>
      <c r="I3142" s="386"/>
      <c r="J3142" s="114"/>
      <c r="AW3142" s="117"/>
      <c r="AX3142" s="117"/>
      <c r="AY3142" s="117"/>
      <c r="AZ3142" s="117"/>
      <c r="BA3142" s="117"/>
      <c r="BB3142" s="117"/>
      <c r="BC3142" s="117"/>
      <c r="BD3142" s="117"/>
    </row>
    <row r="3143" spans="1:56">
      <c r="A3143" s="114"/>
      <c r="B3143" s="385" t="s">
        <v>1249</v>
      </c>
      <c r="C3143" s="196"/>
      <c r="D3143" s="196"/>
      <c r="E3143" s="196"/>
      <c r="F3143" s="196"/>
      <c r="G3143" s="196"/>
      <c r="H3143" s="196"/>
      <c r="I3143" s="196"/>
      <c r="J3143" s="196"/>
      <c r="AX3143" s="117"/>
      <c r="AY3143" s="117"/>
      <c r="AZ3143" s="117"/>
      <c r="BA3143" s="117"/>
      <c r="BB3143" s="117"/>
      <c r="BC3143" s="117"/>
      <c r="BD3143" s="117"/>
    </row>
    <row r="3144" spans="1:56" ht="15">
      <c r="A3144" s="114"/>
      <c r="B3144" s="362"/>
      <c r="C3144" s="362"/>
      <c r="D3144" s="362"/>
      <c r="E3144" s="362"/>
      <c r="F3144" s="404"/>
      <c r="G3144" s="404"/>
      <c r="H3144" s="404"/>
      <c r="I3144" s="404"/>
      <c r="J3144" s="404"/>
      <c r="AX3144" s="117"/>
      <c r="AY3144" s="117"/>
      <c r="AZ3144" s="117"/>
      <c r="BA3144" s="117"/>
      <c r="BB3144" s="117"/>
      <c r="BC3144" s="117"/>
      <c r="BD3144" s="117"/>
    </row>
    <row r="3145" spans="1:56" ht="18">
      <c r="A3145" s="114"/>
      <c r="B3145" s="388" t="s">
        <v>1207</v>
      </c>
      <c r="C3145" s="389">
        <v>0</v>
      </c>
      <c r="D3145" s="390" t="s">
        <v>10</v>
      </c>
      <c r="E3145" s="196"/>
      <c r="F3145" s="405"/>
      <c r="G3145" s="406" t="s">
        <v>1142</v>
      </c>
      <c r="H3145" s="407">
        <f>C3145*C3146</f>
        <v>0</v>
      </c>
      <c r="I3145" s="405" t="s">
        <v>1143</v>
      </c>
      <c r="J3145" s="405"/>
      <c r="AX3145" s="117"/>
      <c r="AY3145" s="117"/>
      <c r="AZ3145" s="117"/>
      <c r="BA3145" s="117"/>
      <c r="BB3145" s="117"/>
      <c r="BC3145" s="117"/>
      <c r="BD3145" s="117"/>
    </row>
    <row r="3146" spans="1:56" ht="15">
      <c r="A3146" s="114"/>
      <c r="B3146" s="388" t="s">
        <v>1207</v>
      </c>
      <c r="C3146" s="389">
        <v>0</v>
      </c>
      <c r="D3146" s="390" t="s">
        <v>10</v>
      </c>
      <c r="E3146" s="196"/>
      <c r="F3146" s="405"/>
      <c r="G3146" s="406" t="e">
        <f>TEXT(C3154,"tg 0°=")</f>
        <v>#VALUE!</v>
      </c>
      <c r="H3146" s="408">
        <f>TAN(3.14159265359*C3154/180)</f>
        <v>1.732050807569153</v>
      </c>
      <c r="I3146" s="405"/>
      <c r="J3146" s="405"/>
      <c r="AX3146" s="117"/>
      <c r="AY3146" s="117"/>
      <c r="AZ3146" s="117"/>
      <c r="BA3146" s="117"/>
      <c r="BB3146" s="117"/>
      <c r="BC3146" s="117"/>
      <c r="BD3146" s="117"/>
    </row>
    <row r="3147" spans="1:56" ht="15">
      <c r="A3147" s="114"/>
      <c r="B3147" s="388" t="s">
        <v>1110</v>
      </c>
      <c r="C3147" s="389">
        <v>3.27</v>
      </c>
      <c r="D3147" s="390" t="s">
        <v>10</v>
      </c>
      <c r="E3147" s="196"/>
      <c r="F3147" s="405"/>
      <c r="G3147" s="406"/>
      <c r="H3147" s="407"/>
      <c r="I3147" s="405"/>
      <c r="J3147" s="405"/>
      <c r="AX3147" s="117"/>
      <c r="AY3147" s="117"/>
      <c r="AZ3147" s="117"/>
      <c r="BA3147" s="117"/>
      <c r="BB3147" s="117"/>
      <c r="BC3147" s="117"/>
      <c r="BD3147" s="117"/>
    </row>
    <row r="3148" spans="1:56" ht="18">
      <c r="A3148" s="114"/>
      <c r="B3148" s="388" t="s">
        <v>1111</v>
      </c>
      <c r="C3148" s="389">
        <v>2.62</v>
      </c>
      <c r="D3148" s="390" t="s">
        <v>10</v>
      </c>
      <c r="E3148" s="196"/>
      <c r="F3148" s="405"/>
      <c r="G3148" s="406" t="s">
        <v>1142</v>
      </c>
      <c r="H3148" s="409">
        <f>(C3147+2*C3156+((C3149+C3150+0.05)/H3146)*2)*(C3148+2*C3156+((C3149+C3150+0.05)/H3146)*2)</f>
        <v>24.736928523029412</v>
      </c>
      <c r="I3148" s="405" t="s">
        <v>1143</v>
      </c>
      <c r="J3148" s="405"/>
      <c r="AX3148" s="117"/>
      <c r="AY3148" s="117"/>
      <c r="AZ3148" s="117"/>
      <c r="BA3148" s="117"/>
      <c r="BB3148" s="117"/>
      <c r="BC3148" s="117"/>
      <c r="BD3148" s="117"/>
    </row>
    <row r="3149" spans="1:56" ht="18">
      <c r="A3149" s="114"/>
      <c r="B3149" s="388" t="s">
        <v>1112</v>
      </c>
      <c r="C3149" s="389">
        <v>0.6</v>
      </c>
      <c r="D3149" s="390" t="s">
        <v>10</v>
      </c>
      <c r="E3149" s="196"/>
      <c r="F3149" s="405"/>
      <c r="G3149" s="406" t="s">
        <v>1147</v>
      </c>
      <c r="H3149" s="409">
        <f>(C3147+2*C3156)*(C3148+2*C3156)</f>
        <v>15.457399999999998</v>
      </c>
      <c r="I3149" s="405" t="s">
        <v>1143</v>
      </c>
      <c r="J3149" s="405"/>
      <c r="AX3149" s="117"/>
      <c r="AY3149" s="117"/>
      <c r="AZ3149" s="117"/>
      <c r="BA3149" s="117"/>
      <c r="BB3149" s="117"/>
      <c r="BC3149" s="117"/>
      <c r="BD3149" s="117"/>
    </row>
    <row r="3150" spans="1:56" ht="15">
      <c r="A3150" s="114"/>
      <c r="B3150" s="388" t="s">
        <v>1113</v>
      </c>
      <c r="C3150" s="389">
        <v>0.25</v>
      </c>
      <c r="D3150" s="390" t="s">
        <v>10</v>
      </c>
      <c r="E3150" s="196"/>
      <c r="F3150" s="405"/>
      <c r="G3150" s="406"/>
      <c r="H3150" s="407"/>
      <c r="I3150" s="405"/>
      <c r="J3150" s="405"/>
      <c r="AX3150" s="117"/>
      <c r="AY3150" s="117"/>
      <c r="AZ3150" s="117"/>
      <c r="BA3150" s="117"/>
      <c r="BB3150" s="117"/>
      <c r="BC3150" s="117"/>
      <c r="BD3150" s="117"/>
    </row>
    <row r="3151" spans="1:56" ht="15">
      <c r="A3151" s="114"/>
      <c r="B3151" s="388" t="s">
        <v>1114</v>
      </c>
      <c r="C3151" s="389">
        <v>0.35</v>
      </c>
      <c r="D3151" s="390" t="s">
        <v>10</v>
      </c>
      <c r="E3151" s="196"/>
      <c r="F3151" s="405"/>
      <c r="G3151" s="441"/>
      <c r="H3151" s="442"/>
      <c r="I3151" s="443"/>
      <c r="J3151" s="405"/>
      <c r="AX3151" s="117"/>
      <c r="AY3151" s="117"/>
      <c r="AZ3151" s="117"/>
      <c r="BA3151" s="117"/>
      <c r="BB3151" s="117"/>
      <c r="BC3151" s="117"/>
      <c r="BD3151" s="117"/>
    </row>
    <row r="3152" spans="1:56" ht="15">
      <c r="A3152" s="114"/>
      <c r="B3152" s="388" t="s">
        <v>1117</v>
      </c>
      <c r="C3152" s="391">
        <v>1</v>
      </c>
      <c r="D3152" s="390" t="s">
        <v>1118</v>
      </c>
      <c r="E3152" s="196"/>
      <c r="F3152" s="405"/>
      <c r="G3152" s="406"/>
      <c r="H3152" s="407"/>
      <c r="I3152" s="405"/>
      <c r="J3152" s="405"/>
      <c r="AX3152" s="117"/>
      <c r="AY3152" s="117"/>
      <c r="AZ3152" s="117"/>
      <c r="BA3152" s="117"/>
      <c r="BB3152" s="117"/>
      <c r="BC3152" s="117"/>
      <c r="BD3152" s="117"/>
    </row>
    <row r="3153" spans="1:56" ht="15">
      <c r="A3153" s="114"/>
      <c r="B3153" s="196" t="s">
        <v>1148</v>
      </c>
      <c r="C3153" s="393"/>
      <c r="D3153" s="196"/>
      <c r="E3153" s="196"/>
      <c r="F3153" s="405"/>
      <c r="G3153" s="406"/>
      <c r="H3153" s="407"/>
      <c r="I3153" s="405"/>
      <c r="J3153" s="405"/>
      <c r="AX3153" s="117"/>
      <c r="AY3153" s="117"/>
      <c r="AZ3153" s="117"/>
      <c r="BA3153" s="117"/>
      <c r="BB3153" s="117"/>
      <c r="BC3153" s="117"/>
      <c r="BD3153" s="117"/>
    </row>
    <row r="3154" spans="1:56" ht="15">
      <c r="A3154" s="114"/>
      <c r="B3154" s="388" t="s">
        <v>1149</v>
      </c>
      <c r="C3154" s="389">
        <v>60</v>
      </c>
      <c r="D3154" s="390" t="s">
        <v>1150</v>
      </c>
      <c r="E3154" s="196"/>
      <c r="F3154" s="196"/>
      <c r="G3154" s="392"/>
      <c r="H3154" s="393"/>
      <c r="I3154" s="196"/>
      <c r="J3154" s="196"/>
      <c r="AX3154" s="117"/>
      <c r="AY3154" s="117"/>
      <c r="AZ3154" s="117"/>
      <c r="BA3154" s="117"/>
      <c r="BB3154" s="117"/>
      <c r="BC3154" s="117"/>
      <c r="BD3154" s="117"/>
    </row>
    <row r="3155" spans="1:56" ht="15">
      <c r="A3155" s="114"/>
      <c r="B3155" s="362"/>
      <c r="C3155" s="196"/>
      <c r="D3155" s="196"/>
      <c r="E3155" s="196"/>
      <c r="F3155" s="196"/>
      <c r="G3155" s="362"/>
      <c r="H3155" s="362"/>
      <c r="I3155" s="362"/>
      <c r="J3155" s="196"/>
      <c r="AX3155" s="117"/>
      <c r="AY3155" s="117"/>
      <c r="AZ3155" s="117"/>
      <c r="BA3155" s="117"/>
      <c r="BB3155" s="117"/>
      <c r="BC3155" s="117"/>
      <c r="BD3155" s="117"/>
    </row>
    <row r="3156" spans="1:56">
      <c r="A3156" s="114"/>
      <c r="B3156" s="388" t="s">
        <v>1115</v>
      </c>
      <c r="C3156" s="389">
        <v>0.5</v>
      </c>
      <c r="D3156" s="390" t="s">
        <v>10</v>
      </c>
      <c r="E3156" s="288" t="s">
        <v>1120</v>
      </c>
      <c r="F3156" s="196"/>
      <c r="G3156" s="362"/>
      <c r="H3156" s="115"/>
      <c r="I3156" s="362"/>
      <c r="J3156" s="196"/>
      <c r="AX3156" s="117"/>
      <c r="AY3156" s="117"/>
      <c r="AZ3156" s="117"/>
      <c r="BA3156" s="117"/>
      <c r="BB3156" s="117"/>
      <c r="BC3156" s="117"/>
      <c r="BD3156" s="117"/>
    </row>
    <row r="3157" spans="1:56" ht="15">
      <c r="A3157" s="114"/>
      <c r="B3157" s="388" t="s">
        <v>1115</v>
      </c>
      <c r="C3157" s="389">
        <v>0.1</v>
      </c>
      <c r="D3157" s="390" t="s">
        <v>10</v>
      </c>
      <c r="E3157" s="288" t="s">
        <v>1121</v>
      </c>
      <c r="F3157" s="196"/>
      <c r="G3157" s="196"/>
      <c r="H3157" s="196"/>
      <c r="I3157" s="196"/>
      <c r="J3157" s="196"/>
      <c r="AX3157" s="117"/>
      <c r="AY3157" s="117"/>
      <c r="AZ3157" s="117"/>
      <c r="BA3157" s="117"/>
      <c r="BB3157" s="117"/>
      <c r="BC3157" s="117"/>
      <c r="BD3157" s="117"/>
    </row>
    <row r="3158" spans="1:56" ht="15">
      <c r="A3158" s="114"/>
      <c r="B3158" s="362"/>
      <c r="C3158" s="362"/>
      <c r="D3158" s="362"/>
      <c r="E3158" s="362"/>
      <c r="F3158" s="362"/>
      <c r="G3158" s="114"/>
      <c r="H3158" s="362"/>
      <c r="I3158" s="196"/>
      <c r="J3158" s="196"/>
      <c r="AX3158" s="117"/>
      <c r="AY3158" s="117"/>
      <c r="AZ3158" s="117"/>
      <c r="BA3158" s="117"/>
      <c r="BB3158" s="117"/>
      <c r="BC3158" s="117"/>
      <c r="BD3158" s="117"/>
    </row>
    <row r="3159" spans="1:56" ht="15">
      <c r="A3159" s="114"/>
      <c r="B3159" s="303" t="s">
        <v>1122</v>
      </c>
      <c r="C3159" s="362"/>
      <c r="D3159" s="362"/>
      <c r="E3159" s="362"/>
      <c r="F3159" s="362"/>
      <c r="G3159" s="196"/>
      <c r="H3159" s="196"/>
      <c r="I3159" s="196"/>
      <c r="J3159" s="196"/>
      <c r="AX3159" s="117"/>
      <c r="AY3159" s="117"/>
      <c r="AZ3159" s="117"/>
      <c r="BA3159" s="117"/>
      <c r="BB3159" s="117"/>
      <c r="BC3159" s="117"/>
      <c r="BD3159" s="117"/>
    </row>
    <row r="3160" spans="1:56" ht="18">
      <c r="A3160" s="114"/>
      <c r="B3160" s="398" t="s">
        <v>1123</v>
      </c>
      <c r="C3160" s="172"/>
      <c r="D3160" s="173"/>
      <c r="E3160" s="397">
        <f>C3152*((H3149+H3148)/2)*(C3149-C3150+0.05)</f>
        <v>8.0388657046058825</v>
      </c>
      <c r="F3160" s="390" t="s">
        <v>1124</v>
      </c>
      <c r="G3160" s="196"/>
      <c r="H3160" s="115"/>
      <c r="I3160" s="362"/>
      <c r="J3160" s="362"/>
      <c r="AX3160" s="117"/>
      <c r="AY3160" s="117"/>
      <c r="AZ3160" s="117"/>
      <c r="BA3160" s="117"/>
      <c r="BB3160" s="117"/>
      <c r="BC3160" s="117"/>
      <c r="BD3160" s="117"/>
    </row>
    <row r="3161" spans="1:56" ht="18">
      <c r="A3161" s="114"/>
      <c r="B3161" s="398" t="s">
        <v>1125</v>
      </c>
      <c r="C3161" s="172"/>
      <c r="D3161" s="173"/>
      <c r="E3161" s="400">
        <f>E3160-(E3168-(C3147*C3148*C3150))</f>
        <v>5.0402757046058824</v>
      </c>
      <c r="F3161" s="390" t="s">
        <v>1124</v>
      </c>
      <c r="G3161" s="196"/>
      <c r="H3161" s="196"/>
      <c r="I3161" s="196"/>
      <c r="J3161" s="196"/>
      <c r="AX3161" s="117"/>
      <c r="AY3161" s="117"/>
      <c r="AZ3161" s="117"/>
      <c r="BA3161" s="117"/>
      <c r="BB3161" s="117"/>
      <c r="BC3161" s="117"/>
      <c r="BD3161" s="117"/>
    </row>
    <row r="3162" spans="1:56" ht="15">
      <c r="A3162" s="114"/>
      <c r="B3162" s="398" t="s">
        <v>1126</v>
      </c>
      <c r="C3162" s="172"/>
      <c r="D3162" s="173"/>
      <c r="E3162" s="400">
        <f>((C3147+2*C3157)*(C3148+2*C3157))*C3152</f>
        <v>9.785400000000001</v>
      </c>
      <c r="F3162" s="390" t="s">
        <v>13</v>
      </c>
      <c r="G3162" s="362"/>
      <c r="H3162" s="362"/>
      <c r="I3162" s="362"/>
      <c r="J3162" s="362"/>
      <c r="AX3162" s="117"/>
      <c r="AY3162" s="117"/>
      <c r="AZ3162" s="117"/>
      <c r="BA3162" s="117"/>
      <c r="BB3162" s="117"/>
      <c r="BC3162" s="117"/>
      <c r="BD3162" s="117"/>
    </row>
    <row r="3163" spans="1:56" ht="15">
      <c r="A3163" s="114"/>
      <c r="B3163" s="362"/>
      <c r="C3163" s="362"/>
      <c r="D3163" s="362"/>
      <c r="E3163" s="401"/>
      <c r="F3163" s="196"/>
      <c r="G3163" s="362"/>
      <c r="H3163" s="362"/>
      <c r="I3163" s="362"/>
      <c r="J3163" s="362"/>
      <c r="AX3163" s="117"/>
      <c r="AY3163" s="117"/>
      <c r="AZ3163" s="117"/>
      <c r="BA3163" s="117"/>
      <c r="BB3163" s="117"/>
      <c r="BC3163" s="117"/>
      <c r="BD3163" s="117"/>
    </row>
    <row r="3164" spans="1:56" ht="15">
      <c r="A3164" s="114"/>
      <c r="B3164" s="362"/>
      <c r="C3164" s="362"/>
      <c r="D3164" s="362"/>
      <c r="E3164" s="410"/>
      <c r="F3164" s="362"/>
      <c r="G3164" s="362"/>
      <c r="H3164" s="362"/>
      <c r="I3164" s="362"/>
      <c r="J3164" s="362"/>
      <c r="AX3164" s="117"/>
      <c r="AY3164" s="117"/>
      <c r="AZ3164" s="117"/>
      <c r="BA3164" s="117"/>
      <c r="BB3164" s="117"/>
      <c r="BC3164" s="117"/>
      <c r="BD3164" s="117"/>
    </row>
    <row r="3165" spans="1:56" ht="15">
      <c r="A3165" s="114"/>
      <c r="B3165" s="303" t="s">
        <v>1160</v>
      </c>
      <c r="C3165" s="362"/>
      <c r="D3165" s="362"/>
      <c r="E3165" s="410"/>
      <c r="F3165" s="362"/>
      <c r="G3165" s="362"/>
      <c r="H3165" s="196" t="s">
        <v>1131</v>
      </c>
      <c r="I3165" s="362"/>
      <c r="J3165" s="362"/>
      <c r="AX3165" s="117"/>
      <c r="AY3165" s="117"/>
      <c r="AZ3165" s="117"/>
      <c r="BA3165" s="117"/>
      <c r="BB3165" s="117"/>
      <c r="BC3165" s="117"/>
      <c r="BD3165" s="117"/>
    </row>
    <row r="3166" spans="1:56" ht="18">
      <c r="A3166" s="114"/>
      <c r="B3166" s="398" t="s">
        <v>1128</v>
      </c>
      <c r="C3166" s="172"/>
      <c r="D3166" s="173"/>
      <c r="E3166" s="402">
        <f>E3162*0.05</f>
        <v>0.48927000000000009</v>
      </c>
      <c r="F3166" s="390" t="s">
        <v>1124</v>
      </c>
      <c r="G3166" s="362"/>
      <c r="H3166" s="362"/>
      <c r="I3166" s="362"/>
      <c r="J3166" s="362"/>
      <c r="AX3166" s="117"/>
      <c r="AY3166" s="117"/>
      <c r="AZ3166" s="117"/>
      <c r="BA3166" s="117"/>
      <c r="BB3166" s="117"/>
      <c r="BC3166" s="117"/>
      <c r="BD3166" s="117"/>
    </row>
    <row r="3167" spans="1:56" ht="15">
      <c r="A3167" s="114"/>
      <c r="B3167" s="398" t="s">
        <v>1129</v>
      </c>
      <c r="C3167" s="172"/>
      <c r="D3167" s="173"/>
      <c r="E3167" s="397">
        <f>(2*(C3147+C3148)*C3149)*C3152</f>
        <v>7.0680000000000005</v>
      </c>
      <c r="F3167" s="390" t="s">
        <v>13</v>
      </c>
      <c r="G3167" s="362"/>
      <c r="H3167" s="362"/>
      <c r="I3167" s="362"/>
      <c r="J3167" s="362"/>
      <c r="AX3167" s="117"/>
      <c r="AY3167" s="117"/>
      <c r="AZ3167" s="117"/>
      <c r="BA3167" s="117"/>
      <c r="BB3167" s="117"/>
      <c r="BC3167" s="117"/>
      <c r="BD3167" s="117"/>
    </row>
    <row r="3168" spans="1:56" ht="18">
      <c r="A3168" s="114"/>
      <c r="B3168" s="398" t="s">
        <v>1130</v>
      </c>
      <c r="C3168" s="172"/>
      <c r="D3168" s="173"/>
      <c r="E3168" s="402">
        <f>(C3147*C3148*C3149)*C3152</f>
        <v>5.1404400000000008</v>
      </c>
      <c r="F3168" s="390" t="s">
        <v>1124</v>
      </c>
      <c r="G3168" s="362"/>
      <c r="H3168" s="362"/>
      <c r="I3168" s="362"/>
      <c r="J3168" s="362"/>
      <c r="AX3168" s="117"/>
      <c r="AY3168" s="117"/>
      <c r="AZ3168" s="117"/>
      <c r="BA3168" s="117"/>
      <c r="BB3168" s="117"/>
      <c r="BC3168" s="117"/>
      <c r="BD3168" s="117"/>
    </row>
    <row r="3169" spans="1:56" ht="15">
      <c r="A3169" s="114"/>
      <c r="B3169" s="293"/>
      <c r="C3169" s="387"/>
      <c r="D3169" s="387"/>
      <c r="E3169" s="387"/>
      <c r="F3169" s="387"/>
      <c r="G3169" s="387"/>
      <c r="H3169" s="386"/>
      <c r="I3169" s="386"/>
      <c r="J3169" s="114"/>
      <c r="AW3169" s="117"/>
      <c r="AX3169" s="117"/>
      <c r="AY3169" s="117"/>
      <c r="AZ3169" s="117"/>
      <c r="BA3169" s="117"/>
      <c r="BB3169" s="117"/>
      <c r="BC3169" s="117"/>
      <c r="BD3169" s="117"/>
    </row>
    <row r="3170" spans="1:56" ht="15">
      <c r="A3170" s="114"/>
      <c r="B3170" s="293"/>
      <c r="C3170" s="387"/>
      <c r="D3170" s="387"/>
      <c r="E3170" s="387"/>
      <c r="F3170" s="387"/>
      <c r="G3170" s="387"/>
      <c r="H3170" s="386"/>
      <c r="I3170" s="386"/>
      <c r="J3170" s="114"/>
      <c r="AW3170" s="117"/>
      <c r="AX3170" s="117"/>
      <c r="AY3170" s="117"/>
      <c r="AZ3170" s="117"/>
      <c r="BA3170" s="117"/>
      <c r="BB3170" s="117"/>
      <c r="BC3170" s="117"/>
      <c r="BD3170" s="117"/>
    </row>
    <row r="3171" spans="1:56">
      <c r="A3171" s="114"/>
      <c r="B3171" s="385" t="s">
        <v>1250</v>
      </c>
      <c r="C3171" s="196"/>
      <c r="D3171" s="196"/>
      <c r="E3171" s="196"/>
      <c r="F3171" s="196"/>
      <c r="G3171" s="196"/>
      <c r="H3171" s="196"/>
      <c r="I3171" s="196"/>
      <c r="J3171" s="196"/>
      <c r="AX3171" s="117"/>
      <c r="AY3171" s="117"/>
      <c r="AZ3171" s="117"/>
      <c r="BA3171" s="117"/>
      <c r="BB3171" s="117"/>
      <c r="BC3171" s="117"/>
      <c r="BD3171" s="117"/>
    </row>
    <row r="3172" spans="1:56" ht="15">
      <c r="A3172" s="114"/>
      <c r="B3172" s="362"/>
      <c r="C3172" s="362"/>
      <c r="D3172" s="362"/>
      <c r="E3172" s="362"/>
      <c r="F3172" s="404"/>
      <c r="G3172" s="404"/>
      <c r="H3172" s="404"/>
      <c r="I3172" s="404"/>
      <c r="J3172" s="404"/>
      <c r="AX3172" s="117"/>
      <c r="AY3172" s="117"/>
      <c r="AZ3172" s="117"/>
      <c r="BA3172" s="117"/>
      <c r="BB3172" s="117"/>
      <c r="BC3172" s="117"/>
      <c r="BD3172" s="117"/>
    </row>
    <row r="3173" spans="1:56" ht="18">
      <c r="A3173" s="114"/>
      <c r="B3173" s="388" t="s">
        <v>1207</v>
      </c>
      <c r="C3173" s="389">
        <v>0</v>
      </c>
      <c r="D3173" s="390" t="s">
        <v>10</v>
      </c>
      <c r="E3173" s="196"/>
      <c r="F3173" s="405"/>
      <c r="G3173" s="441" t="s">
        <v>1142</v>
      </c>
      <c r="H3173" s="442">
        <f>C3173*C3174</f>
        <v>0</v>
      </c>
      <c r="I3173" s="443" t="s">
        <v>1208</v>
      </c>
      <c r="J3173" s="405"/>
      <c r="AX3173" s="117"/>
      <c r="AY3173" s="117"/>
      <c r="AZ3173" s="117"/>
      <c r="BA3173" s="117"/>
      <c r="BB3173" s="117"/>
      <c r="BC3173" s="117"/>
      <c r="BD3173" s="117"/>
    </row>
    <row r="3174" spans="1:56" ht="15">
      <c r="A3174" s="114"/>
      <c r="B3174" s="388" t="s">
        <v>1207</v>
      </c>
      <c r="C3174" s="389">
        <v>0</v>
      </c>
      <c r="D3174" s="390" t="s">
        <v>10</v>
      </c>
      <c r="E3174" s="196"/>
      <c r="F3174" s="405"/>
      <c r="G3174" s="441" t="e">
        <f>TEXT(C3182,"tg 0°=")</f>
        <v>#VALUE!</v>
      </c>
      <c r="H3174" s="444">
        <f>TAN(3.14159265359*C3182/180)</f>
        <v>1.732050807569153</v>
      </c>
      <c r="I3174" s="443"/>
      <c r="J3174" s="405"/>
      <c r="AX3174" s="117"/>
      <c r="AY3174" s="117"/>
      <c r="AZ3174" s="117"/>
      <c r="BA3174" s="117"/>
      <c r="BB3174" s="117"/>
      <c r="BC3174" s="117"/>
      <c r="BD3174" s="117"/>
    </row>
    <row r="3175" spans="1:56" ht="15">
      <c r="A3175" s="114"/>
      <c r="B3175" s="388" t="s">
        <v>1110</v>
      </c>
      <c r="C3175" s="389">
        <v>1.3</v>
      </c>
      <c r="D3175" s="390" t="s">
        <v>10</v>
      </c>
      <c r="E3175" s="196"/>
      <c r="F3175" s="405"/>
      <c r="G3175" s="441"/>
      <c r="H3175" s="442"/>
      <c r="I3175" s="443"/>
      <c r="J3175" s="405"/>
      <c r="AX3175" s="117"/>
      <c r="AY3175" s="117"/>
      <c r="AZ3175" s="117"/>
      <c r="BA3175" s="117"/>
      <c r="BB3175" s="117"/>
      <c r="BC3175" s="117"/>
      <c r="BD3175" s="117"/>
    </row>
    <row r="3176" spans="1:56" ht="18">
      <c r="A3176" s="114"/>
      <c r="B3176" s="388" t="s">
        <v>1111</v>
      </c>
      <c r="C3176" s="389">
        <v>1.81</v>
      </c>
      <c r="D3176" s="390" t="s">
        <v>10</v>
      </c>
      <c r="E3176" s="196"/>
      <c r="F3176" s="405"/>
      <c r="G3176" s="441" t="s">
        <v>1142</v>
      </c>
      <c r="H3176" s="445">
        <f>(C3175+2*C3184+((C3177+C3178+0.05)/H3174)*2)*(C3176+2*C3184+((C3177+C3178+0.05)/H3174)*2)</f>
        <v>12.853467776004988</v>
      </c>
      <c r="I3176" s="443" t="s">
        <v>1208</v>
      </c>
      <c r="J3176" s="405"/>
      <c r="AX3176" s="117"/>
      <c r="AY3176" s="117"/>
      <c r="AZ3176" s="117"/>
      <c r="BA3176" s="117"/>
      <c r="BB3176" s="117"/>
      <c r="BC3176" s="117"/>
      <c r="BD3176" s="117"/>
    </row>
    <row r="3177" spans="1:56" ht="18">
      <c r="A3177" s="114"/>
      <c r="B3177" s="388" t="s">
        <v>1112</v>
      </c>
      <c r="C3177" s="389">
        <v>0.6</v>
      </c>
      <c r="D3177" s="390" t="s">
        <v>10</v>
      </c>
      <c r="E3177" s="196"/>
      <c r="F3177" s="405"/>
      <c r="G3177" s="441" t="s">
        <v>1147</v>
      </c>
      <c r="H3177" s="445">
        <f>(C3175+2*C3184)*(C3176+2*C3184)</f>
        <v>6.4629999999999992</v>
      </c>
      <c r="I3177" s="443" t="s">
        <v>1208</v>
      </c>
      <c r="J3177" s="405"/>
      <c r="AX3177" s="117"/>
      <c r="AY3177" s="117"/>
      <c r="AZ3177" s="117"/>
      <c r="BA3177" s="117"/>
      <c r="BB3177" s="117"/>
      <c r="BC3177" s="117"/>
      <c r="BD3177" s="117"/>
    </row>
    <row r="3178" spans="1:56" ht="15">
      <c r="A3178" s="114"/>
      <c r="B3178" s="388" t="s">
        <v>1113</v>
      </c>
      <c r="C3178" s="389">
        <v>0.25</v>
      </c>
      <c r="D3178" s="390" t="s">
        <v>10</v>
      </c>
      <c r="E3178" s="196"/>
      <c r="F3178" s="405"/>
      <c r="G3178" s="441"/>
      <c r="H3178" s="442"/>
      <c r="I3178" s="443"/>
      <c r="J3178" s="405"/>
      <c r="AX3178" s="117"/>
      <c r="AY3178" s="117"/>
      <c r="AZ3178" s="117"/>
      <c r="BA3178" s="117"/>
      <c r="BB3178" s="117"/>
      <c r="BC3178" s="117"/>
      <c r="BD3178" s="117"/>
    </row>
    <row r="3179" spans="1:56" ht="15">
      <c r="A3179" s="114"/>
      <c r="B3179" s="388" t="s">
        <v>1114</v>
      </c>
      <c r="C3179" s="389">
        <v>0.35</v>
      </c>
      <c r="D3179" s="390" t="s">
        <v>10</v>
      </c>
      <c r="E3179" s="196"/>
      <c r="F3179" s="405"/>
      <c r="G3179" s="441"/>
      <c r="H3179" s="442"/>
      <c r="I3179" s="443"/>
      <c r="J3179" s="405"/>
      <c r="AX3179" s="117"/>
      <c r="AY3179" s="117"/>
      <c r="AZ3179" s="117"/>
      <c r="BA3179" s="117"/>
      <c r="BB3179" s="117"/>
      <c r="BC3179" s="117"/>
      <c r="BD3179" s="117"/>
    </row>
    <row r="3180" spans="1:56" ht="15">
      <c r="A3180" s="114"/>
      <c r="B3180" s="388" t="s">
        <v>1117</v>
      </c>
      <c r="C3180" s="391">
        <v>5</v>
      </c>
      <c r="D3180" s="390" t="s">
        <v>1118</v>
      </c>
      <c r="E3180" s="196"/>
      <c r="F3180" s="405"/>
      <c r="G3180" s="406"/>
      <c r="H3180" s="407"/>
      <c r="I3180" s="405"/>
      <c r="J3180" s="405"/>
      <c r="AX3180" s="117"/>
      <c r="AY3180" s="117"/>
      <c r="AZ3180" s="117"/>
      <c r="BA3180" s="117"/>
      <c r="BB3180" s="117"/>
      <c r="BC3180" s="117"/>
      <c r="BD3180" s="117"/>
    </row>
    <row r="3181" spans="1:56" ht="15">
      <c r="A3181" s="114"/>
      <c r="B3181" s="196" t="s">
        <v>1148</v>
      </c>
      <c r="C3181" s="393"/>
      <c r="D3181" s="196"/>
      <c r="E3181" s="196"/>
      <c r="F3181" s="405"/>
      <c r="G3181" s="406"/>
      <c r="H3181" s="407"/>
      <c r="I3181" s="405"/>
      <c r="J3181" s="405"/>
      <c r="AX3181" s="117"/>
      <c r="AY3181" s="117"/>
      <c r="AZ3181" s="117"/>
      <c r="BA3181" s="117"/>
      <c r="BB3181" s="117"/>
      <c r="BC3181" s="117"/>
      <c r="BD3181" s="117"/>
    </row>
    <row r="3182" spans="1:56" ht="15">
      <c r="A3182" s="114"/>
      <c r="B3182" s="388" t="s">
        <v>1149</v>
      </c>
      <c r="C3182" s="389">
        <v>60</v>
      </c>
      <c r="D3182" s="390" t="s">
        <v>1150</v>
      </c>
      <c r="E3182" s="196"/>
      <c r="F3182" s="196"/>
      <c r="G3182" s="392"/>
      <c r="H3182" s="393"/>
      <c r="I3182" s="196"/>
      <c r="J3182" s="196"/>
      <c r="AX3182" s="117"/>
      <c r="AY3182" s="117"/>
      <c r="AZ3182" s="117"/>
      <c r="BA3182" s="117"/>
      <c r="BB3182" s="117"/>
      <c r="BC3182" s="117"/>
      <c r="BD3182" s="117"/>
    </row>
    <row r="3183" spans="1:56" ht="15">
      <c r="A3183" s="114"/>
      <c r="B3183" s="362"/>
      <c r="C3183" s="196"/>
      <c r="D3183" s="196"/>
      <c r="E3183" s="196"/>
      <c r="F3183" s="196"/>
      <c r="G3183" s="362"/>
      <c r="H3183" s="362"/>
      <c r="I3183" s="362"/>
      <c r="J3183" s="196"/>
      <c r="AX3183" s="117"/>
      <c r="AY3183" s="117"/>
      <c r="AZ3183" s="117"/>
      <c r="BA3183" s="117"/>
      <c r="BB3183" s="117"/>
      <c r="BC3183" s="117"/>
      <c r="BD3183" s="117"/>
    </row>
    <row r="3184" spans="1:56">
      <c r="A3184" s="114"/>
      <c r="B3184" s="388" t="s">
        <v>1115</v>
      </c>
      <c r="C3184" s="389">
        <v>0.5</v>
      </c>
      <c r="D3184" s="390" t="s">
        <v>10</v>
      </c>
      <c r="E3184" s="288" t="s">
        <v>1120</v>
      </c>
      <c r="F3184" s="196"/>
      <c r="G3184" s="362"/>
      <c r="H3184" s="115"/>
      <c r="I3184" s="362"/>
      <c r="J3184" s="196"/>
      <c r="AX3184" s="117"/>
      <c r="AY3184" s="117"/>
      <c r="AZ3184" s="117"/>
      <c r="BA3184" s="117"/>
      <c r="BB3184" s="117"/>
      <c r="BC3184" s="117"/>
      <c r="BD3184" s="117"/>
    </row>
    <row r="3185" spans="1:56" ht="15">
      <c r="A3185" s="114"/>
      <c r="B3185" s="388" t="s">
        <v>1115</v>
      </c>
      <c r="C3185" s="389">
        <v>0.1</v>
      </c>
      <c r="D3185" s="390" t="s">
        <v>10</v>
      </c>
      <c r="E3185" s="288" t="s">
        <v>1121</v>
      </c>
      <c r="F3185" s="196"/>
      <c r="G3185" s="196"/>
      <c r="H3185" s="196"/>
      <c r="I3185" s="196"/>
      <c r="J3185" s="196"/>
      <c r="AX3185" s="117"/>
      <c r="AY3185" s="117"/>
      <c r="AZ3185" s="117"/>
      <c r="BA3185" s="117"/>
      <c r="BB3185" s="117"/>
      <c r="BC3185" s="117"/>
      <c r="BD3185" s="117"/>
    </row>
    <row r="3186" spans="1:56" ht="15">
      <c r="A3186" s="114"/>
      <c r="B3186" s="362"/>
      <c r="C3186" s="362"/>
      <c r="D3186" s="362"/>
      <c r="E3186" s="362"/>
      <c r="F3186" s="362"/>
      <c r="G3186" s="114"/>
      <c r="H3186" s="362"/>
      <c r="I3186" s="196"/>
      <c r="J3186" s="196"/>
      <c r="AX3186" s="117"/>
      <c r="AY3186" s="117"/>
      <c r="AZ3186" s="117"/>
      <c r="BA3186" s="117"/>
      <c r="BB3186" s="117"/>
      <c r="BC3186" s="117"/>
      <c r="BD3186" s="117"/>
    </row>
    <row r="3187" spans="1:56" ht="15">
      <c r="A3187" s="114"/>
      <c r="B3187" s="303" t="s">
        <v>1122</v>
      </c>
      <c r="C3187" s="362"/>
      <c r="D3187" s="362"/>
      <c r="E3187" s="362"/>
      <c r="F3187" s="362"/>
      <c r="G3187" s="196"/>
      <c r="H3187" s="196"/>
      <c r="I3187" s="196"/>
      <c r="J3187" s="196"/>
      <c r="AX3187" s="117"/>
      <c r="AY3187" s="117"/>
      <c r="AZ3187" s="117"/>
      <c r="BA3187" s="117"/>
      <c r="BB3187" s="117"/>
      <c r="BC3187" s="117"/>
      <c r="BD3187" s="117"/>
    </row>
    <row r="3188" spans="1:56" ht="18">
      <c r="A3188" s="114"/>
      <c r="B3188" s="398" t="s">
        <v>1123</v>
      </c>
      <c r="C3188" s="172"/>
      <c r="D3188" s="173"/>
      <c r="E3188" s="397">
        <f>C3180*((H3177+H3176)/2)*(C3177-C3178+0.05)</f>
        <v>19.316467776004984</v>
      </c>
      <c r="F3188" s="390" t="s">
        <v>1124</v>
      </c>
      <c r="G3188" s="196"/>
      <c r="H3188" s="115"/>
      <c r="I3188" s="362"/>
      <c r="J3188" s="362"/>
      <c r="AX3188" s="117"/>
      <c r="AY3188" s="117"/>
      <c r="AZ3188" s="117"/>
      <c r="BA3188" s="117"/>
      <c r="BB3188" s="117"/>
      <c r="BC3188" s="117"/>
      <c r="BD3188" s="117"/>
    </row>
    <row r="3189" spans="1:56" ht="18">
      <c r="A3189" s="114"/>
      <c r="B3189" s="398" t="s">
        <v>1125</v>
      </c>
      <c r="C3189" s="172"/>
      <c r="D3189" s="173"/>
      <c r="E3189" s="400">
        <f>E3188-(E3196-(C3175*C3176*C3178))</f>
        <v>12.845717776004983</v>
      </c>
      <c r="F3189" s="390" t="s">
        <v>1124</v>
      </c>
      <c r="G3189" s="196"/>
      <c r="H3189" s="196"/>
      <c r="I3189" s="196"/>
      <c r="J3189" s="196"/>
      <c r="AX3189" s="117"/>
      <c r="AY3189" s="117"/>
      <c r="AZ3189" s="117"/>
      <c r="BA3189" s="117"/>
      <c r="BB3189" s="117"/>
      <c r="BC3189" s="117"/>
      <c r="BD3189" s="117"/>
    </row>
    <row r="3190" spans="1:56" ht="15">
      <c r="A3190" s="114"/>
      <c r="B3190" s="398" t="s">
        <v>1126</v>
      </c>
      <c r="C3190" s="172"/>
      <c r="D3190" s="173"/>
      <c r="E3190" s="400">
        <f>((C3175+2*C3185)*(C3176+2*C3185))*C3180</f>
        <v>15.075000000000003</v>
      </c>
      <c r="F3190" s="390" t="s">
        <v>13</v>
      </c>
      <c r="G3190" s="362"/>
      <c r="H3190" s="362"/>
      <c r="I3190" s="362"/>
      <c r="J3190" s="362"/>
      <c r="AX3190" s="117"/>
      <c r="AY3190" s="117"/>
      <c r="AZ3190" s="117"/>
      <c r="BA3190" s="117"/>
      <c r="BB3190" s="117"/>
      <c r="BC3190" s="117"/>
      <c r="BD3190" s="117"/>
    </row>
    <row r="3191" spans="1:56" ht="15">
      <c r="A3191" s="114"/>
      <c r="B3191" s="362"/>
      <c r="C3191" s="362"/>
      <c r="D3191" s="362"/>
      <c r="E3191" s="401"/>
      <c r="F3191" s="196"/>
      <c r="G3191" s="362"/>
      <c r="H3191" s="362"/>
      <c r="I3191" s="362"/>
      <c r="J3191" s="362"/>
      <c r="AX3191" s="117"/>
      <c r="AY3191" s="117"/>
      <c r="AZ3191" s="117"/>
      <c r="BA3191" s="117"/>
      <c r="BB3191" s="117"/>
      <c r="BC3191" s="117"/>
      <c r="BD3191" s="117"/>
    </row>
    <row r="3192" spans="1:56" ht="15">
      <c r="A3192" s="114"/>
      <c r="B3192" s="362"/>
      <c r="C3192" s="362"/>
      <c r="D3192" s="362"/>
      <c r="E3192" s="410"/>
      <c r="F3192" s="362"/>
      <c r="G3192" s="362"/>
      <c r="H3192" s="362"/>
      <c r="I3192" s="362"/>
      <c r="J3192" s="362"/>
      <c r="AX3192" s="117"/>
      <c r="AY3192" s="117"/>
      <c r="AZ3192" s="117"/>
      <c r="BA3192" s="117"/>
      <c r="BB3192" s="117"/>
      <c r="BC3192" s="117"/>
      <c r="BD3192" s="117"/>
    </row>
    <row r="3193" spans="1:56" ht="15">
      <c r="A3193" s="114"/>
      <c r="B3193" s="303" t="s">
        <v>1160</v>
      </c>
      <c r="C3193" s="362"/>
      <c r="D3193" s="362"/>
      <c r="E3193" s="410"/>
      <c r="F3193" s="362"/>
      <c r="G3193" s="362"/>
      <c r="H3193" s="196" t="s">
        <v>1131</v>
      </c>
      <c r="I3193" s="362"/>
      <c r="J3193" s="362"/>
      <c r="AX3193" s="117"/>
      <c r="AY3193" s="117"/>
      <c r="AZ3193" s="117"/>
      <c r="BA3193" s="117"/>
      <c r="BB3193" s="117"/>
      <c r="BC3193" s="117"/>
      <c r="BD3193" s="117"/>
    </row>
    <row r="3194" spans="1:56" ht="18">
      <c r="A3194" s="114"/>
      <c r="B3194" s="398" t="s">
        <v>1128</v>
      </c>
      <c r="C3194" s="172"/>
      <c r="D3194" s="173"/>
      <c r="E3194" s="402">
        <f>E3190*0.05</f>
        <v>0.75375000000000014</v>
      </c>
      <c r="F3194" s="390" t="s">
        <v>1124</v>
      </c>
      <c r="G3194" s="362"/>
      <c r="H3194" s="362"/>
      <c r="I3194" s="362"/>
      <c r="J3194" s="362"/>
      <c r="AX3194" s="117"/>
      <c r="AY3194" s="117"/>
      <c r="AZ3194" s="117"/>
      <c r="BA3194" s="117"/>
      <c r="BB3194" s="117"/>
      <c r="BC3194" s="117"/>
      <c r="BD3194" s="117"/>
    </row>
    <row r="3195" spans="1:56" ht="15">
      <c r="A3195" s="114"/>
      <c r="B3195" s="398" t="s">
        <v>1129</v>
      </c>
      <c r="C3195" s="172"/>
      <c r="D3195" s="173"/>
      <c r="E3195" s="397">
        <f>(2*(C3175+C3176)*C3177)*C3180</f>
        <v>18.66</v>
      </c>
      <c r="F3195" s="390" t="s">
        <v>13</v>
      </c>
      <c r="G3195" s="362"/>
      <c r="H3195" s="362"/>
      <c r="I3195" s="362"/>
      <c r="J3195" s="362"/>
      <c r="AX3195" s="117"/>
      <c r="AY3195" s="117"/>
      <c r="AZ3195" s="117"/>
      <c r="BA3195" s="117"/>
      <c r="BB3195" s="117"/>
      <c r="BC3195" s="117"/>
      <c r="BD3195" s="117"/>
    </row>
    <row r="3196" spans="1:56" ht="18">
      <c r="A3196" s="114"/>
      <c r="B3196" s="398" t="s">
        <v>1130</v>
      </c>
      <c r="C3196" s="172"/>
      <c r="D3196" s="173"/>
      <c r="E3196" s="402">
        <f>(C3175*C3176*C3177)*C3180</f>
        <v>7.0590000000000011</v>
      </c>
      <c r="F3196" s="390" t="s">
        <v>1124</v>
      </c>
      <c r="G3196" s="362"/>
      <c r="H3196" s="362"/>
      <c r="I3196" s="362"/>
      <c r="J3196" s="362"/>
      <c r="AX3196" s="117"/>
      <c r="AY3196" s="117"/>
      <c r="AZ3196" s="117"/>
      <c r="BA3196" s="117"/>
      <c r="BB3196" s="117"/>
      <c r="BC3196" s="117"/>
      <c r="BD3196" s="117"/>
    </row>
    <row r="3197" spans="1:56" ht="12" customHeight="1">
      <c r="A3197" s="114"/>
      <c r="B3197" s="293"/>
      <c r="C3197" s="387"/>
      <c r="D3197" s="387"/>
      <c r="E3197" s="387"/>
      <c r="F3197" s="387"/>
      <c r="G3197" s="387"/>
      <c r="H3197" s="386"/>
      <c r="I3197" s="386"/>
      <c r="J3197" s="114"/>
      <c r="AW3197" s="117"/>
      <c r="AX3197" s="117"/>
      <c r="AY3197" s="117"/>
      <c r="AZ3197" s="117"/>
      <c r="BA3197" s="117"/>
      <c r="BB3197" s="117"/>
      <c r="BC3197" s="117"/>
      <c r="BD3197" s="117"/>
    </row>
    <row r="3198" spans="1:56" ht="15">
      <c r="A3198" s="114"/>
      <c r="B3198" s="293"/>
      <c r="C3198" s="387"/>
      <c r="D3198" s="387"/>
      <c r="E3198" s="387"/>
      <c r="F3198" s="387"/>
      <c r="G3198" s="387"/>
      <c r="H3198" s="386"/>
      <c r="I3198" s="386"/>
      <c r="J3198" s="114"/>
      <c r="AW3198" s="117"/>
      <c r="AX3198" s="117"/>
      <c r="AY3198" s="117"/>
      <c r="AZ3198" s="117"/>
      <c r="BA3198" s="117"/>
      <c r="BB3198" s="117"/>
      <c r="BC3198" s="117"/>
      <c r="BD3198" s="117"/>
    </row>
    <row r="3199" spans="1:56">
      <c r="A3199" s="114"/>
      <c r="B3199" s="385" t="s">
        <v>1251</v>
      </c>
      <c r="C3199" s="196"/>
      <c r="D3199" s="196"/>
      <c r="E3199" s="196"/>
      <c r="F3199" s="196"/>
      <c r="G3199" s="196"/>
      <c r="H3199" s="196"/>
      <c r="I3199" s="196"/>
      <c r="J3199" s="196"/>
      <c r="AT3199" s="117"/>
      <c r="AU3199" s="117"/>
      <c r="AV3199" s="117"/>
      <c r="AW3199" s="117"/>
      <c r="AX3199" s="117"/>
      <c r="AY3199" s="117"/>
      <c r="AZ3199" s="117"/>
      <c r="BA3199" s="117"/>
      <c r="BB3199" s="117"/>
      <c r="BC3199" s="117"/>
      <c r="BD3199" s="117"/>
    </row>
    <row r="3200" spans="1:56" ht="15">
      <c r="A3200" s="114"/>
      <c r="B3200" s="362"/>
      <c r="C3200" s="362"/>
      <c r="D3200" s="362"/>
      <c r="E3200" s="362"/>
      <c r="F3200" s="404"/>
      <c r="G3200" s="404"/>
      <c r="H3200" s="404"/>
      <c r="I3200" s="404"/>
      <c r="J3200" s="404"/>
      <c r="AT3200" s="117"/>
      <c r="AU3200" s="117"/>
      <c r="AV3200" s="117"/>
      <c r="AW3200" s="117"/>
      <c r="AX3200" s="117"/>
      <c r="AY3200" s="117"/>
      <c r="AZ3200" s="117"/>
      <c r="BA3200" s="117"/>
      <c r="BB3200" s="117"/>
      <c r="BC3200" s="117"/>
      <c r="BD3200" s="117"/>
    </row>
    <row r="3201" spans="1:56" ht="18">
      <c r="A3201" s="114"/>
      <c r="B3201" s="388" t="s">
        <v>1207</v>
      </c>
      <c r="C3201" s="389">
        <v>0</v>
      </c>
      <c r="D3201" s="390" t="s">
        <v>10</v>
      </c>
      <c r="E3201" s="196"/>
      <c r="F3201" s="405"/>
      <c r="G3201" s="441" t="s">
        <v>1142</v>
      </c>
      <c r="H3201" s="442">
        <f>C3201*C3202</f>
        <v>0</v>
      </c>
      <c r="I3201" s="443" t="s">
        <v>1208</v>
      </c>
      <c r="J3201" s="405"/>
      <c r="AT3201" s="117"/>
      <c r="AU3201" s="117"/>
      <c r="AV3201" s="117"/>
      <c r="AW3201" s="117"/>
      <c r="AX3201" s="117"/>
      <c r="AY3201" s="117"/>
      <c r="AZ3201" s="117"/>
      <c r="BA3201" s="117"/>
      <c r="BB3201" s="117"/>
      <c r="BC3201" s="117"/>
      <c r="BD3201" s="117"/>
    </row>
    <row r="3202" spans="1:56" ht="15">
      <c r="A3202" s="114"/>
      <c r="B3202" s="388" t="s">
        <v>1207</v>
      </c>
      <c r="C3202" s="389">
        <v>0</v>
      </c>
      <c r="D3202" s="390" t="s">
        <v>10</v>
      </c>
      <c r="E3202" s="196"/>
      <c r="F3202" s="405"/>
      <c r="G3202" s="441" t="e">
        <f>TEXT(C3210,"tg 0°=")</f>
        <v>#VALUE!</v>
      </c>
      <c r="H3202" s="444">
        <f>TAN(3.14159265359*C3210/180)</f>
        <v>1.732050807569153</v>
      </c>
      <c r="I3202" s="443"/>
      <c r="J3202" s="405"/>
      <c r="AT3202" s="117"/>
      <c r="AU3202" s="117"/>
      <c r="AV3202" s="117"/>
      <c r="AW3202" s="117"/>
      <c r="AX3202" s="117"/>
      <c r="AY3202" s="117"/>
      <c r="AZ3202" s="117"/>
      <c r="BA3202" s="117"/>
      <c r="BB3202" s="117"/>
      <c r="BC3202" s="117"/>
      <c r="BD3202" s="117"/>
    </row>
    <row r="3203" spans="1:56" ht="15">
      <c r="A3203" s="114"/>
      <c r="B3203" s="388" t="s">
        <v>1110</v>
      </c>
      <c r="C3203" s="389">
        <v>1.9</v>
      </c>
      <c r="D3203" s="390" t="s">
        <v>10</v>
      </c>
      <c r="E3203" s="196"/>
      <c r="F3203" s="405"/>
      <c r="G3203" s="441"/>
      <c r="H3203" s="442"/>
      <c r="I3203" s="443"/>
      <c r="J3203" s="405"/>
      <c r="AT3203" s="117"/>
      <c r="AU3203" s="117"/>
      <c r="AV3203" s="117"/>
      <c r="AW3203" s="117"/>
      <c r="AX3203" s="117"/>
      <c r="AY3203" s="117"/>
      <c r="AZ3203" s="117"/>
      <c r="BA3203" s="117"/>
      <c r="BB3203" s="117"/>
      <c r="BC3203" s="117"/>
      <c r="BD3203" s="117"/>
    </row>
    <row r="3204" spans="1:56" ht="18">
      <c r="A3204" s="114"/>
      <c r="B3204" s="388" t="s">
        <v>1111</v>
      </c>
      <c r="C3204" s="389">
        <v>4.8</v>
      </c>
      <c r="D3204" s="390" t="s">
        <v>10</v>
      </c>
      <c r="E3204" s="196"/>
      <c r="F3204" s="405"/>
      <c r="G3204" s="441" t="s">
        <v>1142</v>
      </c>
      <c r="H3204" s="445">
        <f>(C3203+2*C3212+((C3205+C3206+0.05)/H3202)*2)*(C3204+2*C3212+((C3205+C3206+0.05)/H3202)*2)</f>
        <v>29.483817485620499</v>
      </c>
      <c r="I3204" s="443" t="s">
        <v>1208</v>
      </c>
      <c r="J3204" s="405"/>
      <c r="AT3204" s="117"/>
      <c r="AU3204" s="117"/>
      <c r="AV3204" s="117"/>
      <c r="AW3204" s="117"/>
      <c r="AX3204" s="117"/>
      <c r="AY3204" s="117"/>
      <c r="AZ3204" s="117"/>
      <c r="BA3204" s="117"/>
      <c r="BB3204" s="117"/>
      <c r="BC3204" s="117"/>
      <c r="BD3204" s="117"/>
    </row>
    <row r="3205" spans="1:56" ht="18">
      <c r="A3205" s="114"/>
      <c r="B3205" s="388" t="s">
        <v>1112</v>
      </c>
      <c r="C3205" s="389">
        <v>0.8</v>
      </c>
      <c r="D3205" s="390" t="s">
        <v>10</v>
      </c>
      <c r="E3205" s="196"/>
      <c r="F3205" s="405"/>
      <c r="G3205" s="441" t="s">
        <v>1147</v>
      </c>
      <c r="H3205" s="445">
        <f>(C3203+2*C3212)*(C3204+2*C3212)</f>
        <v>16.82</v>
      </c>
      <c r="I3205" s="443" t="s">
        <v>1208</v>
      </c>
      <c r="J3205" s="405"/>
      <c r="AT3205" s="117"/>
      <c r="AU3205" s="117"/>
      <c r="AV3205" s="117"/>
      <c r="AW3205" s="117"/>
      <c r="AX3205" s="117"/>
      <c r="AY3205" s="117"/>
      <c r="AZ3205" s="117"/>
      <c r="BA3205" s="117"/>
      <c r="BB3205" s="117"/>
      <c r="BC3205" s="117"/>
      <c r="BD3205" s="117"/>
    </row>
    <row r="3206" spans="1:56" ht="15">
      <c r="A3206" s="114"/>
      <c r="B3206" s="388" t="s">
        <v>1113</v>
      </c>
      <c r="C3206" s="389">
        <v>0.25</v>
      </c>
      <c r="D3206" s="390" t="s">
        <v>10</v>
      </c>
      <c r="E3206" s="196"/>
      <c r="F3206" s="405"/>
      <c r="G3206" s="441"/>
      <c r="H3206" s="442"/>
      <c r="I3206" s="443"/>
      <c r="J3206" s="405"/>
      <c r="AT3206" s="117"/>
      <c r="AU3206" s="117"/>
      <c r="AV3206" s="117"/>
      <c r="AW3206" s="117"/>
      <c r="AX3206" s="117"/>
      <c r="AY3206" s="117"/>
      <c r="AZ3206" s="117"/>
      <c r="BA3206" s="117"/>
      <c r="BB3206" s="117"/>
      <c r="BC3206" s="117"/>
      <c r="BD3206" s="117"/>
    </row>
    <row r="3207" spans="1:56" ht="15">
      <c r="A3207" s="114"/>
      <c r="B3207" s="388" t="s">
        <v>1114</v>
      </c>
      <c r="C3207" s="389">
        <v>0.55000000000000004</v>
      </c>
      <c r="D3207" s="390" t="s">
        <v>10</v>
      </c>
      <c r="E3207" s="196"/>
      <c r="F3207" s="405"/>
      <c r="G3207" s="441"/>
      <c r="H3207" s="442"/>
      <c r="I3207" s="443"/>
      <c r="J3207" s="405"/>
      <c r="AT3207" s="117"/>
      <c r="AU3207" s="117"/>
      <c r="AV3207" s="117"/>
      <c r="AW3207" s="117"/>
      <c r="AX3207" s="117"/>
      <c r="AY3207" s="117"/>
      <c r="AZ3207" s="117"/>
      <c r="BA3207" s="117"/>
      <c r="BB3207" s="117"/>
      <c r="BC3207" s="117"/>
      <c r="BD3207" s="117"/>
    </row>
    <row r="3208" spans="1:56" ht="15">
      <c r="A3208" s="114"/>
      <c r="B3208" s="388" t="s">
        <v>1117</v>
      </c>
      <c r="C3208" s="391">
        <v>3</v>
      </c>
      <c r="D3208" s="390" t="s">
        <v>1118</v>
      </c>
      <c r="E3208" s="196"/>
      <c r="F3208" s="405"/>
      <c r="G3208" s="406"/>
      <c r="H3208" s="407"/>
      <c r="I3208" s="405"/>
      <c r="J3208" s="405"/>
      <c r="AT3208" s="117"/>
      <c r="AU3208" s="117"/>
      <c r="AV3208" s="117"/>
      <c r="AW3208" s="117"/>
      <c r="AX3208" s="117"/>
      <c r="AY3208" s="117"/>
      <c r="AZ3208" s="117"/>
      <c r="BA3208" s="117"/>
      <c r="BB3208" s="117"/>
      <c r="BC3208" s="117"/>
      <c r="BD3208" s="117"/>
    </row>
    <row r="3209" spans="1:56" ht="15">
      <c r="A3209" s="114"/>
      <c r="B3209" s="196" t="s">
        <v>1148</v>
      </c>
      <c r="C3209" s="393"/>
      <c r="D3209" s="196"/>
      <c r="E3209" s="196"/>
      <c r="F3209" s="405"/>
      <c r="G3209" s="406"/>
      <c r="H3209" s="407"/>
      <c r="I3209" s="405"/>
      <c r="J3209" s="405"/>
      <c r="AT3209" s="117"/>
      <c r="AU3209" s="117"/>
      <c r="AV3209" s="117"/>
      <c r="AW3209" s="117"/>
      <c r="AX3209" s="117"/>
      <c r="AY3209" s="117"/>
      <c r="AZ3209" s="117"/>
      <c r="BA3209" s="117"/>
      <c r="BB3209" s="117"/>
      <c r="BC3209" s="117"/>
      <c r="BD3209" s="117"/>
    </row>
    <row r="3210" spans="1:56" ht="15">
      <c r="A3210" s="114"/>
      <c r="B3210" s="388" t="s">
        <v>1149</v>
      </c>
      <c r="C3210" s="389">
        <v>60</v>
      </c>
      <c r="D3210" s="390" t="s">
        <v>1150</v>
      </c>
      <c r="E3210" s="196"/>
      <c r="F3210" s="196"/>
      <c r="G3210" s="392"/>
      <c r="H3210" s="393"/>
      <c r="I3210" s="196"/>
      <c r="J3210" s="196"/>
      <c r="AT3210" s="117"/>
      <c r="AU3210" s="117"/>
      <c r="AV3210" s="117"/>
      <c r="AW3210" s="117"/>
      <c r="AX3210" s="117"/>
      <c r="AY3210" s="117"/>
      <c r="AZ3210" s="117"/>
      <c r="BA3210" s="117"/>
      <c r="BB3210" s="117"/>
      <c r="BC3210" s="117"/>
      <c r="BD3210" s="117"/>
    </row>
    <row r="3211" spans="1:56" ht="15">
      <c r="A3211" s="114"/>
      <c r="B3211" s="362"/>
      <c r="C3211" s="196"/>
      <c r="D3211" s="196"/>
      <c r="E3211" s="196"/>
      <c r="F3211" s="196"/>
      <c r="G3211" s="362"/>
      <c r="H3211" s="362"/>
      <c r="I3211" s="362"/>
      <c r="J3211" s="196"/>
      <c r="AT3211" s="117"/>
      <c r="AU3211" s="117"/>
      <c r="AV3211" s="117"/>
      <c r="AW3211" s="117"/>
      <c r="AX3211" s="117"/>
      <c r="AY3211" s="117"/>
      <c r="AZ3211" s="117"/>
      <c r="BA3211" s="117"/>
      <c r="BB3211" s="117"/>
      <c r="BC3211" s="117"/>
      <c r="BD3211" s="117"/>
    </row>
    <row r="3212" spans="1:56">
      <c r="A3212" s="114"/>
      <c r="B3212" s="388" t="s">
        <v>1115</v>
      </c>
      <c r="C3212" s="389">
        <v>0.5</v>
      </c>
      <c r="D3212" s="390" t="s">
        <v>10</v>
      </c>
      <c r="E3212" s="288" t="s">
        <v>1120</v>
      </c>
      <c r="F3212" s="196"/>
      <c r="G3212" s="362"/>
      <c r="H3212" s="115"/>
      <c r="I3212" s="362"/>
      <c r="J3212" s="196"/>
      <c r="AT3212" s="117"/>
      <c r="AU3212" s="117"/>
      <c r="AV3212" s="117"/>
      <c r="AW3212" s="117"/>
      <c r="AX3212" s="117"/>
      <c r="AY3212" s="117"/>
      <c r="AZ3212" s="117"/>
      <c r="BA3212" s="117"/>
      <c r="BB3212" s="117"/>
      <c r="BC3212" s="117"/>
      <c r="BD3212" s="117"/>
    </row>
    <row r="3213" spans="1:56" ht="15">
      <c r="A3213" s="114"/>
      <c r="B3213" s="388" t="s">
        <v>1115</v>
      </c>
      <c r="C3213" s="389">
        <v>0.1</v>
      </c>
      <c r="D3213" s="390" t="s">
        <v>10</v>
      </c>
      <c r="E3213" s="288" t="s">
        <v>1121</v>
      </c>
      <c r="F3213" s="196"/>
      <c r="G3213" s="196"/>
      <c r="H3213" s="196"/>
      <c r="I3213" s="196"/>
      <c r="J3213" s="196"/>
      <c r="AT3213" s="117"/>
      <c r="AU3213" s="117"/>
      <c r="AV3213" s="117"/>
      <c r="AW3213" s="117"/>
      <c r="AX3213" s="117"/>
      <c r="AY3213" s="117"/>
      <c r="AZ3213" s="117"/>
      <c r="BA3213" s="117"/>
      <c r="BB3213" s="117"/>
      <c r="BC3213" s="117"/>
      <c r="BD3213" s="117"/>
    </row>
    <row r="3214" spans="1:56" ht="15">
      <c r="A3214" s="114"/>
      <c r="B3214" s="362"/>
      <c r="C3214" s="362"/>
      <c r="D3214" s="362"/>
      <c r="E3214" s="362"/>
      <c r="F3214" s="362"/>
      <c r="G3214" s="114"/>
      <c r="H3214" s="362"/>
      <c r="I3214" s="196"/>
      <c r="J3214" s="196"/>
      <c r="AT3214" s="117"/>
      <c r="AU3214" s="117"/>
      <c r="AV3214" s="117"/>
      <c r="AW3214" s="117"/>
      <c r="AX3214" s="117"/>
      <c r="AY3214" s="117"/>
      <c r="AZ3214" s="117"/>
      <c r="BA3214" s="117"/>
      <c r="BB3214" s="117"/>
      <c r="BC3214" s="117"/>
      <c r="BD3214" s="117"/>
    </row>
    <row r="3215" spans="1:56" ht="15">
      <c r="A3215" s="114"/>
      <c r="B3215" s="303" t="s">
        <v>1122</v>
      </c>
      <c r="C3215" s="362"/>
      <c r="D3215" s="362"/>
      <c r="E3215" s="362"/>
      <c r="F3215" s="362"/>
      <c r="G3215" s="196"/>
      <c r="H3215" s="196"/>
      <c r="I3215" s="196"/>
      <c r="J3215" s="196"/>
      <c r="AT3215" s="117"/>
      <c r="AU3215" s="117"/>
      <c r="AV3215" s="117"/>
      <c r="AW3215" s="117"/>
      <c r="AX3215" s="117"/>
      <c r="AY3215" s="117"/>
      <c r="AZ3215" s="117"/>
      <c r="BA3215" s="117"/>
      <c r="BB3215" s="117"/>
      <c r="BC3215" s="117"/>
      <c r="BD3215" s="117"/>
    </row>
    <row r="3216" spans="1:56" ht="18">
      <c r="A3216" s="114"/>
      <c r="B3216" s="398" t="s">
        <v>1123</v>
      </c>
      <c r="C3216" s="172"/>
      <c r="D3216" s="173"/>
      <c r="E3216" s="397">
        <f>C3208*((H3205+H3204)/2)*(C3205-C3206+0.05)</f>
        <v>41.673435737058455</v>
      </c>
      <c r="F3216" s="390" t="s">
        <v>1124</v>
      </c>
      <c r="G3216" s="196"/>
      <c r="H3216" s="115"/>
      <c r="I3216" s="362"/>
      <c r="J3216" s="362"/>
      <c r="AT3216" s="117"/>
      <c r="AU3216" s="117"/>
      <c r="AV3216" s="117"/>
      <c r="AW3216" s="117"/>
      <c r="AX3216" s="117"/>
      <c r="AY3216" s="117"/>
      <c r="AZ3216" s="117"/>
      <c r="BA3216" s="117"/>
      <c r="BB3216" s="117"/>
      <c r="BC3216" s="117"/>
      <c r="BD3216" s="117"/>
    </row>
    <row r="3217" spans="1:56" ht="18">
      <c r="A3217" s="114"/>
      <c r="B3217" s="398" t="s">
        <v>1125</v>
      </c>
      <c r="C3217" s="172"/>
      <c r="D3217" s="173"/>
      <c r="E3217" s="400">
        <f>E3216-(E3224-(C3203*C3204*C3206))</f>
        <v>22.065435737058458</v>
      </c>
      <c r="F3217" s="390" t="s">
        <v>1124</v>
      </c>
      <c r="G3217" s="196"/>
      <c r="H3217" s="196"/>
      <c r="I3217" s="196"/>
      <c r="J3217" s="196"/>
      <c r="AT3217" s="117"/>
      <c r="AU3217" s="117"/>
      <c r="AV3217" s="117"/>
      <c r="AW3217" s="117"/>
      <c r="AX3217" s="117"/>
      <c r="AY3217" s="117"/>
      <c r="AZ3217" s="117"/>
      <c r="BA3217" s="117"/>
      <c r="BB3217" s="117"/>
      <c r="BC3217" s="117"/>
      <c r="BD3217" s="117"/>
    </row>
    <row r="3218" spans="1:56" ht="15">
      <c r="A3218" s="114"/>
      <c r="B3218" s="398" t="s">
        <v>1126</v>
      </c>
      <c r="C3218" s="172"/>
      <c r="D3218" s="173"/>
      <c r="E3218" s="400">
        <f>((C3203+2*C3213)*(C3204+2*C3213))*C3208</f>
        <v>31.5</v>
      </c>
      <c r="F3218" s="390" t="s">
        <v>13</v>
      </c>
      <c r="G3218" s="362"/>
      <c r="H3218" s="362"/>
      <c r="I3218" s="362"/>
      <c r="J3218" s="362"/>
      <c r="AT3218" s="117"/>
      <c r="AU3218" s="117"/>
      <c r="AV3218" s="117"/>
      <c r="AW3218" s="117"/>
      <c r="AX3218" s="117"/>
      <c r="AY3218" s="117"/>
      <c r="AZ3218" s="117"/>
      <c r="BA3218" s="117"/>
      <c r="BB3218" s="117"/>
      <c r="BC3218" s="117"/>
      <c r="BD3218" s="117"/>
    </row>
    <row r="3219" spans="1:56" ht="15">
      <c r="A3219" s="114"/>
      <c r="B3219" s="362"/>
      <c r="C3219" s="362"/>
      <c r="D3219" s="362"/>
      <c r="E3219" s="401"/>
      <c r="F3219" s="196"/>
      <c r="G3219" s="362"/>
      <c r="H3219" s="362"/>
      <c r="I3219" s="362"/>
      <c r="J3219" s="362"/>
      <c r="AT3219" s="117"/>
      <c r="AU3219" s="117"/>
      <c r="AV3219" s="117"/>
      <c r="AW3219" s="117"/>
      <c r="AX3219" s="117"/>
      <c r="AY3219" s="117"/>
      <c r="AZ3219" s="117"/>
      <c r="BA3219" s="117"/>
      <c r="BB3219" s="117"/>
      <c r="BC3219" s="117"/>
      <c r="BD3219" s="117"/>
    </row>
    <row r="3220" spans="1:56" ht="15">
      <c r="A3220" s="114"/>
      <c r="B3220" s="362"/>
      <c r="C3220" s="362"/>
      <c r="D3220" s="362"/>
      <c r="E3220" s="410"/>
      <c r="F3220" s="362"/>
      <c r="G3220" s="362"/>
      <c r="H3220" s="362"/>
      <c r="I3220" s="362"/>
      <c r="J3220" s="362"/>
      <c r="K3220" s="471"/>
      <c r="AX3220" s="117"/>
      <c r="AY3220" s="117"/>
      <c r="AZ3220" s="117"/>
      <c r="BA3220" s="117"/>
      <c r="BB3220" s="117"/>
      <c r="BC3220" s="117"/>
      <c r="BD3220" s="117"/>
    </row>
    <row r="3221" spans="1:56" ht="15">
      <c r="A3221" s="114"/>
      <c r="B3221" s="303" t="s">
        <v>1160</v>
      </c>
      <c r="C3221" s="362"/>
      <c r="D3221" s="362"/>
      <c r="E3221" s="410"/>
      <c r="F3221" s="362"/>
      <c r="G3221" s="362"/>
      <c r="H3221" s="196" t="s">
        <v>1131</v>
      </c>
      <c r="I3221" s="362"/>
      <c r="J3221" s="362"/>
      <c r="K3221" s="471"/>
      <c r="AX3221" s="117"/>
      <c r="AY3221" s="117"/>
      <c r="AZ3221" s="117"/>
      <c r="BA3221" s="117"/>
      <c r="BB3221" s="117"/>
      <c r="BC3221" s="117"/>
      <c r="BD3221" s="117"/>
    </row>
    <row r="3222" spans="1:56" ht="18">
      <c r="A3222" s="114"/>
      <c r="B3222" s="398" t="s">
        <v>1128</v>
      </c>
      <c r="C3222" s="172"/>
      <c r="D3222" s="173"/>
      <c r="E3222" s="402">
        <f>E3218*0.05</f>
        <v>1.5750000000000002</v>
      </c>
      <c r="F3222" s="390" t="s">
        <v>1124</v>
      </c>
      <c r="G3222" s="362"/>
      <c r="H3222" s="362"/>
      <c r="I3222" s="362"/>
      <c r="J3222" s="362"/>
      <c r="AX3222" s="117"/>
      <c r="AY3222" s="117"/>
      <c r="AZ3222" s="117"/>
      <c r="BA3222" s="117"/>
      <c r="BB3222" s="117"/>
      <c r="BC3222" s="117"/>
      <c r="BD3222" s="117"/>
    </row>
    <row r="3223" spans="1:56" ht="15">
      <c r="A3223" s="114"/>
      <c r="B3223" s="398" t="s">
        <v>1129</v>
      </c>
      <c r="C3223" s="172"/>
      <c r="D3223" s="173"/>
      <c r="E3223" s="397">
        <f>(2*(C3203+C3204)*C3205)*C3208</f>
        <v>32.159999999999997</v>
      </c>
      <c r="F3223" s="390" t="s">
        <v>13</v>
      </c>
      <c r="G3223" s="362"/>
      <c r="H3223" s="362"/>
      <c r="I3223" s="362"/>
      <c r="J3223" s="362"/>
      <c r="AX3223" s="117"/>
      <c r="AY3223" s="117"/>
      <c r="AZ3223" s="117"/>
      <c r="BA3223" s="117"/>
      <c r="BB3223" s="117"/>
      <c r="BC3223" s="117"/>
      <c r="BD3223" s="117"/>
    </row>
    <row r="3224" spans="1:56" ht="18">
      <c r="A3224" s="114"/>
      <c r="B3224" s="398" t="s">
        <v>1130</v>
      </c>
      <c r="C3224" s="172"/>
      <c r="D3224" s="173"/>
      <c r="E3224" s="402">
        <f>(C3203*C3204*C3205)*C3208</f>
        <v>21.887999999999998</v>
      </c>
      <c r="F3224" s="390" t="s">
        <v>1124</v>
      </c>
      <c r="G3224" s="362"/>
      <c r="H3224" s="362"/>
      <c r="I3224" s="362"/>
      <c r="J3224" s="362"/>
      <c r="AX3224" s="117"/>
      <c r="AY3224" s="117"/>
      <c r="AZ3224" s="117"/>
      <c r="BA3224" s="117"/>
      <c r="BB3224" s="117"/>
      <c r="BC3224" s="117"/>
      <c r="BD3224" s="117"/>
    </row>
    <row r="3225" spans="1:56" ht="15">
      <c r="A3225" s="114"/>
      <c r="B3225" s="293"/>
      <c r="C3225" s="387"/>
      <c r="D3225" s="387"/>
      <c r="E3225" s="387"/>
      <c r="F3225" s="387"/>
      <c r="G3225" s="387"/>
      <c r="H3225" s="386"/>
      <c r="I3225" s="386"/>
      <c r="J3225" s="114"/>
      <c r="AW3225" s="117"/>
      <c r="AX3225" s="117"/>
      <c r="AY3225" s="117"/>
      <c r="AZ3225" s="117"/>
      <c r="BA3225" s="117"/>
      <c r="BB3225" s="117"/>
      <c r="BC3225" s="117"/>
      <c r="BD3225" s="117"/>
    </row>
    <row r="3226" spans="1:56">
      <c r="A3226" s="114"/>
      <c r="B3226" s="271" t="s">
        <v>394</v>
      </c>
      <c r="C3226" s="362"/>
      <c r="D3226" s="362"/>
      <c r="E3226" s="362"/>
      <c r="F3226" s="362"/>
      <c r="G3226" s="196"/>
      <c r="H3226" s="362"/>
      <c r="I3226" s="362"/>
      <c r="J3226" s="196"/>
      <c r="AX3226" s="117"/>
      <c r="AY3226" s="117"/>
      <c r="AZ3226" s="117"/>
      <c r="BA3226" s="117"/>
      <c r="BB3226" s="117"/>
      <c r="BC3226" s="117"/>
      <c r="BD3226" s="117"/>
    </row>
    <row r="3227" spans="1:56">
      <c r="A3227" s="114"/>
      <c r="B3227" s="472" t="s">
        <v>394</v>
      </c>
      <c r="C3227" s="473" t="s">
        <v>304</v>
      </c>
      <c r="D3227" s="473" t="s">
        <v>94</v>
      </c>
      <c r="E3227" s="474" t="s">
        <v>95</v>
      </c>
      <c r="F3227" s="474" t="s">
        <v>397</v>
      </c>
      <c r="G3227" s="115"/>
      <c r="H3227" s="114"/>
      <c r="I3227" s="114"/>
      <c r="J3227" s="114"/>
      <c r="AU3227" s="117"/>
      <c r="AV3227" s="117"/>
      <c r="AW3227" s="117"/>
      <c r="AX3227" s="117"/>
      <c r="AY3227" s="117"/>
      <c r="AZ3227" s="117"/>
      <c r="BA3227" s="117"/>
      <c r="BB3227" s="117"/>
      <c r="BC3227" s="117"/>
      <c r="BD3227" s="117"/>
    </row>
    <row r="3228" spans="1:56">
      <c r="A3228" s="114"/>
      <c r="B3228" s="272" t="s">
        <v>307</v>
      </c>
      <c r="C3228" s="194">
        <v>867.7</v>
      </c>
      <c r="D3228" s="181">
        <v>0.08</v>
      </c>
      <c r="E3228" s="475">
        <f>C3228*D3228</f>
        <v>69.416000000000011</v>
      </c>
      <c r="F3228" s="476">
        <f>C3228*0.05</f>
        <v>43.385000000000005</v>
      </c>
      <c r="G3228" s="115"/>
      <c r="H3228" s="114"/>
      <c r="I3228" s="114"/>
      <c r="J3228" s="114"/>
      <c r="AU3228" s="117"/>
      <c r="AV3228" s="117"/>
      <c r="AW3228" s="117"/>
      <c r="AX3228" s="117"/>
      <c r="AY3228" s="117"/>
      <c r="AZ3228" s="117"/>
      <c r="BA3228" s="117"/>
      <c r="BB3228" s="117"/>
      <c r="BC3228" s="117"/>
      <c r="BD3228" s="117"/>
    </row>
    <row r="3229" spans="1:56" ht="15">
      <c r="A3229" s="114"/>
      <c r="B3229" s="293"/>
      <c r="C3229" s="387"/>
      <c r="D3229" s="387"/>
      <c r="E3229" s="387"/>
      <c r="F3229" s="387"/>
      <c r="G3229" s="387"/>
      <c r="H3229" s="386"/>
      <c r="I3229" s="386"/>
      <c r="J3229" s="114"/>
      <c r="AW3229" s="117"/>
      <c r="AX3229" s="117"/>
      <c r="AY3229" s="117"/>
      <c r="AZ3229" s="117"/>
      <c r="BA3229" s="117"/>
      <c r="BB3229" s="117"/>
      <c r="BC3229" s="117"/>
      <c r="BD3229" s="117"/>
    </row>
    <row r="3230" spans="1:56" ht="15">
      <c r="A3230" s="114"/>
      <c r="B3230" s="293"/>
      <c r="C3230" s="387"/>
      <c r="D3230" s="387"/>
      <c r="E3230" s="387"/>
      <c r="F3230" s="387"/>
      <c r="G3230" s="387"/>
      <c r="H3230" s="386"/>
      <c r="I3230" s="386"/>
      <c r="J3230" s="114"/>
      <c r="AW3230" s="117"/>
      <c r="AX3230" s="117"/>
      <c r="AY3230" s="117"/>
      <c r="AZ3230" s="117"/>
      <c r="BA3230" s="117"/>
      <c r="BB3230" s="117"/>
      <c r="BC3230" s="117"/>
      <c r="BD3230" s="117"/>
    </row>
    <row r="3231" spans="1:56" thickBot="1">
      <c r="A3231" s="114"/>
      <c r="B3231" s="196"/>
      <c r="C3231" s="196"/>
      <c r="D3231" s="196"/>
      <c r="E3231" s="196"/>
      <c r="F3231" s="196"/>
      <c r="G3231" s="196"/>
      <c r="H3231" s="196"/>
      <c r="I3231" s="196"/>
      <c r="J3231" s="114"/>
      <c r="AT3231" s="117"/>
      <c r="AU3231" s="117"/>
      <c r="AV3231" s="117"/>
      <c r="AW3231" s="117"/>
      <c r="AX3231" s="117"/>
      <c r="AY3231" s="117"/>
      <c r="AZ3231" s="117"/>
      <c r="BA3231" s="117"/>
      <c r="BB3231" s="117"/>
      <c r="BC3231" s="117"/>
      <c r="BD3231" s="117"/>
    </row>
    <row r="3232" spans="1:56">
      <c r="A3232" s="114"/>
      <c r="B3232" s="702" t="s">
        <v>1189</v>
      </c>
      <c r="C3232" s="282"/>
      <c r="D3232" s="282"/>
      <c r="E3232" s="282"/>
      <c r="F3232" s="283"/>
      <c r="G3232" s="362"/>
      <c r="H3232" s="362"/>
      <c r="I3232" s="362"/>
      <c r="J3232" s="114"/>
      <c r="AU3232" s="117"/>
      <c r="AV3232" s="117"/>
      <c r="AW3232" s="117"/>
      <c r="AX3232" s="117"/>
      <c r="AY3232" s="117"/>
      <c r="AZ3232" s="117"/>
      <c r="BA3232" s="117"/>
      <c r="BB3232" s="117"/>
      <c r="BC3232" s="117"/>
      <c r="BD3232" s="117"/>
    </row>
    <row r="3233" spans="1:56" ht="15">
      <c r="A3233" s="114"/>
      <c r="B3233" s="693"/>
      <c r="C3233" s="196"/>
      <c r="D3233" s="196"/>
      <c r="E3233" s="196"/>
      <c r="F3233" s="284"/>
      <c r="G3233" s="362"/>
      <c r="H3233" s="362"/>
      <c r="I3233" s="362"/>
      <c r="J3233" s="114"/>
      <c r="AU3233" s="117"/>
      <c r="AV3233" s="117"/>
      <c r="AW3233" s="117"/>
      <c r="AX3233" s="117"/>
      <c r="AY3233" s="117"/>
      <c r="AZ3233" s="117"/>
      <c r="BA3233" s="117"/>
      <c r="BB3233" s="117"/>
      <c r="BC3233" s="117"/>
      <c r="BD3233" s="117"/>
    </row>
    <row r="3234" spans="1:56" ht="15">
      <c r="A3234" s="114"/>
      <c r="B3234" s="691" t="s">
        <v>1122</v>
      </c>
      <c r="C3234" s="410"/>
      <c r="D3234" s="1008"/>
      <c r="E3234" s="1008"/>
      <c r="F3234" s="424"/>
      <c r="G3234" s="362"/>
      <c r="H3234" s="362"/>
      <c r="I3234" s="362"/>
      <c r="J3234" s="114"/>
      <c r="AU3234" s="117"/>
      <c r="AV3234" s="117"/>
      <c r="AW3234" s="117"/>
      <c r="AX3234" s="117"/>
      <c r="AY3234" s="117"/>
      <c r="AZ3234" s="117"/>
      <c r="BA3234" s="117"/>
      <c r="BB3234" s="117"/>
      <c r="BC3234" s="117"/>
      <c r="BD3234" s="117"/>
    </row>
    <row r="3235" spans="1:56" ht="18">
      <c r="A3235" s="114"/>
      <c r="B3235" s="1011" t="s">
        <v>1123</v>
      </c>
      <c r="C3235" s="172"/>
      <c r="D3235" s="173"/>
      <c r="E3235" s="425">
        <f>E3216+E3188+E3160+E3132+E3104+E3076+E3048+E3022+E2994+E2968+E2942+E2909+E2877+E2811+E2763+E2741+E2844+E2786</f>
        <v>1010.1883429725568</v>
      </c>
      <c r="F3235" s="139" t="s">
        <v>1124</v>
      </c>
      <c r="G3235" s="362"/>
      <c r="H3235" s="362"/>
      <c r="I3235" s="362"/>
      <c r="J3235" s="114"/>
      <c r="AU3235" s="117"/>
      <c r="AV3235" s="117"/>
      <c r="AW3235" s="117"/>
      <c r="AX3235" s="117"/>
      <c r="AY3235" s="117"/>
      <c r="AZ3235" s="117"/>
      <c r="BA3235" s="117"/>
      <c r="BB3235" s="117"/>
      <c r="BC3235" s="117"/>
      <c r="BD3235" s="117"/>
    </row>
    <row r="3236" spans="1:56" ht="18">
      <c r="A3236" s="114"/>
      <c r="B3236" s="1011" t="s">
        <v>1190</v>
      </c>
      <c r="C3236" s="172"/>
      <c r="D3236" s="173"/>
      <c r="E3236" s="446">
        <f>E3217+E3189+E3161+E3133+E3105+E3077+E3049+E3023+E2995+E2969+E2943+E2910+E2878+E2812+E2764+E2742+E2845+E2787</f>
        <v>828.29988297255693</v>
      </c>
      <c r="F3236" s="139" t="s">
        <v>1124</v>
      </c>
      <c r="G3236" s="362"/>
      <c r="H3236" s="362"/>
      <c r="I3236" s="362"/>
      <c r="J3236" s="114"/>
      <c r="AU3236" s="117"/>
      <c r="AV3236" s="117"/>
      <c r="AW3236" s="117"/>
      <c r="AX3236" s="117"/>
      <c r="AY3236" s="117"/>
      <c r="AZ3236" s="117"/>
      <c r="BA3236" s="117"/>
      <c r="BB3236" s="117"/>
      <c r="BC3236" s="117"/>
      <c r="BD3236" s="117"/>
    </row>
    <row r="3237" spans="1:56" ht="15">
      <c r="A3237" s="114"/>
      <c r="B3237" s="1011" t="s">
        <v>1191</v>
      </c>
      <c r="C3237" s="172"/>
      <c r="D3237" s="173"/>
      <c r="E3237" s="446">
        <f>E3218+E3190+E3162+E3134+E3106+E3078+E3050+E3024+E2996+E2970+E2944+E2911+E2879+E2813+E2765+E2743+E2846+E2788</f>
        <v>331.24250000000006</v>
      </c>
      <c r="F3237" s="139" t="s">
        <v>13</v>
      </c>
      <c r="G3237" s="362"/>
      <c r="H3237" s="362"/>
      <c r="I3237" s="362"/>
      <c r="J3237" s="114"/>
      <c r="AU3237" s="117"/>
      <c r="AV3237" s="117"/>
      <c r="AW3237" s="117"/>
      <c r="AX3237" s="117"/>
      <c r="AY3237" s="117"/>
      <c r="AZ3237" s="117"/>
      <c r="BA3237" s="117"/>
      <c r="BB3237" s="117"/>
      <c r="BC3237" s="117"/>
      <c r="BD3237" s="117"/>
    </row>
    <row r="3238" spans="1:56" ht="15">
      <c r="A3238" s="114"/>
      <c r="B3238" s="40"/>
      <c r="C3238" s="1008"/>
      <c r="D3238" s="1008"/>
      <c r="E3238" s="401"/>
      <c r="F3238" s="284"/>
      <c r="G3238" s="362"/>
      <c r="H3238" s="362"/>
      <c r="I3238" s="362"/>
      <c r="J3238" s="114"/>
      <c r="AU3238" s="117"/>
      <c r="AV3238" s="117"/>
      <c r="AW3238" s="117"/>
      <c r="AX3238" s="117"/>
      <c r="AY3238" s="117"/>
      <c r="AZ3238" s="117"/>
      <c r="BA3238" s="117"/>
      <c r="BB3238" s="117"/>
      <c r="BC3238" s="117"/>
      <c r="BD3238" s="117"/>
    </row>
    <row r="3239" spans="1:56" ht="18">
      <c r="A3239" s="114"/>
      <c r="B3239" s="1011" t="s">
        <v>317</v>
      </c>
      <c r="C3239" s="172"/>
      <c r="D3239" s="173"/>
      <c r="E3239" s="425">
        <f>E3222+E3194+E3166+E3138+E3110+E3082+E3054+E3027+E2999+E2973+E2947+E2921+E2889+E2823+E2768+E2746+F3228+E2856+E2791</f>
        <v>59.947125000000014</v>
      </c>
      <c r="F3239" s="139" t="s">
        <v>1124</v>
      </c>
      <c r="G3239" s="196"/>
      <c r="H3239" s="196"/>
      <c r="I3239" s="196"/>
      <c r="J3239" s="114"/>
      <c r="AU3239" s="117"/>
      <c r="AV3239" s="117"/>
      <c r="AW3239" s="117"/>
      <c r="AX3239" s="117"/>
      <c r="AY3239" s="117"/>
      <c r="AZ3239" s="117"/>
      <c r="BA3239" s="117"/>
      <c r="BB3239" s="117"/>
      <c r="BC3239" s="117"/>
      <c r="BD3239" s="117"/>
    </row>
    <row r="3240" spans="1:56" ht="15">
      <c r="A3240" s="114"/>
      <c r="B3240" s="1011" t="s">
        <v>1192</v>
      </c>
      <c r="C3240" s="172"/>
      <c r="D3240" s="173"/>
      <c r="E3240" s="425">
        <f>E3223+E3195+E3167+E3139+E3111+E3083+E3055+E3028+E3000+E2974+E2948+E2922+E2890+E2824+E2769+E2747+E2857+E2792</f>
        <v>788.68500000000006</v>
      </c>
      <c r="F3240" s="139" t="s">
        <v>13</v>
      </c>
      <c r="G3240" s="196"/>
      <c r="H3240" s="196"/>
      <c r="I3240" s="196"/>
      <c r="J3240" s="114"/>
      <c r="AU3240" s="117"/>
      <c r="AV3240" s="117"/>
      <c r="AW3240" s="117"/>
      <c r="AX3240" s="117"/>
      <c r="AY3240" s="117"/>
      <c r="AZ3240" s="117"/>
      <c r="BA3240" s="117"/>
      <c r="BB3240" s="117"/>
      <c r="BC3240" s="117"/>
      <c r="BD3240" s="117"/>
    </row>
    <row r="3241" spans="1:56" ht="18">
      <c r="A3241" s="114"/>
      <c r="B3241" s="1011" t="s">
        <v>316</v>
      </c>
      <c r="C3241" s="172"/>
      <c r="D3241" s="173"/>
      <c r="E3241" s="425">
        <f>E3224+E3196+E3168+E3140+E3112+E3084+E3056+E3029+E3001+E2975+E2949+E2923+E2891+E2825+E2770+E2748+E3228+E2858+E2793</f>
        <v>252.990735</v>
      </c>
      <c r="F3241" s="139" t="s">
        <v>1124</v>
      </c>
      <c r="G3241" s="196"/>
      <c r="H3241" s="196"/>
      <c r="I3241" s="196"/>
      <c r="J3241" s="114"/>
      <c r="AU3241" s="117"/>
      <c r="AV3241" s="117"/>
      <c r="AW3241" s="117"/>
      <c r="AX3241" s="117"/>
      <c r="AY3241" s="117"/>
      <c r="AZ3241" s="117"/>
      <c r="BA3241" s="117"/>
      <c r="BB3241" s="117"/>
      <c r="BC3241" s="117"/>
      <c r="BD3241" s="117"/>
    </row>
    <row r="3242" spans="1:56">
      <c r="A3242" s="114"/>
      <c r="B3242" s="690"/>
      <c r="C3242" s="115"/>
      <c r="D3242" s="115"/>
      <c r="E3242" s="115"/>
      <c r="F3242" s="182"/>
      <c r="G3242" s="362"/>
      <c r="H3242" s="362"/>
      <c r="I3242" s="362"/>
      <c r="J3242" s="114"/>
      <c r="AU3242" s="117"/>
      <c r="AV3242" s="117"/>
      <c r="AW3242" s="117"/>
      <c r="AX3242" s="117"/>
      <c r="AY3242" s="117"/>
      <c r="AZ3242" s="117"/>
      <c r="BA3242" s="117"/>
      <c r="BB3242" s="117"/>
      <c r="BC3242" s="117"/>
      <c r="BD3242" s="117"/>
    </row>
    <row r="3243" spans="1:56">
      <c r="A3243" s="114"/>
      <c r="B3243" s="691" t="s">
        <v>1193</v>
      </c>
      <c r="C3243" s="1008"/>
      <c r="D3243" s="452" t="s">
        <v>1194</v>
      </c>
      <c r="E3243" s="452" t="s">
        <v>67</v>
      </c>
      <c r="F3243" s="182"/>
      <c r="G3243" s="362"/>
      <c r="H3243" s="362"/>
      <c r="I3243" s="362"/>
      <c r="J3243" s="114"/>
      <c r="AU3243" s="117"/>
      <c r="AV3243" s="117"/>
      <c r="AW3243" s="117"/>
      <c r="AX3243" s="117"/>
      <c r="AY3243" s="117"/>
      <c r="AZ3243" s="117"/>
      <c r="BA3243" s="117"/>
      <c r="BB3243" s="117"/>
      <c r="BC3243" s="117"/>
      <c r="BD3243" s="117"/>
    </row>
    <row r="3244" spans="1:56">
      <c r="A3244" s="114"/>
      <c r="B3244" s="1011" t="s">
        <v>1195</v>
      </c>
      <c r="C3244" s="413"/>
      <c r="D3244" s="291">
        <f>E2918+E2886+E2820+E2853</f>
        <v>936</v>
      </c>
      <c r="E3244" s="427">
        <f>E2915+E2883+E2817+E2850</f>
        <v>72</v>
      </c>
      <c r="F3244" s="182"/>
      <c r="G3244" s="362"/>
      <c r="H3244" s="362"/>
      <c r="I3244" s="362"/>
      <c r="J3244" s="114"/>
      <c r="AU3244" s="117"/>
      <c r="AV3244" s="117"/>
      <c r="AW3244" s="117"/>
      <c r="AX3244" s="117"/>
      <c r="AY3244" s="117"/>
      <c r="AZ3244" s="117"/>
      <c r="BA3244" s="117"/>
      <c r="BB3244" s="117"/>
      <c r="BC3244" s="117"/>
      <c r="BD3244" s="117"/>
    </row>
    <row r="3245" spans="1:56">
      <c r="A3245" s="114"/>
      <c r="B3245" s="694"/>
      <c r="C3245" s="1008"/>
      <c r="D3245" s="196"/>
      <c r="E3245" s="196"/>
      <c r="F3245" s="182"/>
      <c r="G3245" s="1008"/>
      <c r="H3245" s="1008"/>
      <c r="I3245" s="1008"/>
      <c r="J3245" s="114"/>
      <c r="AU3245" s="117"/>
      <c r="AV3245" s="117"/>
      <c r="AW3245" s="117"/>
      <c r="AX3245" s="117"/>
      <c r="AY3245" s="117"/>
      <c r="AZ3245" s="117"/>
      <c r="BA3245" s="117"/>
      <c r="BB3245" s="117"/>
      <c r="BC3245" s="117"/>
      <c r="BD3245" s="117"/>
    </row>
    <row r="3246" spans="1:56" thickBot="1">
      <c r="A3246" s="114"/>
      <c r="B3246" s="1012" t="s">
        <v>102</v>
      </c>
      <c r="C3246" s="1016">
        <v>3743</v>
      </c>
      <c r="D3246" s="1022" t="s">
        <v>12</v>
      </c>
      <c r="E3246" s="1020" t="s">
        <v>1252</v>
      </c>
      <c r="F3246" s="440"/>
      <c r="G3246" s="1008"/>
      <c r="H3246" s="1008"/>
      <c r="I3246" s="1008"/>
      <c r="J3246" s="114"/>
      <c r="AU3246" s="117"/>
      <c r="AV3246" s="117"/>
      <c r="AW3246" s="117"/>
      <c r="AX3246" s="117"/>
      <c r="AY3246" s="117"/>
      <c r="AZ3246" s="117"/>
      <c r="BA3246" s="117"/>
      <c r="BB3246" s="117"/>
      <c r="BC3246" s="117"/>
      <c r="BD3246" s="117"/>
    </row>
    <row r="3247" spans="1:56" ht="15">
      <c r="A3247" s="114"/>
      <c r="B3247" s="196"/>
      <c r="C3247" s="196"/>
      <c r="D3247" s="196"/>
      <c r="E3247" s="196"/>
      <c r="F3247" s="196"/>
      <c r="G3247" s="196"/>
      <c r="H3247" s="196"/>
      <c r="I3247" s="196"/>
      <c r="J3247" s="114"/>
      <c r="AT3247" s="117"/>
      <c r="AU3247" s="117"/>
      <c r="AV3247" s="117"/>
      <c r="AW3247" s="117"/>
      <c r="AX3247" s="117"/>
      <c r="AY3247" s="117"/>
      <c r="AZ3247" s="117"/>
      <c r="BA3247" s="117"/>
      <c r="BB3247" s="117"/>
      <c r="BC3247" s="117"/>
      <c r="BD3247" s="117"/>
    </row>
    <row r="3248" spans="1:56" thickBot="1">
      <c r="A3248" s="114"/>
      <c r="B3248" s="196"/>
      <c r="C3248" s="196"/>
      <c r="D3248" s="196"/>
      <c r="E3248" s="196"/>
      <c r="F3248" s="196"/>
      <c r="G3248" s="196"/>
      <c r="H3248" s="196"/>
      <c r="I3248" s="196"/>
      <c r="J3248" s="114"/>
      <c r="AW3248" s="117"/>
      <c r="AX3248" s="117"/>
      <c r="AY3248" s="117"/>
      <c r="AZ3248" s="117"/>
      <c r="BA3248" s="117"/>
      <c r="BB3248" s="117"/>
      <c r="BC3248" s="117"/>
      <c r="BD3248" s="117"/>
    </row>
    <row r="3249" spans="1:56">
      <c r="A3249" s="114"/>
      <c r="B3249" s="702" t="s">
        <v>320</v>
      </c>
      <c r="C3249" s="282"/>
      <c r="D3249" s="282"/>
      <c r="E3249" s="282"/>
      <c r="F3249" s="283"/>
      <c r="G3249" s="196"/>
      <c r="H3249" s="196"/>
      <c r="I3249" s="196"/>
      <c r="J3249" s="114"/>
      <c r="AW3249" s="117"/>
      <c r="AX3249" s="117"/>
      <c r="AY3249" s="117"/>
      <c r="AZ3249" s="117"/>
      <c r="BA3249" s="117"/>
      <c r="BB3249" s="117"/>
      <c r="BC3249" s="117"/>
      <c r="BD3249" s="117"/>
    </row>
    <row r="3250" spans="1:56" ht="15">
      <c r="A3250" s="114"/>
      <c r="B3250" s="693"/>
      <c r="C3250" s="196"/>
      <c r="D3250" s="196"/>
      <c r="E3250" s="196"/>
      <c r="F3250" s="284"/>
      <c r="G3250" s="196"/>
      <c r="H3250" s="196"/>
      <c r="I3250" s="196"/>
      <c r="J3250" s="114"/>
      <c r="AW3250" s="117"/>
      <c r="AX3250" s="117"/>
      <c r="AY3250" s="117"/>
      <c r="AZ3250" s="117"/>
      <c r="BA3250" s="117"/>
      <c r="BB3250" s="117"/>
      <c r="BC3250" s="117"/>
      <c r="BD3250" s="117"/>
    </row>
    <row r="3251" spans="1:56" ht="15">
      <c r="A3251" s="114"/>
      <c r="B3251" s="691" t="s">
        <v>1791</v>
      </c>
      <c r="C3251" s="196"/>
      <c r="D3251" s="196"/>
      <c r="E3251" s="196"/>
      <c r="F3251" s="284"/>
      <c r="G3251" s="196"/>
      <c r="H3251" s="196"/>
      <c r="I3251" s="196"/>
      <c r="J3251" s="114"/>
      <c r="AW3251" s="117"/>
      <c r="AX3251" s="117"/>
      <c r="AY3251" s="117"/>
      <c r="AZ3251" s="117"/>
      <c r="BA3251" s="117"/>
      <c r="BB3251" s="117"/>
      <c r="BC3251" s="117"/>
      <c r="BD3251" s="117"/>
    </row>
    <row r="3252" spans="1:56" ht="15">
      <c r="A3252" s="114"/>
      <c r="B3252" s="703" t="s">
        <v>102</v>
      </c>
      <c r="C3252" s="285">
        <v>7009</v>
      </c>
      <c r="D3252" s="286" t="s">
        <v>12</v>
      </c>
      <c r="E3252" s="699" t="s">
        <v>1792</v>
      </c>
      <c r="F3252" s="700"/>
      <c r="G3252" s="196"/>
      <c r="H3252" s="196"/>
      <c r="I3252" s="196"/>
      <c r="J3252" s="114"/>
      <c r="AW3252" s="117"/>
      <c r="AX3252" s="117"/>
      <c r="AY3252" s="117"/>
      <c r="AZ3252" s="117"/>
      <c r="BA3252" s="117"/>
      <c r="BB3252" s="117"/>
      <c r="BC3252" s="117"/>
      <c r="BD3252" s="117"/>
    </row>
    <row r="3253" spans="1:56" ht="15">
      <c r="A3253" s="114"/>
      <c r="B3253" s="703" t="s">
        <v>329</v>
      </c>
      <c r="C3253" s="285">
        <v>10</v>
      </c>
      <c r="D3253" s="286" t="s">
        <v>12</v>
      </c>
      <c r="E3253" s="765"/>
      <c r="F3253" s="436"/>
      <c r="G3253" s="196"/>
      <c r="H3253" s="196"/>
      <c r="I3253" s="196"/>
      <c r="J3253" s="114"/>
      <c r="AW3253" s="117"/>
      <c r="AX3253" s="117"/>
      <c r="AY3253" s="117"/>
      <c r="AZ3253" s="117"/>
      <c r="BA3253" s="117"/>
      <c r="BB3253" s="117"/>
      <c r="BC3253" s="117"/>
      <c r="BD3253" s="117"/>
    </row>
    <row r="3254" spans="1:56" ht="15">
      <c r="A3254" s="114"/>
      <c r="B3254" s="693"/>
      <c r="C3254" s="196"/>
      <c r="D3254" s="196"/>
      <c r="E3254" s="196"/>
      <c r="F3254" s="284"/>
      <c r="G3254" s="196"/>
      <c r="H3254" s="196"/>
      <c r="I3254" s="196"/>
      <c r="J3254" s="114"/>
      <c r="AW3254" s="117"/>
      <c r="AX3254" s="117"/>
      <c r="AY3254" s="117"/>
      <c r="AZ3254" s="117"/>
      <c r="BA3254" s="117"/>
      <c r="BB3254" s="117"/>
      <c r="BC3254" s="117"/>
      <c r="BD3254" s="117"/>
    </row>
    <row r="3255" spans="1:56" ht="15">
      <c r="A3255" s="114"/>
      <c r="B3255" s="691" t="s">
        <v>1793</v>
      </c>
      <c r="C3255" s="196"/>
      <c r="D3255" s="196"/>
      <c r="E3255" s="196"/>
      <c r="F3255" s="284"/>
      <c r="G3255" s="196"/>
      <c r="H3255" s="196"/>
      <c r="I3255" s="196"/>
      <c r="J3255" s="114"/>
      <c r="AW3255" s="117"/>
      <c r="AX3255" s="117"/>
      <c r="AY3255" s="117"/>
      <c r="AZ3255" s="117"/>
      <c r="BA3255" s="117"/>
      <c r="BB3255" s="117"/>
      <c r="BC3255" s="117"/>
      <c r="BD3255" s="117"/>
    </row>
    <row r="3256" spans="1:56" ht="15">
      <c r="A3256" s="114"/>
      <c r="B3256" s="703" t="s">
        <v>102</v>
      </c>
      <c r="C3256" s="285">
        <v>2106</v>
      </c>
      <c r="D3256" s="286" t="s">
        <v>12</v>
      </c>
      <c r="E3256" s="699" t="s">
        <v>1794</v>
      </c>
      <c r="F3256" s="700"/>
      <c r="G3256" s="196"/>
      <c r="H3256" s="196"/>
      <c r="I3256" s="196"/>
      <c r="J3256" s="114"/>
      <c r="AW3256" s="117"/>
      <c r="AX3256" s="117"/>
      <c r="AY3256" s="117"/>
      <c r="AZ3256" s="117"/>
      <c r="BA3256" s="117"/>
      <c r="BB3256" s="117"/>
      <c r="BC3256" s="117"/>
      <c r="BD3256" s="117"/>
    </row>
    <row r="3257" spans="1:56" ht="15">
      <c r="A3257" s="114"/>
      <c r="B3257" s="703" t="s">
        <v>329</v>
      </c>
      <c r="C3257" s="285">
        <v>23</v>
      </c>
      <c r="D3257" s="286" t="s">
        <v>12</v>
      </c>
      <c r="E3257" s="765"/>
      <c r="F3257" s="436"/>
      <c r="G3257" s="196"/>
      <c r="H3257" s="196"/>
      <c r="I3257" s="196"/>
      <c r="J3257" s="114"/>
      <c r="AW3257" s="117"/>
      <c r="AX3257" s="117"/>
      <c r="AY3257" s="117"/>
      <c r="AZ3257" s="117"/>
      <c r="BA3257" s="117"/>
      <c r="BB3257" s="117"/>
      <c r="BC3257" s="117"/>
      <c r="BD3257" s="117"/>
    </row>
    <row r="3258" spans="1:56" ht="15">
      <c r="A3258" s="114"/>
      <c r="B3258" s="693"/>
      <c r="C3258" s="196"/>
      <c r="D3258" s="196"/>
      <c r="E3258" s="196"/>
      <c r="F3258" s="284"/>
      <c r="G3258" s="196"/>
      <c r="H3258" s="196"/>
      <c r="I3258" s="196"/>
      <c r="J3258" s="114"/>
      <c r="AW3258" s="117"/>
      <c r="AX3258" s="117"/>
      <c r="AY3258" s="117"/>
      <c r="AZ3258" s="117"/>
      <c r="BA3258" s="117"/>
      <c r="BB3258" s="117"/>
      <c r="BC3258" s="117"/>
      <c r="BD3258" s="117"/>
    </row>
    <row r="3259" spans="1:56" ht="15">
      <c r="A3259" s="114"/>
      <c r="B3259" s="691" t="s">
        <v>1253</v>
      </c>
      <c r="C3259" s="196"/>
      <c r="D3259" s="196"/>
      <c r="E3259" s="196"/>
      <c r="F3259" s="284"/>
      <c r="G3259" s="196"/>
      <c r="H3259" s="196"/>
      <c r="I3259" s="196"/>
      <c r="J3259" s="114"/>
      <c r="AW3259" s="117"/>
      <c r="AX3259" s="117"/>
      <c r="AY3259" s="117"/>
      <c r="AZ3259" s="117"/>
      <c r="BA3259" s="117"/>
      <c r="BB3259" s="117"/>
      <c r="BC3259" s="117"/>
      <c r="BD3259" s="117"/>
    </row>
    <row r="3260" spans="1:56" ht="15">
      <c r="A3260" s="114"/>
      <c r="B3260" s="703" t="s">
        <v>102</v>
      </c>
      <c r="C3260" s="285">
        <v>7683</v>
      </c>
      <c r="D3260" s="286" t="s">
        <v>12</v>
      </c>
      <c r="E3260" s="768" t="s">
        <v>1254</v>
      </c>
      <c r="F3260" s="139"/>
      <c r="G3260" s="196"/>
      <c r="H3260" s="196"/>
      <c r="I3260" s="196"/>
      <c r="J3260" s="114"/>
      <c r="AW3260" s="117"/>
      <c r="AX3260" s="117"/>
      <c r="AY3260" s="117"/>
      <c r="AZ3260" s="117"/>
      <c r="BA3260" s="117"/>
      <c r="BB3260" s="117"/>
      <c r="BC3260" s="117"/>
      <c r="BD3260" s="117"/>
    </row>
    <row r="3261" spans="1:56" ht="15">
      <c r="A3261" s="114"/>
      <c r="B3261" s="694"/>
      <c r="C3261" s="287"/>
      <c r="D3261" s="196"/>
      <c r="E3261" s="288"/>
      <c r="F3261" s="284"/>
      <c r="G3261" s="196"/>
      <c r="H3261" s="196"/>
      <c r="I3261" s="196"/>
      <c r="J3261" s="114"/>
      <c r="AW3261" s="117"/>
      <c r="AX3261" s="117"/>
      <c r="AY3261" s="117"/>
      <c r="AZ3261" s="117"/>
      <c r="BA3261" s="117"/>
      <c r="BB3261" s="117"/>
      <c r="BC3261" s="117"/>
      <c r="BD3261" s="117"/>
    </row>
    <row r="3262" spans="1:56" ht="15">
      <c r="A3262" s="114"/>
      <c r="B3262" s="691" t="s">
        <v>351</v>
      </c>
      <c r="C3262" s="287"/>
      <c r="D3262" s="196"/>
      <c r="E3262" s="288"/>
      <c r="F3262" s="284"/>
      <c r="G3262" s="196"/>
      <c r="H3262" s="196"/>
      <c r="I3262" s="196"/>
      <c r="J3262" s="114"/>
      <c r="AW3262" s="117"/>
      <c r="AX3262" s="117"/>
      <c r="AY3262" s="117"/>
      <c r="AZ3262" s="117"/>
      <c r="BA3262" s="117"/>
      <c r="BB3262" s="117"/>
      <c r="BC3262" s="117"/>
      <c r="BD3262" s="117"/>
    </row>
    <row r="3263" spans="1:56" ht="15">
      <c r="A3263" s="114"/>
      <c r="B3263" s="703" t="s">
        <v>352</v>
      </c>
      <c r="C3263" s="172"/>
      <c r="D3263" s="173"/>
      <c r="E3263" s="291">
        <f>C3246+C3252+C3256+C3260</f>
        <v>20541</v>
      </c>
      <c r="F3263" s="139" t="s">
        <v>12</v>
      </c>
      <c r="G3263" s="362"/>
      <c r="H3263" s="362"/>
      <c r="I3263" s="362"/>
      <c r="J3263" s="114"/>
      <c r="AU3263" s="117"/>
      <c r="AV3263" s="117"/>
      <c r="AW3263" s="117"/>
      <c r="AX3263" s="117"/>
      <c r="AY3263" s="117"/>
      <c r="AZ3263" s="117"/>
      <c r="BA3263" s="117"/>
      <c r="BB3263" s="117"/>
      <c r="BC3263" s="117"/>
      <c r="BD3263" s="117"/>
    </row>
    <row r="3264" spans="1:56" thickBot="1">
      <c r="A3264" s="114"/>
      <c r="B3264" s="704" t="s">
        <v>353</v>
      </c>
      <c r="C3264" s="325"/>
      <c r="D3264" s="326"/>
      <c r="E3264" s="701">
        <f>C3257+C3253</f>
        <v>33</v>
      </c>
      <c r="F3264" s="292" t="s">
        <v>12</v>
      </c>
      <c r="G3264" s="686"/>
      <c r="H3264" s="686"/>
      <c r="I3264" s="686"/>
      <c r="J3264" s="114"/>
      <c r="AU3264" s="117"/>
      <c r="AV3264" s="117"/>
      <c r="AW3264" s="117"/>
      <c r="AX3264" s="117"/>
      <c r="AY3264" s="117"/>
      <c r="AZ3264" s="117"/>
      <c r="BA3264" s="117"/>
      <c r="BB3264" s="117"/>
      <c r="BC3264" s="117"/>
      <c r="BD3264" s="117"/>
    </row>
    <row r="3265" spans="1:56" ht="15">
      <c r="A3265" s="114"/>
      <c r="B3265" s="293"/>
      <c r="C3265" s="387"/>
      <c r="D3265" s="387"/>
      <c r="E3265" s="387"/>
      <c r="F3265" s="387"/>
      <c r="G3265" s="387"/>
      <c r="H3265" s="386"/>
      <c r="I3265" s="386"/>
      <c r="J3265" s="114"/>
      <c r="AW3265" s="117"/>
      <c r="AX3265" s="117"/>
      <c r="AY3265" s="117"/>
      <c r="AZ3265" s="117"/>
      <c r="BA3265" s="117"/>
      <c r="BB3265" s="117"/>
      <c r="BC3265" s="117"/>
      <c r="BD3265" s="117"/>
    </row>
    <row r="3266" spans="1:56">
      <c r="A3266" s="114"/>
      <c r="B3266" s="115"/>
      <c r="C3266" s="115"/>
      <c r="D3266" s="115"/>
      <c r="E3266" s="115"/>
      <c r="F3266" s="115"/>
      <c r="G3266" s="115"/>
      <c r="H3266" s="115"/>
      <c r="I3266" s="115"/>
      <c r="J3266" s="114"/>
      <c r="AW3266" s="117"/>
      <c r="AX3266" s="117"/>
      <c r="AY3266" s="117"/>
      <c r="AZ3266" s="117"/>
      <c r="BA3266" s="117"/>
      <c r="BB3266" s="117"/>
      <c r="BC3266" s="117"/>
      <c r="BD3266" s="117"/>
    </row>
    <row r="3267" spans="1:56" ht="15">
      <c r="A3267" s="114"/>
      <c r="B3267" s="760" t="s">
        <v>2276</v>
      </c>
      <c r="C3267" s="382"/>
      <c r="D3267" s="382"/>
      <c r="E3267" s="382"/>
      <c r="F3267" s="382"/>
      <c r="G3267" s="382"/>
      <c r="H3267" s="383"/>
      <c r="I3267" s="383"/>
      <c r="J3267" s="351"/>
      <c r="AW3267" s="117"/>
      <c r="AX3267" s="117"/>
      <c r="AY3267" s="117"/>
      <c r="AZ3267" s="117"/>
      <c r="BA3267" s="117"/>
      <c r="BB3267" s="117"/>
      <c r="BC3267" s="117"/>
      <c r="BD3267" s="117"/>
    </row>
    <row r="3268" spans="1:56" ht="15">
      <c r="A3268" s="114"/>
      <c r="B3268" s="293"/>
      <c r="C3268" s="387"/>
      <c r="D3268" s="387"/>
      <c r="E3268" s="387"/>
      <c r="F3268" s="387"/>
      <c r="G3268" s="387"/>
      <c r="H3268" s="386"/>
      <c r="I3268" s="386"/>
      <c r="J3268" s="114"/>
      <c r="AW3268" s="117"/>
      <c r="AX3268" s="117"/>
      <c r="AY3268" s="117"/>
      <c r="AZ3268" s="117"/>
      <c r="BA3268" s="117"/>
      <c r="BB3268" s="117"/>
      <c r="BC3268" s="117"/>
      <c r="BD3268" s="117"/>
    </row>
    <row r="3269" spans="1:56" ht="15">
      <c r="A3269" s="114"/>
      <c r="B3269" s="288" t="s">
        <v>1787</v>
      </c>
      <c r="C3269" s="230"/>
      <c r="D3269" s="230"/>
      <c r="E3269" s="384"/>
      <c r="F3269" s="196"/>
      <c r="G3269" s="196"/>
      <c r="H3269" s="196"/>
      <c r="I3269" s="196"/>
      <c r="J3269" s="114"/>
      <c r="AW3269" s="117"/>
      <c r="AX3269" s="117"/>
      <c r="AY3269" s="117"/>
      <c r="AZ3269" s="117"/>
      <c r="BA3269" s="117"/>
      <c r="BB3269" s="117"/>
      <c r="BC3269" s="117"/>
      <c r="BD3269" s="117"/>
    </row>
    <row r="3270" spans="1:56" ht="15">
      <c r="A3270" s="114"/>
      <c r="B3270" s="293"/>
      <c r="C3270" s="387"/>
      <c r="D3270" s="387"/>
      <c r="E3270" s="387"/>
      <c r="F3270" s="387"/>
      <c r="G3270" s="387"/>
      <c r="H3270" s="386"/>
      <c r="I3270" s="386"/>
      <c r="J3270" s="114"/>
      <c r="AW3270" s="117"/>
      <c r="AX3270" s="117"/>
      <c r="AY3270" s="117"/>
      <c r="AZ3270" s="117"/>
      <c r="BA3270" s="117"/>
      <c r="BB3270" s="117"/>
      <c r="BC3270" s="117"/>
      <c r="BD3270" s="117"/>
    </row>
    <row r="3271" spans="1:56">
      <c r="A3271" s="114"/>
      <c r="B3271" s="385" t="s">
        <v>1255</v>
      </c>
      <c r="C3271" s="196"/>
      <c r="D3271" s="196"/>
      <c r="E3271" s="196"/>
      <c r="F3271" s="196"/>
      <c r="G3271" s="196"/>
      <c r="H3271" s="196"/>
      <c r="I3271" s="196"/>
      <c r="J3271" s="114"/>
      <c r="AW3271" s="117"/>
      <c r="AX3271" s="117"/>
      <c r="AY3271" s="117"/>
      <c r="AZ3271" s="117"/>
      <c r="BA3271" s="117"/>
      <c r="BB3271" s="117"/>
      <c r="BC3271" s="117"/>
      <c r="BD3271" s="117"/>
    </row>
    <row r="3272" spans="1:56" ht="15">
      <c r="A3272" s="114"/>
      <c r="B3272" s="196"/>
      <c r="C3272" s="196"/>
      <c r="D3272" s="196"/>
      <c r="E3272" s="196"/>
      <c r="F3272" s="196"/>
      <c r="G3272" s="196"/>
      <c r="H3272" s="196"/>
      <c r="I3272" s="196"/>
      <c r="J3272" s="114"/>
      <c r="AW3272" s="117"/>
      <c r="AX3272" s="117"/>
      <c r="AY3272" s="117"/>
      <c r="AZ3272" s="117"/>
      <c r="BA3272" s="117"/>
      <c r="BB3272" s="117"/>
      <c r="BC3272" s="117"/>
      <c r="BD3272" s="117"/>
    </row>
    <row r="3273" spans="1:56" ht="15">
      <c r="A3273" s="114"/>
      <c r="B3273" s="388" t="s">
        <v>1110</v>
      </c>
      <c r="C3273" s="389">
        <v>0.2</v>
      </c>
      <c r="D3273" s="390" t="s">
        <v>10</v>
      </c>
      <c r="E3273" s="196"/>
      <c r="F3273" s="196"/>
      <c r="G3273" s="392"/>
      <c r="H3273" s="393"/>
      <c r="I3273" s="196"/>
      <c r="J3273" s="114"/>
      <c r="AW3273" s="117"/>
      <c r="AX3273" s="117"/>
      <c r="AY3273" s="117"/>
      <c r="AZ3273" s="117"/>
      <c r="BA3273" s="117"/>
      <c r="BB3273" s="117"/>
      <c r="BC3273" s="117"/>
      <c r="BD3273" s="117"/>
    </row>
    <row r="3274" spans="1:56" ht="15">
      <c r="A3274" s="114"/>
      <c r="B3274" s="388" t="s">
        <v>1111</v>
      </c>
      <c r="C3274" s="448">
        <f>2.45+2.475+2.45+2.18+3.9+2</f>
        <v>15.455000000000002</v>
      </c>
      <c r="D3274" s="390" t="s">
        <v>10</v>
      </c>
      <c r="E3274" s="196"/>
      <c r="F3274" s="196"/>
      <c r="G3274" s="392"/>
      <c r="H3274" s="393"/>
      <c r="I3274" s="196"/>
      <c r="J3274" s="114"/>
      <c r="AW3274" s="117"/>
      <c r="AX3274" s="117"/>
      <c r="AY3274" s="117"/>
      <c r="AZ3274" s="117"/>
      <c r="BA3274" s="117"/>
      <c r="BB3274" s="117"/>
      <c r="BC3274" s="117"/>
      <c r="BD3274" s="117"/>
    </row>
    <row r="3275" spans="1:56" ht="15">
      <c r="A3275" s="114"/>
      <c r="B3275" s="388" t="s">
        <v>1112</v>
      </c>
      <c r="C3275" s="389">
        <v>0.4</v>
      </c>
      <c r="D3275" s="390" t="s">
        <v>10</v>
      </c>
      <c r="E3275" s="196"/>
      <c r="F3275" s="196"/>
      <c r="G3275" s="392"/>
      <c r="H3275" s="393"/>
      <c r="I3275" s="196"/>
      <c r="J3275" s="114"/>
      <c r="AW3275" s="117"/>
      <c r="AX3275" s="117"/>
      <c r="AY3275" s="117"/>
      <c r="AZ3275" s="117"/>
      <c r="BA3275" s="117"/>
      <c r="BB3275" s="117"/>
      <c r="BC3275" s="117"/>
      <c r="BD3275" s="117"/>
    </row>
    <row r="3276" spans="1:56" ht="15">
      <c r="A3276" s="114"/>
      <c r="B3276" s="388" t="s">
        <v>1113</v>
      </c>
      <c r="C3276" s="389">
        <v>0.45</v>
      </c>
      <c r="D3276" s="390" t="s">
        <v>10</v>
      </c>
      <c r="E3276" s="196"/>
      <c r="F3276" s="196"/>
      <c r="G3276" s="392"/>
      <c r="H3276" s="394"/>
      <c r="I3276" s="196"/>
      <c r="J3276" s="114"/>
      <c r="AW3276" s="117"/>
      <c r="AX3276" s="117"/>
      <c r="AY3276" s="117"/>
      <c r="AZ3276" s="117"/>
      <c r="BA3276" s="117"/>
      <c r="BB3276" s="117"/>
      <c r="BC3276" s="117"/>
      <c r="BD3276" s="117"/>
    </row>
    <row r="3277" spans="1:56" ht="15">
      <c r="A3277" s="114"/>
      <c r="B3277" s="388" t="s">
        <v>1117</v>
      </c>
      <c r="C3277" s="389">
        <v>1</v>
      </c>
      <c r="D3277" s="390" t="s">
        <v>1118</v>
      </c>
      <c r="E3277" s="196"/>
      <c r="F3277" s="196"/>
      <c r="G3277" s="392"/>
      <c r="H3277" s="393"/>
      <c r="I3277" s="196"/>
      <c r="J3277" s="114"/>
      <c r="AW3277" s="117"/>
      <c r="AX3277" s="117"/>
      <c r="AY3277" s="117"/>
      <c r="AZ3277" s="117"/>
      <c r="BA3277" s="117"/>
      <c r="BB3277" s="117"/>
      <c r="BC3277" s="117"/>
      <c r="BD3277" s="117"/>
    </row>
    <row r="3278" spans="1:56" ht="15">
      <c r="A3278" s="114"/>
      <c r="B3278" s="392"/>
      <c r="C3278" s="393"/>
      <c r="D3278" s="196"/>
      <c r="E3278" s="196"/>
      <c r="F3278" s="196"/>
      <c r="G3278" s="392"/>
      <c r="H3278" s="393"/>
      <c r="I3278" s="196"/>
      <c r="J3278" s="114"/>
      <c r="AW3278" s="117"/>
      <c r="AX3278" s="117"/>
      <c r="AY3278" s="117"/>
      <c r="AZ3278" s="117"/>
      <c r="BA3278" s="117"/>
      <c r="BB3278" s="117"/>
      <c r="BC3278" s="117"/>
      <c r="BD3278" s="117"/>
    </row>
    <row r="3279" spans="1:56" ht="15">
      <c r="A3279" s="114"/>
      <c r="B3279" s="388" t="s">
        <v>1114</v>
      </c>
      <c r="C3279" s="389">
        <v>0.6</v>
      </c>
      <c r="D3279" s="390" t="s">
        <v>10</v>
      </c>
      <c r="E3279" s="288" t="s">
        <v>1120</v>
      </c>
      <c r="F3279" s="288"/>
      <c r="G3279" s="230"/>
      <c r="H3279" s="395"/>
      <c r="I3279" s="196"/>
      <c r="J3279" s="114"/>
      <c r="AW3279" s="117"/>
      <c r="AX3279" s="117"/>
      <c r="AY3279" s="117"/>
      <c r="AZ3279" s="117"/>
      <c r="BA3279" s="117"/>
      <c r="BB3279" s="117"/>
      <c r="BC3279" s="117"/>
      <c r="BD3279" s="117"/>
    </row>
    <row r="3280" spans="1:56" ht="15">
      <c r="A3280" s="114"/>
      <c r="B3280" s="388" t="s">
        <v>1114</v>
      </c>
      <c r="C3280" s="389">
        <v>0.2</v>
      </c>
      <c r="D3280" s="390" t="s">
        <v>10</v>
      </c>
      <c r="E3280" s="288" t="s">
        <v>1121</v>
      </c>
      <c r="F3280" s="288"/>
      <c r="G3280" s="230"/>
      <c r="H3280" s="395"/>
      <c r="I3280" s="196"/>
      <c r="J3280" s="114"/>
      <c r="AW3280" s="117"/>
      <c r="AX3280" s="117"/>
      <c r="AY3280" s="117"/>
      <c r="AZ3280" s="117"/>
      <c r="BA3280" s="117"/>
      <c r="BB3280" s="117"/>
      <c r="BC3280" s="117"/>
      <c r="BD3280" s="117"/>
    </row>
    <row r="3281" spans="1:56" ht="15">
      <c r="A3281" s="114"/>
      <c r="B3281" s="196"/>
      <c r="C3281" s="196"/>
      <c r="D3281" s="196"/>
      <c r="E3281" s="196"/>
      <c r="F3281" s="196"/>
      <c r="G3281" s="196"/>
      <c r="H3281" s="196"/>
      <c r="I3281" s="196"/>
      <c r="J3281" s="114"/>
      <c r="AW3281" s="117"/>
      <c r="AX3281" s="117"/>
      <c r="AY3281" s="117"/>
      <c r="AZ3281" s="117"/>
      <c r="BA3281" s="117"/>
      <c r="BB3281" s="117"/>
      <c r="BC3281" s="117"/>
      <c r="BD3281" s="117"/>
    </row>
    <row r="3282" spans="1:56" ht="15">
      <c r="A3282" s="114"/>
      <c r="B3282" s="303" t="s">
        <v>1122</v>
      </c>
      <c r="C3282" s="362"/>
      <c r="D3282" s="362"/>
      <c r="E3282" s="196"/>
      <c r="F3282" s="196"/>
      <c r="G3282" s="196"/>
      <c r="H3282" s="196"/>
      <c r="I3282" s="196"/>
      <c r="J3282" s="114"/>
      <c r="AW3282" s="117"/>
      <c r="AX3282" s="117"/>
      <c r="AY3282" s="117"/>
      <c r="AZ3282" s="117"/>
      <c r="BA3282" s="117"/>
      <c r="BB3282" s="117"/>
      <c r="BC3282" s="117"/>
      <c r="BD3282" s="117"/>
    </row>
    <row r="3283" spans="1:56" ht="18">
      <c r="A3283" s="114"/>
      <c r="B3283" s="396" t="s">
        <v>1123</v>
      </c>
      <c r="C3283" s="289"/>
      <c r="D3283" s="290"/>
      <c r="E3283" s="397">
        <f>C3277*(C3279*2*(0.05+C3276+C3275)*C3274)</f>
        <v>16.691400000000002</v>
      </c>
      <c r="F3283" s="390" t="s">
        <v>1124</v>
      </c>
      <c r="G3283" s="196"/>
      <c r="H3283" s="196"/>
      <c r="I3283" s="196"/>
      <c r="J3283" s="114"/>
      <c r="AW3283" s="117"/>
      <c r="AX3283" s="117"/>
      <c r="AY3283" s="117"/>
      <c r="AZ3283" s="117"/>
      <c r="BA3283" s="117"/>
      <c r="BB3283" s="117"/>
      <c r="BC3283" s="117"/>
      <c r="BD3283" s="117"/>
    </row>
    <row r="3284" spans="1:56" ht="18">
      <c r="A3284" s="114"/>
      <c r="B3284" s="398" t="s">
        <v>1125</v>
      </c>
      <c r="C3284" s="172"/>
      <c r="D3284" s="173"/>
      <c r="E3284" s="397">
        <f>E3283-(E3288+E3290)</f>
        <v>14.991350000000001</v>
      </c>
      <c r="F3284" s="390" t="s">
        <v>1124</v>
      </c>
      <c r="G3284" s="196"/>
      <c r="H3284" s="196"/>
      <c r="I3284" s="196"/>
      <c r="J3284" s="114"/>
      <c r="AW3284" s="117"/>
      <c r="AX3284" s="117"/>
      <c r="AY3284" s="117"/>
      <c r="AZ3284" s="117"/>
      <c r="BA3284" s="117"/>
      <c r="BB3284" s="117"/>
      <c r="BC3284" s="117"/>
      <c r="BD3284" s="117"/>
    </row>
    <row r="3285" spans="1:56" ht="15">
      <c r="A3285" s="114"/>
      <c r="B3285" s="399" t="s">
        <v>1126</v>
      </c>
      <c r="C3285" s="317"/>
      <c r="D3285" s="318"/>
      <c r="E3285" s="400">
        <f>(2*C3280)*C3274</f>
        <v>6.1820000000000013</v>
      </c>
      <c r="F3285" s="390" t="s">
        <v>13</v>
      </c>
      <c r="G3285" s="196"/>
      <c r="H3285" s="196"/>
      <c r="I3285" s="196"/>
      <c r="J3285" s="114"/>
      <c r="AW3285" s="117"/>
      <c r="AX3285" s="117"/>
      <c r="AY3285" s="117"/>
      <c r="AZ3285" s="117"/>
      <c r="BA3285" s="117"/>
      <c r="BB3285" s="117"/>
      <c r="BC3285" s="117"/>
      <c r="BD3285" s="117"/>
    </row>
    <row r="3286" spans="1:56" ht="15">
      <c r="A3286" s="114"/>
      <c r="B3286" s="196"/>
      <c r="C3286" s="196"/>
      <c r="D3286" s="196"/>
      <c r="E3286" s="401"/>
      <c r="F3286" s="196"/>
      <c r="G3286" s="196"/>
      <c r="H3286" s="196"/>
      <c r="I3286" s="196"/>
      <c r="J3286" s="114"/>
      <c r="AW3286" s="117"/>
      <c r="AX3286" s="117"/>
      <c r="AY3286" s="117"/>
      <c r="AZ3286" s="117"/>
      <c r="BA3286" s="117"/>
      <c r="BB3286" s="117"/>
      <c r="BC3286" s="117"/>
      <c r="BD3286" s="117"/>
    </row>
    <row r="3287" spans="1:56" ht="15">
      <c r="A3287" s="114"/>
      <c r="B3287" s="303" t="s">
        <v>1127</v>
      </c>
      <c r="C3287" s="196"/>
      <c r="D3287" s="196"/>
      <c r="E3287" s="401"/>
      <c r="F3287" s="196"/>
      <c r="G3287" s="196"/>
      <c r="H3287" s="196"/>
      <c r="I3287" s="196"/>
      <c r="J3287" s="114"/>
      <c r="AW3287" s="117"/>
      <c r="AX3287" s="117"/>
      <c r="AY3287" s="117"/>
      <c r="AZ3287" s="117"/>
      <c r="BA3287" s="117"/>
      <c r="BB3287" s="117"/>
      <c r="BC3287" s="117"/>
      <c r="BD3287" s="117"/>
    </row>
    <row r="3288" spans="1:56" ht="18">
      <c r="A3288" s="114"/>
      <c r="B3288" s="398" t="s">
        <v>1128</v>
      </c>
      <c r="C3288" s="172"/>
      <c r="D3288" s="173"/>
      <c r="E3288" s="402">
        <f>E3285*0.05</f>
        <v>0.3091000000000001</v>
      </c>
      <c r="F3288" s="390" t="s">
        <v>1124</v>
      </c>
      <c r="G3288" s="196"/>
      <c r="H3288" s="196"/>
      <c r="I3288" s="196"/>
      <c r="J3288" s="114"/>
      <c r="AW3288" s="117"/>
      <c r="AX3288" s="117"/>
      <c r="AY3288" s="117"/>
      <c r="AZ3288" s="117"/>
      <c r="BA3288" s="117"/>
      <c r="BB3288" s="117"/>
      <c r="BC3288" s="117"/>
      <c r="BD3288" s="117"/>
    </row>
    <row r="3289" spans="1:56" ht="15">
      <c r="A3289" s="114"/>
      <c r="B3289" s="398" t="s">
        <v>1129</v>
      </c>
      <c r="C3289" s="172"/>
      <c r="D3289" s="173"/>
      <c r="E3289" s="397">
        <f>C3276*2*C3274</f>
        <v>13.909500000000001</v>
      </c>
      <c r="F3289" s="390" t="s">
        <v>13</v>
      </c>
      <c r="G3289" s="393" t="s">
        <v>1108</v>
      </c>
      <c r="H3289" s="196" t="s">
        <v>1131</v>
      </c>
      <c r="I3289" s="393"/>
      <c r="J3289" s="114"/>
      <c r="AW3289" s="117"/>
      <c r="AX3289" s="117"/>
      <c r="AY3289" s="117"/>
      <c r="AZ3289" s="117"/>
      <c r="BA3289" s="117"/>
      <c r="BB3289" s="117"/>
      <c r="BC3289" s="117"/>
      <c r="BD3289" s="117"/>
    </row>
    <row r="3290" spans="1:56" ht="18">
      <c r="A3290" s="114"/>
      <c r="B3290" s="398" t="s">
        <v>1130</v>
      </c>
      <c r="C3290" s="172"/>
      <c r="D3290" s="173"/>
      <c r="E3290" s="402">
        <f>C3273*C3274*C3276</f>
        <v>1.3909500000000004</v>
      </c>
      <c r="F3290" s="390" t="s">
        <v>1124</v>
      </c>
      <c r="G3290" s="196"/>
      <c r="H3290" s="196"/>
      <c r="I3290" s="196"/>
      <c r="J3290" s="114"/>
      <c r="AW3290" s="117"/>
      <c r="AX3290" s="117"/>
      <c r="AY3290" s="117"/>
      <c r="AZ3290" s="117"/>
      <c r="BA3290" s="117"/>
      <c r="BB3290" s="117"/>
      <c r="BC3290" s="117"/>
      <c r="BD3290" s="117"/>
    </row>
    <row r="3291" spans="1:56" ht="15">
      <c r="A3291" s="114"/>
      <c r="B3291" s="288"/>
      <c r="C3291" s="230"/>
      <c r="D3291" s="230"/>
      <c r="E3291" s="384"/>
      <c r="F3291" s="196"/>
      <c r="G3291" s="196"/>
      <c r="H3291" s="196"/>
      <c r="I3291" s="196"/>
      <c r="J3291" s="114"/>
      <c r="AW3291" s="117"/>
      <c r="AX3291" s="117"/>
      <c r="AY3291" s="117"/>
      <c r="AZ3291" s="117"/>
      <c r="BA3291" s="117"/>
      <c r="BB3291" s="117"/>
      <c r="BC3291" s="117"/>
      <c r="BD3291" s="117"/>
    </row>
    <row r="3292" spans="1:56" ht="15">
      <c r="A3292" s="114"/>
      <c r="B3292" s="288"/>
      <c r="C3292" s="230"/>
      <c r="D3292" s="230"/>
      <c r="E3292" s="384"/>
      <c r="F3292" s="196"/>
      <c r="G3292" s="196"/>
      <c r="H3292" s="196"/>
      <c r="I3292" s="196"/>
      <c r="J3292" s="114"/>
      <c r="AW3292" s="117"/>
      <c r="AX3292" s="117"/>
      <c r="AY3292" s="117"/>
      <c r="AZ3292" s="117"/>
      <c r="BA3292" s="117"/>
      <c r="BB3292" s="117"/>
      <c r="BC3292" s="117"/>
      <c r="BD3292" s="117"/>
    </row>
    <row r="3293" spans="1:56" customFormat="1" ht="12.75">
      <c r="B3293" s="362"/>
      <c r="C3293" s="362"/>
      <c r="D3293" s="362"/>
      <c r="E3293" s="362"/>
      <c r="F3293" s="362"/>
      <c r="G3293" s="362"/>
      <c r="H3293" s="362"/>
      <c r="I3293" s="362"/>
      <c r="J3293" s="362"/>
    </row>
    <row r="3294" spans="1:56">
      <c r="A3294" s="114"/>
      <c r="B3294" s="385" t="s">
        <v>1223</v>
      </c>
      <c r="C3294" s="196"/>
      <c r="D3294" s="196"/>
      <c r="E3294" s="196"/>
      <c r="F3294" s="196"/>
      <c r="G3294" s="196"/>
      <c r="H3294" s="196"/>
      <c r="I3294" s="196"/>
      <c r="J3294" s="196"/>
      <c r="AX3294" s="117"/>
      <c r="AY3294" s="117"/>
      <c r="AZ3294" s="117"/>
      <c r="BA3294" s="117"/>
      <c r="BB3294" s="117"/>
      <c r="BC3294" s="117"/>
      <c r="BD3294" s="117"/>
    </row>
    <row r="3295" spans="1:56" ht="15">
      <c r="A3295" s="114"/>
      <c r="B3295" s="362"/>
      <c r="C3295" s="362"/>
      <c r="D3295" s="362"/>
      <c r="E3295" s="362"/>
      <c r="F3295" s="404"/>
      <c r="G3295" s="404"/>
      <c r="H3295" s="404"/>
      <c r="I3295" s="404"/>
      <c r="J3295" s="404"/>
      <c r="AX3295" s="117"/>
      <c r="AY3295" s="117"/>
      <c r="AZ3295" s="117"/>
      <c r="BA3295" s="117"/>
      <c r="BB3295" s="117"/>
      <c r="BC3295" s="117"/>
      <c r="BD3295" s="117"/>
    </row>
    <row r="3296" spans="1:56" ht="18">
      <c r="A3296" s="114"/>
      <c r="B3296" s="388" t="s">
        <v>1141</v>
      </c>
      <c r="C3296" s="389">
        <v>0.2</v>
      </c>
      <c r="D3296" s="390" t="s">
        <v>10</v>
      </c>
      <c r="E3296" s="196"/>
      <c r="F3296" s="405"/>
      <c r="G3296" s="406" t="s">
        <v>1142</v>
      </c>
      <c r="H3296" s="407">
        <f>C3296*C3297</f>
        <v>4.0000000000000008E-2</v>
      </c>
      <c r="I3296" s="405" t="s">
        <v>1143</v>
      </c>
      <c r="J3296" s="405"/>
      <c r="AX3296" s="117"/>
      <c r="AY3296" s="117"/>
      <c r="AZ3296" s="117"/>
      <c r="BA3296" s="117"/>
      <c r="BB3296" s="117"/>
      <c r="BC3296" s="117"/>
      <c r="BD3296" s="117"/>
    </row>
    <row r="3297" spans="1:56" ht="15">
      <c r="A3297" s="114"/>
      <c r="B3297" s="388" t="s">
        <v>1144</v>
      </c>
      <c r="C3297" s="389">
        <v>0.2</v>
      </c>
      <c r="D3297" s="390" t="s">
        <v>10</v>
      </c>
      <c r="E3297" s="196"/>
      <c r="F3297" s="405"/>
      <c r="G3297" s="406" t="e">
        <f>TEXT(C3304,"tg 0°=")</f>
        <v>#VALUE!</v>
      </c>
      <c r="H3297" s="408">
        <f>TAN(3.14159265359*C3304/180)</f>
        <v>1.732050807569153</v>
      </c>
      <c r="I3297" s="405"/>
      <c r="J3297" s="405"/>
      <c r="AX3297" s="117"/>
      <c r="AY3297" s="117"/>
      <c r="AZ3297" s="117"/>
      <c r="BA3297" s="117"/>
      <c r="BB3297" s="117"/>
      <c r="BC3297" s="117"/>
      <c r="BD3297" s="117"/>
    </row>
    <row r="3298" spans="1:56" ht="15">
      <c r="A3298" s="114"/>
      <c r="B3298" s="388" t="s">
        <v>1145</v>
      </c>
      <c r="C3298" s="389">
        <v>0.5</v>
      </c>
      <c r="D3298" s="390" t="s">
        <v>10</v>
      </c>
      <c r="E3298" s="196"/>
      <c r="F3298" s="405"/>
      <c r="G3298" s="406"/>
      <c r="H3298" s="407"/>
      <c r="I3298" s="405"/>
      <c r="J3298" s="405"/>
      <c r="AX3298" s="117"/>
      <c r="AY3298" s="117"/>
      <c r="AZ3298" s="117"/>
      <c r="BA3298" s="117"/>
      <c r="BB3298" s="117"/>
      <c r="BC3298" s="117"/>
      <c r="BD3298" s="117"/>
    </row>
    <row r="3299" spans="1:56" ht="18">
      <c r="A3299" s="114"/>
      <c r="B3299" s="388" t="s">
        <v>1146</v>
      </c>
      <c r="C3299" s="389">
        <v>0.5</v>
      </c>
      <c r="D3299" s="390" t="s">
        <v>10</v>
      </c>
      <c r="E3299" s="196"/>
      <c r="F3299" s="405"/>
      <c r="G3299" s="406" t="s">
        <v>1142</v>
      </c>
      <c r="H3299" s="409">
        <f>(C3298+2*C3306+((C3300+C3301+0.05)/H3297)*2)*(C3299+2*C3306+((C3300+C3301+0.05)/H3297)*2)</f>
        <v>8.6634603522541767</v>
      </c>
      <c r="I3299" s="405" t="s">
        <v>1143</v>
      </c>
      <c r="J3299" s="405"/>
      <c r="AX3299" s="117"/>
      <c r="AY3299" s="117"/>
      <c r="AZ3299" s="117"/>
      <c r="BA3299" s="117"/>
      <c r="BB3299" s="117"/>
      <c r="BC3299" s="117"/>
      <c r="BD3299" s="117"/>
    </row>
    <row r="3300" spans="1:56" ht="18">
      <c r="A3300" s="114"/>
      <c r="B3300" s="388" t="s">
        <v>1112</v>
      </c>
      <c r="C3300" s="389">
        <v>0.4</v>
      </c>
      <c r="D3300" s="390" t="s">
        <v>10</v>
      </c>
      <c r="E3300" s="196"/>
      <c r="F3300" s="405"/>
      <c r="G3300" s="406" t="s">
        <v>1147</v>
      </c>
      <c r="H3300" s="409">
        <f>(C3298+2*C3306)*(C3299+2*C3306)</f>
        <v>2.25</v>
      </c>
      <c r="I3300" s="405" t="s">
        <v>1143</v>
      </c>
      <c r="J3300" s="405"/>
      <c r="AX3300" s="117"/>
      <c r="AY3300" s="117"/>
      <c r="AZ3300" s="117"/>
      <c r="BA3300" s="117"/>
      <c r="BB3300" s="117"/>
      <c r="BC3300" s="117"/>
      <c r="BD3300" s="117"/>
    </row>
    <row r="3301" spans="1:56" ht="15">
      <c r="A3301" s="114"/>
      <c r="B3301" s="388" t="s">
        <v>1113</v>
      </c>
      <c r="C3301" s="389">
        <v>0.8</v>
      </c>
      <c r="D3301" s="390" t="s">
        <v>10</v>
      </c>
      <c r="E3301" s="196"/>
      <c r="F3301" s="405"/>
      <c r="G3301" s="406"/>
      <c r="H3301" s="407"/>
      <c r="I3301" s="405"/>
      <c r="J3301" s="405"/>
      <c r="AX3301" s="117"/>
      <c r="AY3301" s="117"/>
      <c r="AZ3301" s="117"/>
      <c r="BA3301" s="117"/>
      <c r="BB3301" s="117"/>
      <c r="BC3301" s="117"/>
      <c r="BD3301" s="117"/>
    </row>
    <row r="3302" spans="1:56" ht="15">
      <c r="A3302" s="114"/>
      <c r="B3302" s="388" t="s">
        <v>1117</v>
      </c>
      <c r="C3302" s="391">
        <v>4</v>
      </c>
      <c r="D3302" s="390" t="s">
        <v>1118</v>
      </c>
      <c r="E3302" s="196"/>
      <c r="F3302" s="405"/>
      <c r="G3302" s="406"/>
      <c r="H3302" s="407"/>
      <c r="I3302" s="405"/>
      <c r="J3302" s="405"/>
      <c r="AX3302" s="117"/>
      <c r="AY3302" s="117"/>
      <c r="AZ3302" s="117"/>
      <c r="BA3302" s="117"/>
      <c r="BB3302" s="117"/>
      <c r="BC3302" s="117"/>
      <c r="BD3302" s="117"/>
    </row>
    <row r="3303" spans="1:56" ht="15">
      <c r="A3303" s="114"/>
      <c r="B3303" s="196" t="s">
        <v>1148</v>
      </c>
      <c r="C3303" s="393"/>
      <c r="D3303" s="196"/>
      <c r="E3303" s="196"/>
      <c r="F3303" s="405"/>
      <c r="G3303" s="406"/>
      <c r="H3303" s="407"/>
      <c r="I3303" s="405"/>
      <c r="J3303" s="405"/>
      <c r="AX3303" s="117"/>
      <c r="AY3303" s="117"/>
      <c r="AZ3303" s="117"/>
      <c r="BA3303" s="117"/>
      <c r="BB3303" s="117"/>
      <c r="BC3303" s="117"/>
      <c r="BD3303" s="117"/>
    </row>
    <row r="3304" spans="1:56" ht="15">
      <c r="A3304" s="114"/>
      <c r="B3304" s="388" t="s">
        <v>1149</v>
      </c>
      <c r="C3304" s="389">
        <v>60</v>
      </c>
      <c r="D3304" s="390" t="s">
        <v>1150</v>
      </c>
      <c r="E3304" s="196"/>
      <c r="F3304" s="196"/>
      <c r="G3304" s="392"/>
      <c r="H3304" s="393"/>
      <c r="I3304" s="196"/>
      <c r="J3304" s="196"/>
      <c r="AX3304" s="117"/>
      <c r="AY3304" s="117"/>
      <c r="AZ3304" s="117"/>
      <c r="BA3304" s="117"/>
      <c r="BB3304" s="117"/>
      <c r="BC3304" s="117"/>
      <c r="BD3304" s="117"/>
    </row>
    <row r="3305" spans="1:56" ht="15">
      <c r="A3305" s="114"/>
      <c r="B3305" s="362"/>
      <c r="C3305" s="196"/>
      <c r="D3305" s="196"/>
      <c r="E3305" s="196"/>
      <c r="F3305" s="196"/>
      <c r="G3305" s="362"/>
      <c r="H3305" s="362"/>
      <c r="I3305" s="362"/>
      <c r="J3305" s="196"/>
      <c r="AX3305" s="117"/>
      <c r="AY3305" s="117"/>
      <c r="AZ3305" s="117"/>
      <c r="BA3305" s="117"/>
      <c r="BB3305" s="117"/>
      <c r="BC3305" s="117"/>
      <c r="BD3305" s="117"/>
    </row>
    <row r="3306" spans="1:56" ht="15">
      <c r="A3306" s="114"/>
      <c r="B3306" s="388" t="s">
        <v>1114</v>
      </c>
      <c r="C3306" s="389">
        <v>0.5</v>
      </c>
      <c r="D3306" s="390" t="s">
        <v>10</v>
      </c>
      <c r="E3306" s="288" t="s">
        <v>1120</v>
      </c>
      <c r="F3306" s="196"/>
      <c r="G3306" s="196" t="s">
        <v>1131</v>
      </c>
      <c r="H3306" s="114"/>
      <c r="I3306" s="362"/>
      <c r="J3306" s="196"/>
      <c r="AX3306" s="117"/>
      <c r="AY3306" s="117"/>
      <c r="AZ3306" s="117"/>
      <c r="BA3306" s="117"/>
      <c r="BB3306" s="117"/>
      <c r="BC3306" s="117"/>
      <c r="BD3306" s="117"/>
    </row>
    <row r="3307" spans="1:56" ht="15">
      <c r="A3307" s="114"/>
      <c r="B3307" s="388" t="s">
        <v>1114</v>
      </c>
      <c r="C3307" s="389">
        <v>0.1</v>
      </c>
      <c r="D3307" s="390" t="s">
        <v>10</v>
      </c>
      <c r="E3307" s="288" t="s">
        <v>1121</v>
      </c>
      <c r="F3307" s="196"/>
      <c r="G3307" s="196"/>
      <c r="H3307" s="196"/>
      <c r="I3307" s="196"/>
      <c r="J3307" s="196"/>
      <c r="AX3307" s="117"/>
      <c r="AY3307" s="117"/>
      <c r="AZ3307" s="117"/>
      <c r="BA3307" s="117"/>
      <c r="BB3307" s="117"/>
      <c r="BC3307" s="117"/>
      <c r="BD3307" s="117"/>
    </row>
    <row r="3308" spans="1:56" ht="15">
      <c r="A3308" s="114"/>
      <c r="B3308" s="362"/>
      <c r="C3308" s="362"/>
      <c r="D3308" s="362"/>
      <c r="E3308" s="362"/>
      <c r="F3308" s="362"/>
      <c r="G3308" s="114"/>
      <c r="H3308" s="362"/>
      <c r="I3308" s="196"/>
      <c r="J3308" s="196"/>
      <c r="AX3308" s="117"/>
      <c r="AY3308" s="117"/>
      <c r="AZ3308" s="117"/>
      <c r="BA3308" s="117"/>
      <c r="BB3308" s="117"/>
      <c r="BC3308" s="117"/>
      <c r="BD3308" s="117"/>
    </row>
    <row r="3309" spans="1:56" ht="15">
      <c r="A3309" s="114"/>
      <c r="B3309" s="303" t="s">
        <v>1122</v>
      </c>
      <c r="C3309" s="362"/>
      <c r="D3309" s="362"/>
      <c r="E3309" s="362"/>
      <c r="F3309" s="362"/>
      <c r="G3309" s="196"/>
      <c r="H3309" s="196"/>
      <c r="I3309" s="196"/>
      <c r="J3309" s="196"/>
      <c r="AX3309" s="117"/>
      <c r="AY3309" s="117"/>
      <c r="AZ3309" s="117"/>
      <c r="BA3309" s="117"/>
      <c r="BB3309" s="117"/>
      <c r="BC3309" s="117"/>
      <c r="BD3309" s="117"/>
    </row>
    <row r="3310" spans="1:56" ht="18">
      <c r="A3310" s="114"/>
      <c r="B3310" s="398" t="s">
        <v>1123</v>
      </c>
      <c r="C3310" s="172"/>
      <c r="D3310" s="173"/>
      <c r="E3310" s="397">
        <f>C3302*((H3300+H3299)/2)*(C3300+C3301+0.05)</f>
        <v>27.283650880635445</v>
      </c>
      <c r="F3310" s="390" t="s">
        <v>1124</v>
      </c>
      <c r="G3310" s="196"/>
      <c r="H3310" s="362"/>
      <c r="I3310" s="362"/>
      <c r="J3310" s="362"/>
      <c r="AX3310" s="117"/>
      <c r="AY3310" s="117"/>
      <c r="AZ3310" s="117"/>
      <c r="BA3310" s="117"/>
      <c r="BB3310" s="117"/>
      <c r="BC3310" s="117"/>
      <c r="BD3310" s="117"/>
    </row>
    <row r="3311" spans="1:56" ht="18">
      <c r="A3311" s="114"/>
      <c r="B3311" s="398" t="s">
        <v>1125</v>
      </c>
      <c r="C3311" s="172"/>
      <c r="D3311" s="173"/>
      <c r="E3311" s="400">
        <f>E3310-(E3322+E3324)</f>
        <v>26.385650880635446</v>
      </c>
      <c r="F3311" s="390" t="s">
        <v>1124</v>
      </c>
      <c r="G3311" s="196"/>
      <c r="H3311" s="196"/>
      <c r="I3311" s="196"/>
      <c r="J3311" s="196"/>
      <c r="AX3311" s="117"/>
      <c r="AY3311" s="117"/>
      <c r="AZ3311" s="117"/>
      <c r="BA3311" s="117"/>
      <c r="BB3311" s="117"/>
      <c r="BC3311" s="117"/>
      <c r="BD3311" s="117"/>
    </row>
    <row r="3312" spans="1:56" ht="15">
      <c r="A3312" s="114"/>
      <c r="B3312" s="398" t="s">
        <v>1126</v>
      </c>
      <c r="C3312" s="172"/>
      <c r="D3312" s="173"/>
      <c r="E3312" s="400">
        <f>((C3298+2*C3307)*(C3299+2*C3307))*C3302</f>
        <v>1.9599999999999997</v>
      </c>
      <c r="F3312" s="390" t="s">
        <v>13</v>
      </c>
      <c r="G3312" s="362"/>
      <c r="H3312" s="362"/>
      <c r="I3312" s="362"/>
      <c r="J3312" s="362"/>
      <c r="AX3312" s="117"/>
      <c r="AY3312" s="117"/>
      <c r="AZ3312" s="117"/>
      <c r="BA3312" s="117"/>
      <c r="BB3312" s="117"/>
      <c r="BC3312" s="117"/>
      <c r="BD3312" s="117"/>
    </row>
    <row r="3313" spans="1:56" ht="15">
      <c r="A3313" s="114"/>
      <c r="B3313" s="362"/>
      <c r="C3313" s="362"/>
      <c r="D3313" s="362"/>
      <c r="E3313" s="401"/>
      <c r="F3313" s="196"/>
      <c r="G3313" s="362"/>
      <c r="H3313" s="362"/>
      <c r="I3313" s="362"/>
      <c r="J3313" s="362"/>
      <c r="AX3313" s="117"/>
      <c r="AY3313" s="117"/>
      <c r="AZ3313" s="117"/>
      <c r="BA3313" s="117"/>
      <c r="BB3313" s="117"/>
      <c r="BC3313" s="117"/>
      <c r="BD3313" s="117"/>
    </row>
    <row r="3314" spans="1:56" ht="15">
      <c r="A3314" s="114"/>
      <c r="B3314" s="303" t="s">
        <v>1162</v>
      </c>
      <c r="C3314" s="362"/>
      <c r="D3314" s="362"/>
      <c r="E3314" s="410"/>
      <c r="F3314" s="362"/>
      <c r="G3314" s="362"/>
      <c r="H3314" s="362"/>
      <c r="I3314" s="362"/>
      <c r="J3314" s="362"/>
      <c r="AX3314" s="117"/>
      <c r="AY3314" s="117"/>
      <c r="AZ3314" s="117"/>
      <c r="BA3314" s="117"/>
      <c r="BB3314" s="117"/>
      <c r="BC3314" s="117"/>
      <c r="BD3314" s="117"/>
    </row>
    <row r="3315" spans="1:56" ht="15">
      <c r="A3315" s="114"/>
      <c r="B3315" s="398" t="s">
        <v>1152</v>
      </c>
      <c r="C3315" s="398"/>
      <c r="D3315" s="366"/>
      <c r="E3315" s="411">
        <v>1</v>
      </c>
      <c r="F3315" s="390" t="s">
        <v>1153</v>
      </c>
      <c r="G3315" s="362"/>
      <c r="H3315" s="362"/>
      <c r="I3315" s="362"/>
      <c r="J3315" s="362"/>
      <c r="AX3315" s="117"/>
      <c r="AY3315" s="117"/>
      <c r="AZ3315" s="117"/>
      <c r="BA3315" s="117"/>
      <c r="BB3315" s="117"/>
      <c r="BC3315" s="117"/>
      <c r="BD3315" s="117"/>
    </row>
    <row r="3316" spans="1:56" ht="15">
      <c r="A3316" s="114"/>
      <c r="B3316" s="399" t="s">
        <v>1154</v>
      </c>
      <c r="C3316" s="31"/>
      <c r="D3316" s="32"/>
      <c r="E3316" s="412">
        <f>C3302*E3315</f>
        <v>4</v>
      </c>
      <c r="F3316" s="390" t="s">
        <v>1153</v>
      </c>
      <c r="G3316" s="362"/>
      <c r="H3316" s="362"/>
      <c r="I3316" s="362"/>
      <c r="J3316" s="362"/>
      <c r="AX3316" s="117"/>
      <c r="AY3316" s="117"/>
      <c r="AZ3316" s="117"/>
      <c r="BA3316" s="117"/>
      <c r="BB3316" s="117"/>
      <c r="BC3316" s="117"/>
      <c r="BD3316" s="117"/>
    </row>
    <row r="3317" spans="1:56" ht="15">
      <c r="A3317" s="114"/>
      <c r="B3317" s="398" t="s">
        <v>1155</v>
      </c>
      <c r="C3317" s="21"/>
      <c r="D3317" s="413"/>
      <c r="E3317" s="411">
        <v>250</v>
      </c>
      <c r="F3317" s="390" t="s">
        <v>1156</v>
      </c>
      <c r="G3317" s="362"/>
      <c r="H3317" s="414"/>
      <c r="I3317" s="362"/>
      <c r="J3317" s="415"/>
      <c r="AX3317" s="117"/>
      <c r="AY3317" s="117"/>
      <c r="AZ3317" s="117"/>
      <c r="BA3317" s="117"/>
      <c r="BB3317" s="117"/>
      <c r="BC3317" s="117"/>
      <c r="BD3317" s="117"/>
    </row>
    <row r="3318" spans="1:56" ht="15">
      <c r="A3318" s="114"/>
      <c r="B3318" s="398" t="s">
        <v>1157</v>
      </c>
      <c r="C3318" s="21"/>
      <c r="D3318" s="413"/>
      <c r="E3318" s="411">
        <v>12</v>
      </c>
      <c r="F3318" s="390" t="s">
        <v>10</v>
      </c>
      <c r="G3318" s="362"/>
      <c r="H3318" s="6"/>
      <c r="I3318" s="362"/>
      <c r="J3318" s="362"/>
      <c r="AX3318" s="117"/>
      <c r="AY3318" s="117"/>
      <c r="AZ3318" s="117"/>
      <c r="BA3318" s="117"/>
      <c r="BB3318" s="117"/>
      <c r="BC3318" s="117"/>
      <c r="BD3318" s="117"/>
    </row>
    <row r="3319" spans="1:56" ht="15">
      <c r="A3319" s="114"/>
      <c r="B3319" s="398" t="s">
        <v>1158</v>
      </c>
      <c r="C3319" s="21"/>
      <c r="D3319" s="413"/>
      <c r="E3319" s="412">
        <f>E3316*E3318</f>
        <v>48</v>
      </c>
      <c r="F3319" s="390" t="s">
        <v>10</v>
      </c>
      <c r="G3319" s="362"/>
      <c r="H3319" s="362"/>
      <c r="I3319" s="362"/>
      <c r="J3319" s="362"/>
      <c r="AX3319" s="117"/>
      <c r="AY3319" s="117"/>
      <c r="AZ3319" s="117"/>
      <c r="BA3319" s="117"/>
      <c r="BB3319" s="117"/>
      <c r="BC3319" s="117"/>
      <c r="BD3319" s="117"/>
    </row>
    <row r="3320" spans="1:56" ht="15">
      <c r="A3320" s="114"/>
      <c r="B3320" s="362"/>
      <c r="C3320" s="362"/>
      <c r="D3320" s="362"/>
      <c r="E3320" s="410"/>
      <c r="F3320" s="362"/>
      <c r="G3320" s="362"/>
      <c r="H3320" s="362"/>
      <c r="I3320" s="362"/>
      <c r="J3320" s="362"/>
      <c r="AX3320" s="117"/>
      <c r="AY3320" s="117"/>
      <c r="AZ3320" s="117"/>
      <c r="BA3320" s="117"/>
      <c r="BB3320" s="117"/>
      <c r="BC3320" s="117"/>
      <c r="BD3320" s="117"/>
    </row>
    <row r="3321" spans="1:56" ht="15">
      <c r="A3321" s="114"/>
      <c r="B3321" s="303" t="s">
        <v>1160</v>
      </c>
      <c r="C3321" s="362"/>
      <c r="D3321" s="362"/>
      <c r="E3321" s="410"/>
      <c r="F3321" s="362"/>
      <c r="G3321" s="362"/>
      <c r="H3321" s="362"/>
      <c r="I3321" s="362"/>
      <c r="J3321" s="362"/>
      <c r="AX3321" s="117"/>
      <c r="AY3321" s="117"/>
      <c r="AZ3321" s="117"/>
      <c r="BA3321" s="117"/>
      <c r="BB3321" s="117"/>
      <c r="BC3321" s="117"/>
      <c r="BD3321" s="117"/>
    </row>
    <row r="3322" spans="1:56" ht="18">
      <c r="A3322" s="114"/>
      <c r="B3322" s="398" t="s">
        <v>1128</v>
      </c>
      <c r="C3322" s="172"/>
      <c r="D3322" s="173"/>
      <c r="E3322" s="402">
        <f>E3312*0.05</f>
        <v>9.799999999999999E-2</v>
      </c>
      <c r="F3322" s="390" t="s">
        <v>1124</v>
      </c>
      <c r="G3322" s="362"/>
      <c r="H3322" s="362"/>
      <c r="I3322" s="362"/>
      <c r="J3322" s="362"/>
      <c r="AX3322" s="117"/>
      <c r="AY3322" s="117"/>
      <c r="AZ3322" s="117"/>
      <c r="BA3322" s="117"/>
      <c r="BB3322" s="117"/>
      <c r="BC3322" s="117"/>
      <c r="BD3322" s="117"/>
    </row>
    <row r="3323" spans="1:56" ht="15">
      <c r="A3323" s="114"/>
      <c r="B3323" s="398" t="s">
        <v>1129</v>
      </c>
      <c r="C3323" s="172"/>
      <c r="D3323" s="173"/>
      <c r="E3323" s="397">
        <f>(2*(C3298+C3299)*C3301)*C3302</f>
        <v>6.4</v>
      </c>
      <c r="F3323" s="390" t="s">
        <v>13</v>
      </c>
      <c r="G3323" s="362"/>
      <c r="H3323" s="362"/>
      <c r="I3323" s="362"/>
      <c r="J3323" s="362"/>
      <c r="AX3323" s="117"/>
      <c r="AY3323" s="117"/>
      <c r="AZ3323" s="117"/>
      <c r="BA3323" s="117"/>
      <c r="BB3323" s="117"/>
      <c r="BC3323" s="117"/>
      <c r="BD3323" s="117"/>
    </row>
    <row r="3324" spans="1:56" ht="18">
      <c r="A3324" s="114"/>
      <c r="B3324" s="398" t="s">
        <v>1130</v>
      </c>
      <c r="C3324" s="172"/>
      <c r="D3324" s="173"/>
      <c r="E3324" s="402">
        <f>(C3298*C3299*C3301)*C3302</f>
        <v>0.8</v>
      </c>
      <c r="F3324" s="390" t="s">
        <v>1124</v>
      </c>
      <c r="G3324" s="362"/>
      <c r="H3324" s="362"/>
      <c r="I3324" s="362"/>
      <c r="J3324" s="362"/>
      <c r="AX3324" s="117"/>
      <c r="AY3324" s="117"/>
      <c r="AZ3324" s="117"/>
      <c r="BA3324" s="117"/>
      <c r="BB3324" s="117"/>
      <c r="BC3324" s="117"/>
      <c r="BD3324" s="117"/>
    </row>
    <row r="3325" spans="1:56" ht="15">
      <c r="A3325" s="114"/>
      <c r="B3325" s="196"/>
      <c r="C3325" s="196"/>
      <c r="D3325" s="196"/>
      <c r="E3325" s="196"/>
      <c r="F3325" s="196"/>
      <c r="G3325" s="196"/>
      <c r="H3325" s="196"/>
      <c r="I3325" s="196"/>
      <c r="J3325" s="114"/>
      <c r="AW3325" s="117"/>
      <c r="AX3325" s="117"/>
      <c r="AY3325" s="117"/>
      <c r="AZ3325" s="117"/>
      <c r="BA3325" s="117"/>
      <c r="BB3325" s="117"/>
      <c r="BC3325" s="117"/>
      <c r="BD3325" s="117"/>
    </row>
    <row r="3326" spans="1:56" ht="15">
      <c r="A3326" s="114"/>
      <c r="B3326" s="196"/>
      <c r="C3326" s="196"/>
      <c r="D3326" s="196"/>
      <c r="E3326" s="196"/>
      <c r="F3326" s="196"/>
      <c r="G3326" s="196"/>
      <c r="H3326" s="196"/>
      <c r="I3326" s="196"/>
      <c r="J3326" s="114"/>
      <c r="AW3326" s="117"/>
      <c r="AX3326" s="117"/>
      <c r="AY3326" s="117"/>
      <c r="AZ3326" s="117"/>
      <c r="BA3326" s="117"/>
      <c r="BB3326" s="117"/>
      <c r="BC3326" s="117"/>
      <c r="BD3326" s="117"/>
    </row>
    <row r="3327" spans="1:56">
      <c r="A3327" s="114"/>
      <c r="B3327" s="385" t="s">
        <v>1224</v>
      </c>
      <c r="C3327" s="196"/>
      <c r="D3327" s="196"/>
      <c r="E3327" s="196"/>
      <c r="F3327" s="196"/>
      <c r="G3327" s="196"/>
      <c r="H3327" s="196"/>
      <c r="I3327" s="196"/>
      <c r="J3327" s="196"/>
      <c r="AX3327" s="117"/>
      <c r="AY3327" s="117"/>
      <c r="AZ3327" s="117"/>
      <c r="BA3327" s="117"/>
      <c r="BB3327" s="117"/>
      <c r="BC3327" s="117"/>
      <c r="BD3327" s="117"/>
    </row>
    <row r="3328" spans="1:56" ht="15">
      <c r="A3328" s="114"/>
      <c r="B3328" s="362"/>
      <c r="C3328" s="362"/>
      <c r="D3328" s="362"/>
      <c r="E3328" s="362"/>
      <c r="F3328" s="404"/>
      <c r="G3328" s="404"/>
      <c r="H3328" s="404"/>
      <c r="I3328" s="404"/>
      <c r="J3328" s="404"/>
      <c r="AX3328" s="117"/>
      <c r="AY3328" s="117"/>
      <c r="AZ3328" s="117"/>
      <c r="BA3328" s="117"/>
      <c r="BB3328" s="117"/>
      <c r="BC3328" s="117"/>
      <c r="BD3328" s="117"/>
    </row>
    <row r="3329" spans="1:56" ht="18">
      <c r="A3329" s="114"/>
      <c r="B3329" s="388" t="s">
        <v>1141</v>
      </c>
      <c r="C3329" s="389">
        <v>0.4</v>
      </c>
      <c r="D3329" s="390" t="s">
        <v>10</v>
      </c>
      <c r="E3329" s="196"/>
      <c r="F3329" s="405"/>
      <c r="G3329" s="406" t="s">
        <v>1142</v>
      </c>
      <c r="H3329" s="407">
        <f>C3329*C3330</f>
        <v>0.2</v>
      </c>
      <c r="I3329" s="405" t="s">
        <v>1143</v>
      </c>
      <c r="J3329" s="405"/>
      <c r="AX3329" s="117"/>
      <c r="AY3329" s="117"/>
      <c r="AZ3329" s="117"/>
      <c r="BA3329" s="117"/>
      <c r="BB3329" s="117"/>
      <c r="BC3329" s="117"/>
      <c r="BD3329" s="117"/>
    </row>
    <row r="3330" spans="1:56" ht="15">
      <c r="A3330" s="114"/>
      <c r="B3330" s="388" t="s">
        <v>1144</v>
      </c>
      <c r="C3330" s="389">
        <v>0.5</v>
      </c>
      <c r="D3330" s="390" t="s">
        <v>10</v>
      </c>
      <c r="E3330" s="196"/>
      <c r="F3330" s="405"/>
      <c r="G3330" s="406" t="e">
        <f>TEXT(C3337,"tg 0°=")</f>
        <v>#VALUE!</v>
      </c>
      <c r="H3330" s="408">
        <f>TAN(3.14159265359*C3337/180)</f>
        <v>1.732050807569153</v>
      </c>
      <c r="I3330" s="405"/>
      <c r="J3330" s="405"/>
      <c r="AX3330" s="117"/>
      <c r="AY3330" s="117"/>
      <c r="AZ3330" s="117"/>
      <c r="BA3330" s="117"/>
      <c r="BB3330" s="117"/>
      <c r="BC3330" s="117"/>
      <c r="BD3330" s="117"/>
    </row>
    <row r="3331" spans="1:56" ht="15">
      <c r="A3331" s="114"/>
      <c r="B3331" s="388" t="s">
        <v>1145</v>
      </c>
      <c r="C3331" s="389">
        <v>1.9</v>
      </c>
      <c r="D3331" s="390" t="s">
        <v>10</v>
      </c>
      <c r="E3331" s="196"/>
      <c r="F3331" s="405"/>
      <c r="G3331" s="406"/>
      <c r="H3331" s="407"/>
      <c r="I3331" s="405"/>
      <c r="J3331" s="405"/>
      <c r="AX3331" s="117"/>
      <c r="AY3331" s="117"/>
      <c r="AZ3331" s="117"/>
      <c r="BA3331" s="117"/>
      <c r="BB3331" s="117"/>
      <c r="BC3331" s="117"/>
      <c r="BD3331" s="117"/>
    </row>
    <row r="3332" spans="1:56" ht="18">
      <c r="A3332" s="114"/>
      <c r="B3332" s="388" t="s">
        <v>1146</v>
      </c>
      <c r="C3332" s="389">
        <v>1.9</v>
      </c>
      <c r="D3332" s="390" t="s">
        <v>10</v>
      </c>
      <c r="E3332" s="196"/>
      <c r="F3332" s="405"/>
      <c r="G3332" s="406" t="s">
        <v>1142</v>
      </c>
      <c r="H3332" s="409">
        <f>(C3331+2*C3339+((C3333+C3334+0.05)/H3330)*2)*(C3332+2*C3339+((C3333+C3334+0.05)/H3330)*2)</f>
        <v>19.881305215507329</v>
      </c>
      <c r="I3332" s="405" t="s">
        <v>1143</v>
      </c>
      <c r="J3332" s="405"/>
      <c r="AX3332" s="117"/>
      <c r="AY3332" s="117"/>
      <c r="AZ3332" s="117"/>
      <c r="BA3332" s="117"/>
      <c r="BB3332" s="117"/>
      <c r="BC3332" s="117"/>
      <c r="BD3332" s="117"/>
    </row>
    <row r="3333" spans="1:56" ht="18">
      <c r="A3333" s="114"/>
      <c r="B3333" s="388" t="s">
        <v>1112</v>
      </c>
      <c r="C3333" s="389">
        <v>0.3</v>
      </c>
      <c r="D3333" s="390" t="s">
        <v>10</v>
      </c>
      <c r="E3333" s="196"/>
      <c r="F3333" s="405"/>
      <c r="G3333" s="406" t="s">
        <v>1147</v>
      </c>
      <c r="H3333" s="409">
        <f>(C3331+2*C3339)*(C3332+2*C3339)</f>
        <v>8.41</v>
      </c>
      <c r="I3333" s="405" t="s">
        <v>1143</v>
      </c>
      <c r="J3333" s="405"/>
      <c r="AX3333" s="117"/>
      <c r="AY3333" s="117"/>
      <c r="AZ3333" s="117"/>
      <c r="BA3333" s="117"/>
      <c r="BB3333" s="117"/>
      <c r="BC3333" s="117"/>
      <c r="BD3333" s="117"/>
    </row>
    <row r="3334" spans="1:56" ht="15">
      <c r="A3334" s="114"/>
      <c r="B3334" s="388" t="s">
        <v>1113</v>
      </c>
      <c r="C3334" s="389">
        <v>1</v>
      </c>
      <c r="D3334" s="390" t="s">
        <v>10</v>
      </c>
      <c r="E3334" s="196"/>
      <c r="F3334" s="405"/>
      <c r="G3334" s="406"/>
      <c r="H3334" s="407"/>
      <c r="I3334" s="405"/>
      <c r="J3334" s="405"/>
      <c r="AX3334" s="117"/>
      <c r="AY3334" s="117"/>
      <c r="AZ3334" s="117"/>
      <c r="BA3334" s="117"/>
      <c r="BB3334" s="117"/>
      <c r="BC3334" s="117"/>
      <c r="BD3334" s="117"/>
    </row>
    <row r="3335" spans="1:56" ht="15">
      <c r="A3335" s="114"/>
      <c r="B3335" s="388" t="s">
        <v>1117</v>
      </c>
      <c r="C3335" s="391">
        <v>2</v>
      </c>
      <c r="D3335" s="390" t="s">
        <v>1118</v>
      </c>
      <c r="E3335" s="196"/>
      <c r="F3335" s="405"/>
      <c r="G3335" s="406"/>
      <c r="H3335" s="407"/>
      <c r="I3335" s="405"/>
      <c r="J3335" s="405"/>
      <c r="AX3335" s="117"/>
      <c r="AY3335" s="117"/>
      <c r="AZ3335" s="117"/>
      <c r="BA3335" s="117"/>
      <c r="BB3335" s="117"/>
      <c r="BC3335" s="117"/>
      <c r="BD3335" s="117"/>
    </row>
    <row r="3336" spans="1:56" ht="15">
      <c r="A3336" s="114"/>
      <c r="B3336" s="196" t="s">
        <v>1148</v>
      </c>
      <c r="C3336" s="393"/>
      <c r="D3336" s="196"/>
      <c r="E3336" s="196"/>
      <c r="F3336" s="405"/>
      <c r="G3336" s="406"/>
      <c r="H3336" s="407"/>
      <c r="I3336" s="405"/>
      <c r="J3336" s="405"/>
      <c r="AX3336" s="117"/>
      <c r="AY3336" s="117"/>
      <c r="AZ3336" s="117"/>
      <c r="BA3336" s="117"/>
      <c r="BB3336" s="117"/>
      <c r="BC3336" s="117"/>
      <c r="BD3336" s="117"/>
    </row>
    <row r="3337" spans="1:56" ht="15">
      <c r="A3337" s="114"/>
      <c r="B3337" s="388" t="s">
        <v>1149</v>
      </c>
      <c r="C3337" s="389">
        <v>60</v>
      </c>
      <c r="D3337" s="390" t="s">
        <v>1150</v>
      </c>
      <c r="E3337" s="196"/>
      <c r="F3337" s="196"/>
      <c r="G3337" s="392"/>
      <c r="H3337" s="393"/>
      <c r="I3337" s="196"/>
      <c r="J3337" s="196"/>
      <c r="AX3337" s="117"/>
      <c r="AY3337" s="117"/>
      <c r="AZ3337" s="117"/>
      <c r="BA3337" s="117"/>
      <c r="BB3337" s="117"/>
      <c r="BC3337" s="117"/>
      <c r="BD3337" s="117"/>
    </row>
    <row r="3338" spans="1:56" ht="15">
      <c r="A3338" s="114"/>
      <c r="B3338" s="362"/>
      <c r="C3338" s="196"/>
      <c r="D3338" s="196"/>
      <c r="E3338" s="196"/>
      <c r="F3338" s="196"/>
      <c r="G3338" s="362"/>
      <c r="H3338" s="362"/>
      <c r="I3338" s="362"/>
      <c r="J3338" s="196"/>
      <c r="AX3338" s="117"/>
      <c r="AY3338" s="117"/>
      <c r="AZ3338" s="117"/>
      <c r="BA3338" s="117"/>
      <c r="BB3338" s="117"/>
      <c r="BC3338" s="117"/>
      <c r="BD3338" s="117"/>
    </row>
    <row r="3339" spans="1:56" ht="15">
      <c r="A3339" s="114"/>
      <c r="B3339" s="388" t="s">
        <v>1114</v>
      </c>
      <c r="C3339" s="389">
        <v>0.5</v>
      </c>
      <c r="D3339" s="390" t="s">
        <v>10</v>
      </c>
      <c r="E3339" s="288" t="s">
        <v>1120</v>
      </c>
      <c r="F3339" s="196"/>
      <c r="G3339" s="196" t="s">
        <v>1131</v>
      </c>
      <c r="H3339" s="114"/>
      <c r="I3339" s="362"/>
      <c r="J3339" s="196"/>
      <c r="AX3339" s="117"/>
      <c r="AY3339" s="117"/>
      <c r="AZ3339" s="117"/>
      <c r="BA3339" s="117"/>
      <c r="BB3339" s="117"/>
      <c r="BC3339" s="117"/>
      <c r="BD3339" s="117"/>
    </row>
    <row r="3340" spans="1:56" ht="15">
      <c r="A3340" s="114"/>
      <c r="B3340" s="388" t="s">
        <v>1114</v>
      </c>
      <c r="C3340" s="389">
        <v>0.1</v>
      </c>
      <c r="D3340" s="390" t="s">
        <v>10</v>
      </c>
      <c r="E3340" s="288" t="s">
        <v>1121</v>
      </c>
      <c r="F3340" s="196"/>
      <c r="G3340" s="196"/>
      <c r="H3340" s="196"/>
      <c r="I3340" s="196"/>
      <c r="J3340" s="196"/>
      <c r="AX3340" s="117"/>
      <c r="AY3340" s="117"/>
      <c r="AZ3340" s="117"/>
      <c r="BA3340" s="117"/>
      <c r="BB3340" s="117"/>
      <c r="BC3340" s="117"/>
      <c r="BD3340" s="117"/>
    </row>
    <row r="3341" spans="1:56" ht="15">
      <c r="A3341" s="114"/>
      <c r="B3341" s="362"/>
      <c r="C3341" s="362"/>
      <c r="D3341" s="362"/>
      <c r="E3341" s="362"/>
      <c r="F3341" s="362"/>
      <c r="G3341" s="114"/>
      <c r="H3341" s="362"/>
      <c r="I3341" s="196"/>
      <c r="J3341" s="196"/>
      <c r="AX3341" s="117"/>
      <c r="AY3341" s="117"/>
      <c r="AZ3341" s="117"/>
      <c r="BA3341" s="117"/>
      <c r="BB3341" s="117"/>
      <c r="BC3341" s="117"/>
      <c r="BD3341" s="117"/>
    </row>
    <row r="3342" spans="1:56" ht="15">
      <c r="A3342" s="114"/>
      <c r="B3342" s="303" t="s">
        <v>1122</v>
      </c>
      <c r="C3342" s="362"/>
      <c r="D3342" s="362"/>
      <c r="E3342" s="362"/>
      <c r="F3342" s="362"/>
      <c r="G3342" s="196"/>
      <c r="H3342" s="196"/>
      <c r="I3342" s="196"/>
      <c r="J3342" s="196"/>
      <c r="AX3342" s="117"/>
      <c r="AY3342" s="117"/>
      <c r="AZ3342" s="117"/>
      <c r="BA3342" s="117"/>
      <c r="BB3342" s="117"/>
      <c r="BC3342" s="117"/>
      <c r="BD3342" s="117"/>
    </row>
    <row r="3343" spans="1:56" ht="18">
      <c r="A3343" s="114"/>
      <c r="B3343" s="398" t="s">
        <v>1123</v>
      </c>
      <c r="C3343" s="172"/>
      <c r="D3343" s="173"/>
      <c r="E3343" s="397">
        <f>C3335*((H3333+H3332)/2)*(C3333+C3334+0.05)</f>
        <v>38.193262040934897</v>
      </c>
      <c r="F3343" s="390" t="s">
        <v>1124</v>
      </c>
      <c r="G3343" s="196"/>
      <c r="H3343" s="362"/>
      <c r="I3343" s="362"/>
      <c r="J3343" s="362"/>
      <c r="AX3343" s="117"/>
      <c r="AY3343" s="117"/>
      <c r="AZ3343" s="117"/>
      <c r="BA3343" s="117"/>
      <c r="BB3343" s="117"/>
      <c r="BC3343" s="117"/>
      <c r="BD3343" s="117"/>
    </row>
    <row r="3344" spans="1:56" ht="18">
      <c r="A3344" s="114"/>
      <c r="B3344" s="398" t="s">
        <v>1125</v>
      </c>
      <c r="C3344" s="172"/>
      <c r="D3344" s="173"/>
      <c r="E3344" s="400">
        <f>E3343-(E3355+E3357)</f>
        <v>30.532262040934896</v>
      </c>
      <c r="F3344" s="390" t="s">
        <v>1124</v>
      </c>
      <c r="G3344" s="196"/>
      <c r="H3344" s="196"/>
      <c r="I3344" s="196"/>
      <c r="J3344" s="196"/>
      <c r="AX3344" s="117"/>
      <c r="AY3344" s="117"/>
      <c r="AZ3344" s="117"/>
      <c r="BA3344" s="117"/>
      <c r="BB3344" s="117"/>
      <c r="BC3344" s="117"/>
      <c r="BD3344" s="117"/>
    </row>
    <row r="3345" spans="1:56" ht="15">
      <c r="A3345" s="114"/>
      <c r="B3345" s="398" t="s">
        <v>1126</v>
      </c>
      <c r="C3345" s="172"/>
      <c r="D3345" s="173"/>
      <c r="E3345" s="400">
        <f>((C3331+2*C3340)*(C3332+2*C3340))*C3335</f>
        <v>8.82</v>
      </c>
      <c r="F3345" s="390" t="s">
        <v>13</v>
      </c>
      <c r="G3345" s="362"/>
      <c r="H3345" s="362"/>
      <c r="I3345" s="362"/>
      <c r="J3345" s="362"/>
      <c r="AX3345" s="117"/>
      <c r="AY3345" s="117"/>
      <c r="AZ3345" s="117"/>
      <c r="BA3345" s="117"/>
      <c r="BB3345" s="117"/>
      <c r="BC3345" s="117"/>
      <c r="BD3345" s="117"/>
    </row>
    <row r="3346" spans="1:56" ht="15">
      <c r="A3346" s="114"/>
      <c r="B3346" s="362"/>
      <c r="C3346" s="362"/>
      <c r="D3346" s="362"/>
      <c r="E3346" s="401"/>
      <c r="F3346" s="196"/>
      <c r="G3346" s="362"/>
      <c r="H3346" s="362"/>
      <c r="I3346" s="362"/>
      <c r="J3346" s="362"/>
      <c r="AX3346" s="117"/>
      <c r="AY3346" s="117"/>
      <c r="AZ3346" s="117"/>
      <c r="BA3346" s="117"/>
      <c r="BB3346" s="117"/>
      <c r="BC3346" s="117"/>
      <c r="BD3346" s="117"/>
    </row>
    <row r="3347" spans="1:56" ht="15">
      <c r="A3347" s="114"/>
      <c r="B3347" s="303" t="s">
        <v>1162</v>
      </c>
      <c r="C3347" s="362"/>
      <c r="D3347" s="362"/>
      <c r="E3347" s="410"/>
      <c r="F3347" s="362"/>
      <c r="G3347" s="362"/>
      <c r="H3347" s="362"/>
      <c r="I3347" s="362"/>
      <c r="J3347" s="362"/>
      <c r="AX3347" s="117"/>
      <c r="AY3347" s="117"/>
      <c r="AZ3347" s="117"/>
      <c r="BA3347" s="117"/>
      <c r="BB3347" s="117"/>
      <c r="BC3347" s="117"/>
      <c r="BD3347" s="117"/>
    </row>
    <row r="3348" spans="1:56" ht="15">
      <c r="A3348" s="114"/>
      <c r="B3348" s="398" t="s">
        <v>1152</v>
      </c>
      <c r="C3348" s="398"/>
      <c r="D3348" s="366"/>
      <c r="E3348" s="411">
        <v>4</v>
      </c>
      <c r="F3348" s="390" t="s">
        <v>1153</v>
      </c>
      <c r="G3348" s="362"/>
      <c r="H3348" s="362"/>
      <c r="I3348" s="362"/>
      <c r="J3348" s="362"/>
      <c r="AX3348" s="117"/>
      <c r="AY3348" s="117"/>
      <c r="AZ3348" s="117"/>
      <c r="BA3348" s="117"/>
      <c r="BB3348" s="117"/>
      <c r="BC3348" s="117"/>
      <c r="BD3348" s="117"/>
    </row>
    <row r="3349" spans="1:56" ht="15">
      <c r="A3349" s="114"/>
      <c r="B3349" s="399" t="s">
        <v>1154</v>
      </c>
      <c r="C3349" s="31"/>
      <c r="D3349" s="32"/>
      <c r="E3349" s="412">
        <f>C3335*E3348</f>
        <v>8</v>
      </c>
      <c r="F3349" s="390" t="s">
        <v>1153</v>
      </c>
      <c r="G3349" s="362"/>
      <c r="H3349" s="362"/>
      <c r="I3349" s="362"/>
      <c r="J3349" s="362"/>
      <c r="AX3349" s="117"/>
      <c r="AY3349" s="117"/>
      <c r="AZ3349" s="117"/>
      <c r="BA3349" s="117"/>
      <c r="BB3349" s="117"/>
      <c r="BC3349" s="117"/>
      <c r="BD3349" s="117"/>
    </row>
    <row r="3350" spans="1:56" ht="15">
      <c r="A3350" s="114"/>
      <c r="B3350" s="398" t="s">
        <v>1155</v>
      </c>
      <c r="C3350" s="21"/>
      <c r="D3350" s="413"/>
      <c r="E3350" s="411">
        <v>250</v>
      </c>
      <c r="F3350" s="390" t="s">
        <v>1156</v>
      </c>
      <c r="G3350" s="362"/>
      <c r="H3350" s="414"/>
      <c r="I3350" s="362"/>
      <c r="J3350" s="415"/>
      <c r="AX3350" s="117"/>
      <c r="AY3350" s="117"/>
      <c r="AZ3350" s="117"/>
      <c r="BA3350" s="117"/>
      <c r="BB3350" s="117"/>
      <c r="BC3350" s="117"/>
      <c r="BD3350" s="117"/>
    </row>
    <row r="3351" spans="1:56" ht="15">
      <c r="A3351" s="114"/>
      <c r="B3351" s="398" t="s">
        <v>1157</v>
      </c>
      <c r="C3351" s="21"/>
      <c r="D3351" s="413"/>
      <c r="E3351" s="411">
        <v>12</v>
      </c>
      <c r="F3351" s="390" t="s">
        <v>10</v>
      </c>
      <c r="G3351" s="362"/>
      <c r="H3351" s="6"/>
      <c r="I3351" s="362"/>
      <c r="J3351" s="362"/>
      <c r="AX3351" s="117"/>
      <c r="AY3351" s="117"/>
      <c r="AZ3351" s="117"/>
      <c r="BA3351" s="117"/>
      <c r="BB3351" s="117"/>
      <c r="BC3351" s="117"/>
      <c r="BD3351" s="117"/>
    </row>
    <row r="3352" spans="1:56" ht="15">
      <c r="A3352" s="114"/>
      <c r="B3352" s="398" t="s">
        <v>1158</v>
      </c>
      <c r="C3352" s="21"/>
      <c r="D3352" s="413"/>
      <c r="E3352" s="412">
        <f>E3349*E3351</f>
        <v>96</v>
      </c>
      <c r="F3352" s="390" t="s">
        <v>10</v>
      </c>
      <c r="G3352" s="362"/>
      <c r="H3352" s="362"/>
      <c r="I3352" s="362"/>
      <c r="J3352" s="362"/>
      <c r="AX3352" s="117"/>
      <c r="AY3352" s="117"/>
      <c r="AZ3352" s="117"/>
      <c r="BA3352" s="117"/>
      <c r="BB3352" s="117"/>
      <c r="BC3352" s="117"/>
      <c r="BD3352" s="117"/>
    </row>
    <row r="3353" spans="1:56" ht="15">
      <c r="A3353" s="114"/>
      <c r="B3353" s="362"/>
      <c r="C3353" s="362"/>
      <c r="D3353" s="362"/>
      <c r="E3353" s="410"/>
      <c r="F3353" s="362"/>
      <c r="G3353" s="362"/>
      <c r="H3353" s="362"/>
      <c r="I3353" s="362"/>
      <c r="J3353" s="362"/>
      <c r="AX3353" s="117"/>
      <c r="AY3353" s="117"/>
      <c r="AZ3353" s="117"/>
      <c r="BA3353" s="117"/>
      <c r="BB3353" s="117"/>
      <c r="BC3353" s="117"/>
      <c r="BD3353" s="117"/>
    </row>
    <row r="3354" spans="1:56" ht="15">
      <c r="A3354" s="114"/>
      <c r="B3354" s="303" t="s">
        <v>1160</v>
      </c>
      <c r="C3354" s="362"/>
      <c r="D3354" s="362"/>
      <c r="E3354" s="410"/>
      <c r="F3354" s="362"/>
      <c r="G3354" s="362"/>
      <c r="H3354" s="362"/>
      <c r="I3354" s="362"/>
      <c r="J3354" s="362"/>
      <c r="AX3354" s="117"/>
      <c r="AY3354" s="117"/>
      <c r="AZ3354" s="117"/>
      <c r="BA3354" s="117"/>
      <c r="BB3354" s="117"/>
      <c r="BC3354" s="117"/>
      <c r="BD3354" s="117"/>
    </row>
    <row r="3355" spans="1:56" ht="18">
      <c r="A3355" s="114"/>
      <c r="B3355" s="398" t="s">
        <v>1128</v>
      </c>
      <c r="C3355" s="172"/>
      <c r="D3355" s="173"/>
      <c r="E3355" s="402">
        <f>E3345*0.05</f>
        <v>0.44100000000000006</v>
      </c>
      <c r="F3355" s="390" t="s">
        <v>1124</v>
      </c>
      <c r="G3355" s="362"/>
      <c r="H3355" s="362"/>
      <c r="I3355" s="362"/>
      <c r="J3355" s="362"/>
      <c r="AX3355" s="117"/>
      <c r="AY3355" s="117"/>
      <c r="AZ3355" s="117"/>
      <c r="BA3355" s="117"/>
      <c r="BB3355" s="117"/>
      <c r="BC3355" s="117"/>
      <c r="BD3355" s="117"/>
    </row>
    <row r="3356" spans="1:56" ht="15">
      <c r="A3356" s="114"/>
      <c r="B3356" s="398" t="s">
        <v>1129</v>
      </c>
      <c r="C3356" s="172"/>
      <c r="D3356" s="173"/>
      <c r="E3356" s="397">
        <f>(2*(C3331+C3332)*C3334)*C3335</f>
        <v>15.2</v>
      </c>
      <c r="F3356" s="390" t="s">
        <v>13</v>
      </c>
      <c r="G3356" s="362"/>
      <c r="H3356" s="362"/>
      <c r="I3356" s="362"/>
      <c r="J3356" s="362"/>
      <c r="AX3356" s="117"/>
      <c r="AY3356" s="117"/>
      <c r="AZ3356" s="117"/>
      <c r="BA3356" s="117"/>
      <c r="BB3356" s="117"/>
      <c r="BC3356" s="117"/>
      <c r="BD3356" s="117"/>
    </row>
    <row r="3357" spans="1:56" ht="18">
      <c r="A3357" s="114"/>
      <c r="B3357" s="398" t="s">
        <v>1130</v>
      </c>
      <c r="C3357" s="172"/>
      <c r="D3357" s="173"/>
      <c r="E3357" s="402">
        <f>(C3331*C3332*C3334)*C3335</f>
        <v>7.22</v>
      </c>
      <c r="F3357" s="390" t="s">
        <v>1124</v>
      </c>
      <c r="G3357" s="362"/>
      <c r="H3357" s="362"/>
      <c r="I3357" s="362"/>
      <c r="J3357" s="362"/>
      <c r="AX3357" s="117"/>
      <c r="AY3357" s="117"/>
      <c r="AZ3357" s="117"/>
      <c r="BA3357" s="117"/>
      <c r="BB3357" s="117"/>
      <c r="BC3357" s="117"/>
      <c r="BD3357" s="117"/>
    </row>
    <row r="3358" spans="1:56" customFormat="1" ht="13.5" thickBot="1">
      <c r="B3358" s="362"/>
      <c r="C3358" s="362"/>
      <c r="D3358" s="362"/>
      <c r="E3358" s="362"/>
      <c r="F3358" s="362"/>
      <c r="G3358" s="362"/>
      <c r="H3358" s="362"/>
      <c r="I3358" s="362"/>
      <c r="J3358" s="362"/>
    </row>
    <row r="3359" spans="1:56">
      <c r="A3359" s="114"/>
      <c r="B3359" s="702" t="s">
        <v>1189</v>
      </c>
      <c r="C3359" s="282"/>
      <c r="D3359" s="282"/>
      <c r="E3359" s="282"/>
      <c r="F3359" s="283"/>
      <c r="G3359" s="362"/>
      <c r="H3359" s="362"/>
      <c r="I3359" s="362"/>
      <c r="J3359" s="114"/>
      <c r="AU3359" s="117"/>
      <c r="AV3359" s="117"/>
      <c r="AW3359" s="117"/>
      <c r="AX3359" s="117"/>
      <c r="AY3359" s="117"/>
      <c r="AZ3359" s="117"/>
      <c r="BA3359" s="117"/>
      <c r="BB3359" s="117"/>
      <c r="BC3359" s="117"/>
      <c r="BD3359" s="117"/>
    </row>
    <row r="3360" spans="1:56" ht="15">
      <c r="A3360" s="114"/>
      <c r="B3360" s="693"/>
      <c r="C3360" s="196"/>
      <c r="D3360" s="196"/>
      <c r="E3360" s="196"/>
      <c r="F3360" s="284"/>
      <c r="G3360" s="362"/>
      <c r="H3360" s="362"/>
      <c r="I3360" s="362"/>
      <c r="J3360" s="114"/>
      <c r="AU3360" s="117"/>
      <c r="AV3360" s="117"/>
      <c r="AW3360" s="117"/>
      <c r="AX3360" s="117"/>
      <c r="AY3360" s="117"/>
      <c r="AZ3360" s="117"/>
      <c r="BA3360" s="117"/>
      <c r="BB3360" s="117"/>
      <c r="BC3360" s="117"/>
      <c r="BD3360" s="117"/>
    </row>
    <row r="3361" spans="1:56" ht="15">
      <c r="A3361" s="114"/>
      <c r="B3361" s="691" t="s">
        <v>1122</v>
      </c>
      <c r="C3361" s="410"/>
      <c r="D3361" s="1008"/>
      <c r="E3361" s="1008"/>
      <c r="F3361" s="424"/>
      <c r="G3361" s="362"/>
      <c r="H3361" s="362"/>
      <c r="I3361" s="362"/>
      <c r="J3361" s="114"/>
      <c r="AU3361" s="117"/>
      <c r="AV3361" s="117"/>
      <c r="AW3361" s="117"/>
      <c r="AX3361" s="117"/>
      <c r="AY3361" s="117"/>
      <c r="AZ3361" s="117"/>
      <c r="BA3361" s="117"/>
      <c r="BB3361" s="117"/>
      <c r="BC3361" s="117"/>
      <c r="BD3361" s="117"/>
    </row>
    <row r="3362" spans="1:56" ht="18">
      <c r="A3362" s="114"/>
      <c r="B3362" s="1011" t="s">
        <v>1123</v>
      </c>
      <c r="C3362" s="172"/>
      <c r="D3362" s="173"/>
      <c r="E3362" s="425">
        <f>E3343+E3310+E3283</f>
        <v>82.168312921570347</v>
      </c>
      <c r="F3362" s="139" t="s">
        <v>1124</v>
      </c>
      <c r="G3362" s="362"/>
      <c r="H3362" s="362"/>
      <c r="I3362" s="362"/>
      <c r="J3362" s="114"/>
      <c r="AU3362" s="117"/>
      <c r="AV3362" s="117"/>
      <c r="AW3362" s="117"/>
      <c r="AX3362" s="117"/>
      <c r="AY3362" s="117"/>
      <c r="AZ3362" s="117"/>
      <c r="BA3362" s="117"/>
      <c r="BB3362" s="117"/>
      <c r="BC3362" s="117"/>
      <c r="BD3362" s="117"/>
    </row>
    <row r="3363" spans="1:56" ht="18">
      <c r="A3363" s="114"/>
      <c r="B3363" s="1011" t="s">
        <v>1190</v>
      </c>
      <c r="C3363" s="172"/>
      <c r="D3363" s="173"/>
      <c r="E3363" s="446">
        <f>E3344+E3311+E3284</f>
        <v>71.909262921570345</v>
      </c>
      <c r="F3363" s="139" t="s">
        <v>1124</v>
      </c>
      <c r="G3363" s="362"/>
      <c r="H3363" s="362"/>
      <c r="I3363" s="362"/>
      <c r="J3363" s="114"/>
      <c r="AU3363" s="117"/>
      <c r="AV3363" s="117"/>
      <c r="AW3363" s="117"/>
      <c r="AX3363" s="117"/>
      <c r="AY3363" s="117"/>
      <c r="AZ3363" s="117"/>
      <c r="BA3363" s="117"/>
      <c r="BB3363" s="117"/>
      <c r="BC3363" s="117"/>
      <c r="BD3363" s="117"/>
    </row>
    <row r="3364" spans="1:56" ht="15">
      <c r="A3364" s="114"/>
      <c r="B3364" s="1011" t="s">
        <v>1191</v>
      </c>
      <c r="C3364" s="172"/>
      <c r="D3364" s="173"/>
      <c r="E3364" s="446">
        <f>E3345+E3312+E3285</f>
        <v>16.962</v>
      </c>
      <c r="F3364" s="139" t="s">
        <v>13</v>
      </c>
      <c r="G3364" s="362"/>
      <c r="H3364" s="362"/>
      <c r="I3364" s="362"/>
      <c r="J3364" s="114"/>
      <c r="AU3364" s="117"/>
      <c r="AV3364" s="117"/>
      <c r="AW3364" s="117"/>
      <c r="AX3364" s="117"/>
      <c r="AY3364" s="117"/>
      <c r="AZ3364" s="117"/>
      <c r="BA3364" s="117"/>
      <c r="BB3364" s="117"/>
      <c r="BC3364" s="117"/>
      <c r="BD3364" s="117"/>
    </row>
    <row r="3365" spans="1:56" ht="15">
      <c r="A3365" s="114"/>
      <c r="B3365" s="40"/>
      <c r="C3365" s="1008"/>
      <c r="D3365" s="1008"/>
      <c r="E3365" s="401"/>
      <c r="F3365" s="284"/>
      <c r="G3365" s="362"/>
      <c r="H3365" s="362"/>
      <c r="I3365" s="362"/>
      <c r="J3365" s="114"/>
      <c r="AU3365" s="117"/>
      <c r="AV3365" s="117"/>
      <c r="AW3365" s="117"/>
      <c r="AX3365" s="117"/>
      <c r="AY3365" s="117"/>
      <c r="AZ3365" s="117"/>
      <c r="BA3365" s="117"/>
      <c r="BB3365" s="117"/>
      <c r="BC3365" s="117"/>
      <c r="BD3365" s="117"/>
    </row>
    <row r="3366" spans="1:56" ht="18">
      <c r="A3366" s="114"/>
      <c r="B3366" s="1011" t="s">
        <v>317</v>
      </c>
      <c r="C3366" s="172"/>
      <c r="D3366" s="173"/>
      <c r="E3366" s="425">
        <f>E3355+E3322+E3288</f>
        <v>0.84810000000000008</v>
      </c>
      <c r="F3366" s="139" t="s">
        <v>1124</v>
      </c>
      <c r="G3366" s="196"/>
      <c r="H3366" s="196"/>
      <c r="I3366" s="196"/>
      <c r="J3366" s="114"/>
      <c r="AU3366" s="117"/>
      <c r="AV3366" s="117"/>
      <c r="AW3366" s="117"/>
      <c r="AX3366" s="117"/>
      <c r="AY3366" s="117"/>
      <c r="AZ3366" s="117"/>
      <c r="BA3366" s="117"/>
      <c r="BB3366" s="117"/>
      <c r="BC3366" s="117"/>
      <c r="BD3366" s="117"/>
    </row>
    <row r="3367" spans="1:56" ht="15">
      <c r="A3367" s="114"/>
      <c r="B3367" s="1011" t="s">
        <v>1192</v>
      </c>
      <c r="C3367" s="172"/>
      <c r="D3367" s="173"/>
      <c r="E3367" s="425">
        <f>E3356+E3323+E3289</f>
        <v>35.509500000000003</v>
      </c>
      <c r="F3367" s="139" t="s">
        <v>13</v>
      </c>
      <c r="G3367" s="196"/>
      <c r="H3367" s="196"/>
      <c r="I3367" s="196"/>
      <c r="J3367" s="114"/>
      <c r="AU3367" s="117"/>
      <c r="AV3367" s="117"/>
      <c r="AW3367" s="117"/>
      <c r="AX3367" s="117"/>
      <c r="AY3367" s="117"/>
      <c r="AZ3367" s="117"/>
      <c r="BA3367" s="117"/>
      <c r="BB3367" s="117"/>
      <c r="BC3367" s="117"/>
      <c r="BD3367" s="117"/>
    </row>
    <row r="3368" spans="1:56" ht="18">
      <c r="A3368" s="114"/>
      <c r="B3368" s="1011" t="s">
        <v>316</v>
      </c>
      <c r="C3368" s="172"/>
      <c r="D3368" s="173"/>
      <c r="E3368" s="425">
        <f>E3357+E3324+E3290</f>
        <v>9.4109499999999997</v>
      </c>
      <c r="F3368" s="139" t="s">
        <v>1124</v>
      </c>
      <c r="G3368" s="196"/>
      <c r="H3368" s="196"/>
      <c r="I3368" s="196"/>
      <c r="J3368" s="114"/>
      <c r="AU3368" s="117"/>
      <c r="AV3368" s="117"/>
      <c r="AW3368" s="117"/>
      <c r="AX3368" s="117"/>
      <c r="AY3368" s="117"/>
      <c r="AZ3368" s="117"/>
      <c r="BA3368" s="117"/>
      <c r="BB3368" s="117"/>
      <c r="BC3368" s="117"/>
      <c r="BD3368" s="117"/>
    </row>
    <row r="3369" spans="1:56">
      <c r="A3369" s="114"/>
      <c r="B3369" s="690"/>
      <c r="C3369" s="115"/>
      <c r="D3369" s="115"/>
      <c r="E3369" s="115"/>
      <c r="F3369" s="182"/>
      <c r="G3369" s="362"/>
      <c r="H3369" s="362"/>
      <c r="I3369" s="362"/>
      <c r="J3369" s="114"/>
      <c r="AU3369" s="117"/>
      <c r="AV3369" s="117"/>
      <c r="AW3369" s="117"/>
      <c r="AX3369" s="117"/>
      <c r="AY3369" s="117"/>
      <c r="AZ3369" s="117"/>
      <c r="BA3369" s="117"/>
      <c r="BB3369" s="117"/>
      <c r="BC3369" s="117"/>
      <c r="BD3369" s="117"/>
    </row>
    <row r="3370" spans="1:56">
      <c r="A3370" s="114"/>
      <c r="B3370" s="691" t="s">
        <v>1193</v>
      </c>
      <c r="C3370" s="1008"/>
      <c r="D3370" s="426" t="s">
        <v>1194</v>
      </c>
      <c r="E3370" s="426" t="s">
        <v>67</v>
      </c>
      <c r="F3370" s="182"/>
      <c r="G3370" s="362"/>
      <c r="H3370" s="362"/>
      <c r="I3370" s="362"/>
      <c r="J3370" s="114"/>
      <c r="AU3370" s="117"/>
      <c r="AV3370" s="117"/>
      <c r="AW3370" s="117"/>
      <c r="AX3370" s="117"/>
      <c r="AY3370" s="117"/>
      <c r="AZ3370" s="117"/>
      <c r="BA3370" s="117"/>
      <c r="BB3370" s="117"/>
      <c r="BC3370" s="117"/>
      <c r="BD3370" s="117"/>
    </row>
    <row r="3371" spans="1:56">
      <c r="A3371" s="114"/>
      <c r="B3371" s="777" t="s">
        <v>1195</v>
      </c>
      <c r="C3371" s="181"/>
      <c r="D3371" s="291">
        <f>E3352+E3319</f>
        <v>144</v>
      </c>
      <c r="E3371" s="427">
        <f>E3349+E3316</f>
        <v>12</v>
      </c>
      <c r="F3371" s="182"/>
      <c r="G3371" s="362"/>
      <c r="H3371" s="362"/>
      <c r="I3371" s="362"/>
      <c r="J3371" s="114"/>
      <c r="AU3371" s="117"/>
      <c r="AV3371" s="117"/>
      <c r="AW3371" s="117"/>
      <c r="AX3371" s="117"/>
      <c r="AY3371" s="117"/>
      <c r="AZ3371" s="117"/>
      <c r="BA3371" s="117"/>
      <c r="BB3371" s="117"/>
      <c r="BC3371" s="117"/>
      <c r="BD3371" s="117"/>
    </row>
    <row r="3372" spans="1:56">
      <c r="A3372" s="114"/>
      <c r="B3372" s="694"/>
      <c r="C3372" s="1008"/>
      <c r="D3372" s="430"/>
      <c r="E3372" s="430"/>
      <c r="F3372" s="182"/>
      <c r="G3372" s="1008"/>
      <c r="H3372" s="1008"/>
      <c r="I3372" s="1008"/>
      <c r="J3372" s="114"/>
      <c r="AU3372" s="117"/>
      <c r="AV3372" s="117"/>
      <c r="AW3372" s="117"/>
      <c r="AX3372" s="117"/>
      <c r="AY3372" s="117"/>
      <c r="AZ3372" s="117"/>
      <c r="BA3372" s="117"/>
      <c r="BB3372" s="117"/>
      <c r="BC3372" s="117"/>
      <c r="BD3372" s="117"/>
    </row>
    <row r="3373" spans="1:56" ht="15">
      <c r="A3373" s="114"/>
      <c r="B3373" s="1010" t="s">
        <v>102</v>
      </c>
      <c r="C3373" s="285">
        <v>208</v>
      </c>
      <c r="D3373" s="431" t="s">
        <v>12</v>
      </c>
      <c r="E3373" s="1199" t="s">
        <v>1256</v>
      </c>
      <c r="F3373" s="1200"/>
      <c r="G3373" s="1008"/>
      <c r="H3373" s="1008"/>
      <c r="I3373" s="1008"/>
      <c r="J3373" s="114"/>
      <c r="AU3373" s="117"/>
      <c r="AV3373" s="117"/>
      <c r="AW3373" s="117"/>
      <c r="AX3373" s="117"/>
      <c r="AY3373" s="117"/>
      <c r="AZ3373" s="117"/>
      <c r="BA3373" s="117"/>
      <c r="BB3373" s="117"/>
      <c r="BC3373" s="117"/>
      <c r="BD3373" s="117"/>
    </row>
    <row r="3374" spans="1:56" thickBot="1">
      <c r="A3374" s="114"/>
      <c r="B3374" s="704"/>
      <c r="C3374" s="1016">
        <v>426</v>
      </c>
      <c r="D3374" s="1018" t="s">
        <v>12</v>
      </c>
      <c r="E3374" s="1205"/>
      <c r="F3374" s="1206"/>
      <c r="G3374" s="1008"/>
      <c r="H3374" s="1008"/>
      <c r="I3374" s="1008"/>
      <c r="J3374" s="114"/>
      <c r="AU3374" s="117"/>
      <c r="AV3374" s="117"/>
      <c r="AW3374" s="117"/>
      <c r="AX3374" s="117"/>
      <c r="AY3374" s="117"/>
      <c r="AZ3374" s="117"/>
      <c r="BA3374" s="117"/>
      <c r="BB3374" s="117"/>
      <c r="BC3374" s="117"/>
      <c r="BD3374" s="117"/>
    </row>
    <row r="3375" spans="1:56">
      <c r="A3375" s="114"/>
      <c r="B3375" s="288"/>
      <c r="C3375" s="362"/>
      <c r="D3375" s="430"/>
      <c r="E3375" s="430"/>
      <c r="F3375" s="115"/>
      <c r="G3375" s="362"/>
      <c r="H3375" s="362"/>
      <c r="I3375" s="362"/>
      <c r="J3375" s="114"/>
      <c r="AU3375" s="117"/>
      <c r="AV3375" s="117"/>
      <c r="AW3375" s="117"/>
      <c r="AX3375" s="117"/>
      <c r="AY3375" s="117"/>
      <c r="AZ3375" s="117"/>
      <c r="BA3375" s="117"/>
      <c r="BB3375" s="117"/>
      <c r="BC3375" s="117"/>
      <c r="BD3375" s="117"/>
    </row>
    <row r="3376" spans="1:56" customFormat="1" ht="13.5" thickBot="1">
      <c r="B3376" s="362"/>
      <c r="C3376" s="362"/>
      <c r="D3376" s="362"/>
      <c r="E3376" s="362"/>
      <c r="F3376" s="362"/>
      <c r="G3376" s="362"/>
      <c r="H3376" s="362"/>
      <c r="I3376" s="362"/>
      <c r="J3376" s="362"/>
    </row>
    <row r="3377" spans="1:56">
      <c r="A3377" s="114"/>
      <c r="B3377" s="702" t="s">
        <v>320</v>
      </c>
      <c r="C3377" s="282"/>
      <c r="D3377" s="282"/>
      <c r="E3377" s="282"/>
      <c r="F3377" s="283"/>
      <c r="G3377" s="196"/>
      <c r="H3377" s="196"/>
      <c r="I3377" s="196"/>
      <c r="J3377" s="114"/>
      <c r="AW3377" s="117"/>
      <c r="AX3377" s="117"/>
      <c r="AY3377" s="117"/>
      <c r="AZ3377" s="117"/>
      <c r="BA3377" s="117"/>
      <c r="BB3377" s="117"/>
      <c r="BC3377" s="117"/>
      <c r="BD3377" s="117"/>
    </row>
    <row r="3378" spans="1:56" ht="15">
      <c r="A3378" s="114"/>
      <c r="B3378" s="693"/>
      <c r="C3378" s="196"/>
      <c r="D3378" s="196"/>
      <c r="E3378" s="196"/>
      <c r="F3378" s="284"/>
      <c r="G3378" s="196"/>
      <c r="H3378" s="196"/>
      <c r="I3378" s="196"/>
      <c r="J3378" s="114"/>
      <c r="AW3378" s="117"/>
      <c r="AX3378" s="117"/>
      <c r="AY3378" s="117"/>
      <c r="AZ3378" s="117"/>
      <c r="BA3378" s="117"/>
      <c r="BB3378" s="117"/>
      <c r="BC3378" s="117"/>
      <c r="BD3378" s="117"/>
    </row>
    <row r="3379" spans="1:56" customFormat="1" ht="15">
      <c r="B3379" s="691" t="s">
        <v>351</v>
      </c>
      <c r="C3379" s="763"/>
      <c r="D3379" s="763"/>
      <c r="E3379" s="763"/>
      <c r="F3379" s="424"/>
      <c r="G3379" s="362"/>
      <c r="H3379" s="362"/>
      <c r="I3379" s="362"/>
      <c r="J3379" s="362"/>
    </row>
    <row r="3380" spans="1:56" thickBot="1">
      <c r="A3380" s="114"/>
      <c r="B3380" s="720" t="s">
        <v>352</v>
      </c>
      <c r="C3380" s="174"/>
      <c r="D3380" s="176"/>
      <c r="E3380" s="477">
        <f>SUM(C3373:C3374)</f>
        <v>634</v>
      </c>
      <c r="F3380" s="440" t="s">
        <v>12</v>
      </c>
      <c r="G3380" s="362"/>
      <c r="H3380" s="362"/>
      <c r="I3380" s="362"/>
      <c r="J3380" s="114"/>
      <c r="AU3380" s="117"/>
      <c r="AV3380" s="117"/>
      <c r="AW3380" s="117"/>
      <c r="AX3380" s="117"/>
      <c r="AY3380" s="117"/>
      <c r="AZ3380" s="117"/>
      <c r="BA3380" s="117"/>
      <c r="BB3380" s="117"/>
      <c r="BC3380" s="117"/>
      <c r="BD3380" s="117"/>
    </row>
    <row r="3381" spans="1:56">
      <c r="A3381" s="114"/>
      <c r="B3381" s="288"/>
      <c r="C3381" s="6"/>
      <c r="D3381" s="430"/>
      <c r="E3381" s="430"/>
      <c r="F3381" s="331"/>
      <c r="G3381" s="362"/>
      <c r="H3381" s="362"/>
      <c r="I3381" s="362"/>
      <c r="J3381" s="114"/>
      <c r="AU3381" s="117"/>
      <c r="AV3381" s="117"/>
      <c r="AW3381" s="117"/>
      <c r="AX3381" s="117"/>
      <c r="AY3381" s="117"/>
      <c r="AZ3381" s="117"/>
      <c r="BA3381" s="117"/>
      <c r="BB3381" s="117"/>
      <c r="BC3381" s="117"/>
      <c r="BD3381" s="117"/>
    </row>
    <row r="3382" spans="1:56" ht="15">
      <c r="A3382" s="114"/>
      <c r="B3382" s="478" t="s">
        <v>2277</v>
      </c>
      <c r="C3382" s="478"/>
      <c r="D3382" s="478"/>
      <c r="E3382" s="478"/>
      <c r="F3382" s="478"/>
      <c r="G3382" s="478"/>
      <c r="H3382" s="478"/>
      <c r="I3382" s="478"/>
      <c r="J3382" s="351"/>
      <c r="AU3382" s="117"/>
      <c r="AV3382" s="117"/>
      <c r="AW3382" s="117"/>
      <c r="AX3382" s="117"/>
      <c r="AY3382" s="117"/>
      <c r="AZ3382" s="117"/>
      <c r="BA3382" s="117"/>
      <c r="BB3382" s="117"/>
      <c r="BC3382" s="117"/>
      <c r="BD3382" s="117"/>
    </row>
    <row r="3383" spans="1:56">
      <c r="A3383" s="114"/>
      <c r="B3383" s="140"/>
      <c r="C3383" s="479"/>
      <c r="D3383" s="479"/>
      <c r="E3383" s="480"/>
      <c r="F3383" s="196"/>
      <c r="G3383" s="479"/>
      <c r="H3383" s="479"/>
      <c r="I3383" s="115"/>
      <c r="J3383" s="114"/>
      <c r="AU3383" s="117"/>
      <c r="AV3383" s="117"/>
      <c r="AW3383" s="117"/>
      <c r="AX3383" s="117"/>
      <c r="AY3383" s="117"/>
      <c r="AZ3383" s="117"/>
      <c r="BA3383" s="117"/>
      <c r="BB3383" s="117"/>
      <c r="BC3383" s="117"/>
      <c r="BD3383" s="117"/>
    </row>
    <row r="3384" spans="1:56" ht="15">
      <c r="A3384" s="114"/>
      <c r="B3384" s="288" t="s">
        <v>1787</v>
      </c>
      <c r="C3384" s="230"/>
      <c r="D3384" s="230"/>
      <c r="E3384" s="384"/>
      <c r="F3384" s="196"/>
      <c r="G3384" s="196"/>
      <c r="H3384" s="196"/>
      <c r="I3384" s="196"/>
      <c r="J3384" s="114"/>
      <c r="AW3384" s="117"/>
      <c r="AX3384" s="117"/>
      <c r="AY3384" s="117"/>
      <c r="AZ3384" s="117"/>
      <c r="BA3384" s="117"/>
      <c r="BB3384" s="117"/>
      <c r="BC3384" s="117"/>
      <c r="BD3384" s="117"/>
    </row>
    <row r="3385" spans="1:56">
      <c r="A3385" s="114"/>
      <c r="B3385" s="140"/>
      <c r="C3385" s="479"/>
      <c r="D3385" s="479"/>
      <c r="E3385" s="480"/>
      <c r="F3385" s="196"/>
      <c r="G3385" s="479"/>
      <c r="H3385" s="479"/>
      <c r="I3385" s="115"/>
      <c r="J3385" s="114"/>
      <c r="AU3385" s="117"/>
      <c r="AV3385" s="117"/>
      <c r="AW3385" s="117"/>
      <c r="AX3385" s="117"/>
      <c r="AY3385" s="117"/>
      <c r="AZ3385" s="117"/>
      <c r="BA3385" s="117"/>
      <c r="BB3385" s="117"/>
      <c r="BC3385" s="117"/>
      <c r="BD3385" s="117"/>
    </row>
    <row r="3386" spans="1:56">
      <c r="A3386"/>
      <c r="B3386" s="385" t="s">
        <v>1223</v>
      </c>
      <c r="C3386" s="362"/>
      <c r="D3386" s="362"/>
      <c r="E3386" s="362"/>
      <c r="F3386" s="362"/>
      <c r="G3386" s="115"/>
      <c r="H3386" s="115"/>
      <c r="I3386" s="362"/>
      <c r="J3386" s="114"/>
      <c r="AW3386" s="117"/>
      <c r="AX3386" s="117"/>
      <c r="AY3386" s="117"/>
      <c r="AZ3386" s="117"/>
      <c r="BA3386" s="117"/>
      <c r="BB3386" s="117"/>
      <c r="BC3386" s="117"/>
      <c r="BD3386" s="117"/>
    </row>
    <row r="3387" spans="1:56" ht="15">
      <c r="A3387" s="114"/>
      <c r="B3387" s="362"/>
      <c r="C3387" s="362"/>
      <c r="D3387" s="362"/>
      <c r="E3387" s="362"/>
      <c r="F3387" s="404"/>
      <c r="G3387" s="196"/>
      <c r="H3387" s="196"/>
      <c r="I3387" s="404"/>
      <c r="J3387" s="114"/>
      <c r="AW3387" s="117"/>
      <c r="AX3387" s="117"/>
      <c r="AY3387" s="117"/>
      <c r="AZ3387" s="117"/>
      <c r="BA3387" s="117"/>
      <c r="BB3387" s="117"/>
      <c r="BC3387" s="117"/>
      <c r="BD3387" s="117"/>
    </row>
    <row r="3388" spans="1:56" ht="18">
      <c r="A3388" s="114"/>
      <c r="B3388" s="388" t="s">
        <v>1141</v>
      </c>
      <c r="C3388" s="389">
        <v>0</v>
      </c>
      <c r="D3388" s="390" t="s">
        <v>10</v>
      </c>
      <c r="E3388" s="196"/>
      <c r="F3388" s="405"/>
      <c r="G3388" s="196"/>
      <c r="H3388" s="196"/>
      <c r="I3388" s="405" t="s">
        <v>1143</v>
      </c>
      <c r="J3388" s="114"/>
      <c r="AW3388" s="117"/>
      <c r="AX3388" s="117"/>
      <c r="AY3388" s="117"/>
      <c r="AZ3388" s="117"/>
      <c r="BA3388" s="117"/>
      <c r="BB3388" s="117"/>
      <c r="BC3388" s="117"/>
      <c r="BD3388" s="117"/>
    </row>
    <row r="3389" spans="1:56" ht="15">
      <c r="A3389" s="114"/>
      <c r="B3389" s="388" t="s">
        <v>1144</v>
      </c>
      <c r="C3389" s="389">
        <v>0</v>
      </c>
      <c r="D3389" s="390" t="s">
        <v>10</v>
      </c>
      <c r="E3389" s="196"/>
      <c r="F3389" s="405"/>
      <c r="G3389" s="362"/>
      <c r="H3389" s="362"/>
      <c r="I3389" s="405"/>
      <c r="J3389" s="114"/>
      <c r="AW3389" s="117"/>
      <c r="AX3389" s="117"/>
      <c r="AY3389" s="117"/>
      <c r="AZ3389" s="117"/>
      <c r="BA3389" s="117"/>
      <c r="BB3389" s="117"/>
      <c r="BC3389" s="117"/>
      <c r="BD3389" s="117"/>
    </row>
    <row r="3390" spans="1:56" ht="15">
      <c r="A3390" s="114"/>
      <c r="B3390" s="388" t="s">
        <v>1145</v>
      </c>
      <c r="C3390" s="389">
        <v>0.8</v>
      </c>
      <c r="D3390" s="390" t="s">
        <v>10</v>
      </c>
      <c r="E3390" s="196"/>
      <c r="F3390" s="405"/>
      <c r="G3390" s="404"/>
      <c r="H3390" s="404"/>
      <c r="I3390" s="405"/>
      <c r="J3390" s="114"/>
      <c r="AW3390" s="117"/>
      <c r="AX3390" s="117"/>
      <c r="AY3390" s="117"/>
      <c r="AZ3390" s="117"/>
      <c r="BA3390" s="117"/>
      <c r="BB3390" s="117"/>
      <c r="BC3390" s="117"/>
      <c r="BD3390" s="117"/>
    </row>
    <row r="3391" spans="1:56" ht="18">
      <c r="A3391" s="114"/>
      <c r="B3391" s="388" t="s">
        <v>1146</v>
      </c>
      <c r="C3391" s="389">
        <v>0.8</v>
      </c>
      <c r="D3391" s="390" t="s">
        <v>10</v>
      </c>
      <c r="E3391" s="196"/>
      <c r="F3391" s="405"/>
      <c r="G3391" s="406" t="s">
        <v>1142</v>
      </c>
      <c r="H3391" s="407">
        <f>C3388*C3389</f>
        <v>0</v>
      </c>
      <c r="I3391" s="405" t="s">
        <v>1143</v>
      </c>
      <c r="J3391" s="114"/>
      <c r="AW3391" s="117"/>
      <c r="AX3391" s="117"/>
      <c r="AY3391" s="117"/>
      <c r="AZ3391" s="117"/>
      <c r="BA3391" s="117"/>
      <c r="BB3391" s="117"/>
      <c r="BC3391" s="117"/>
      <c r="BD3391" s="117"/>
    </row>
    <row r="3392" spans="1:56" ht="18">
      <c r="A3392" s="114"/>
      <c r="B3392" s="388" t="s">
        <v>1112</v>
      </c>
      <c r="C3392" s="389">
        <v>0.57999999999999996</v>
      </c>
      <c r="D3392" s="390" t="s">
        <v>10</v>
      </c>
      <c r="E3392" s="196"/>
      <c r="F3392" s="405"/>
      <c r="G3392" s="406" t="e">
        <f>TEXT(C3396,"tg 0°=")</f>
        <v>#VALUE!</v>
      </c>
      <c r="H3392" s="408">
        <f>TAN(3.14159265359*C3396/180)</f>
        <v>1.732050807569153</v>
      </c>
      <c r="I3392" s="405" t="s">
        <v>1143</v>
      </c>
      <c r="J3392" s="114"/>
      <c r="AW3392" s="117"/>
      <c r="AX3392" s="117"/>
      <c r="AY3392" s="117"/>
      <c r="AZ3392" s="117"/>
      <c r="BA3392" s="117"/>
      <c r="BB3392" s="117"/>
      <c r="BC3392" s="117"/>
      <c r="BD3392" s="117"/>
    </row>
    <row r="3393" spans="1:56" ht="15">
      <c r="A3393" s="114"/>
      <c r="B3393" s="388" t="s">
        <v>1113</v>
      </c>
      <c r="C3393" s="389">
        <v>0.8</v>
      </c>
      <c r="D3393" s="390" t="s">
        <v>10</v>
      </c>
      <c r="E3393" s="196"/>
      <c r="F3393" s="405"/>
      <c r="G3393" s="406"/>
      <c r="H3393" s="407"/>
      <c r="I3393" s="405"/>
      <c r="J3393" s="114"/>
      <c r="AW3393" s="117"/>
      <c r="AX3393" s="117"/>
      <c r="AY3393" s="117"/>
      <c r="AZ3393" s="117"/>
      <c r="BA3393" s="117"/>
      <c r="BB3393" s="117"/>
      <c r="BC3393" s="117"/>
      <c r="BD3393" s="117"/>
    </row>
    <row r="3394" spans="1:56" ht="15">
      <c r="A3394" s="114"/>
      <c r="B3394" s="388" t="s">
        <v>1117</v>
      </c>
      <c r="C3394" s="391">
        <v>4</v>
      </c>
      <c r="D3394" s="390" t="s">
        <v>1118</v>
      </c>
      <c r="E3394" s="196"/>
      <c r="F3394" s="405"/>
      <c r="G3394" s="406" t="s">
        <v>1142</v>
      </c>
      <c r="H3394" s="409">
        <f>(C3390+2*C3398+((C3392+C3393+0.05)/H3392)*2)*(C3391+2*C3398+((C3392+C3393+0.05)/H3392)*2)</f>
        <v>11.910931704907906</v>
      </c>
      <c r="I3394" s="405"/>
      <c r="J3394" s="114"/>
      <c r="AW3394" s="117"/>
      <c r="AX3394" s="117"/>
      <c r="AY3394" s="117"/>
      <c r="AZ3394" s="117"/>
      <c r="BA3394" s="117"/>
      <c r="BB3394" s="117"/>
      <c r="BC3394" s="117"/>
      <c r="BD3394" s="117"/>
    </row>
    <row r="3395" spans="1:56" ht="15">
      <c r="A3395" s="114"/>
      <c r="B3395" s="196" t="s">
        <v>1148</v>
      </c>
      <c r="C3395" s="393"/>
      <c r="D3395" s="196"/>
      <c r="E3395" s="196"/>
      <c r="F3395" s="405"/>
      <c r="G3395" s="406" t="s">
        <v>1147</v>
      </c>
      <c r="H3395" s="409">
        <f>(C3390+2*C3398)*(C3391+2*C3398)</f>
        <v>3.24</v>
      </c>
      <c r="I3395" s="405"/>
      <c r="J3395" s="114"/>
      <c r="AW3395" s="117"/>
      <c r="AX3395" s="117"/>
      <c r="AY3395" s="117"/>
      <c r="AZ3395" s="117"/>
      <c r="BA3395" s="117"/>
      <c r="BB3395" s="117"/>
      <c r="BC3395" s="117"/>
      <c r="BD3395" s="117"/>
    </row>
    <row r="3396" spans="1:56" ht="15">
      <c r="A3396" s="114"/>
      <c r="B3396" s="388" t="s">
        <v>1149</v>
      </c>
      <c r="C3396" s="389">
        <v>60</v>
      </c>
      <c r="D3396" s="390" t="s">
        <v>1150</v>
      </c>
      <c r="E3396" s="196"/>
      <c r="F3396" s="196"/>
      <c r="G3396" s="406"/>
      <c r="H3396" s="407"/>
      <c r="I3396" s="196"/>
      <c r="J3396" s="114"/>
      <c r="AW3396" s="117"/>
      <c r="AX3396" s="117"/>
      <c r="AY3396" s="117"/>
      <c r="AZ3396" s="117"/>
      <c r="BA3396" s="117"/>
      <c r="BB3396" s="117"/>
      <c r="BC3396" s="117"/>
      <c r="BD3396" s="117"/>
    </row>
    <row r="3397" spans="1:56" ht="15">
      <c r="A3397" s="114"/>
      <c r="B3397" s="362"/>
      <c r="C3397" s="196"/>
      <c r="D3397" s="196"/>
      <c r="E3397" s="196"/>
      <c r="F3397" s="196"/>
      <c r="G3397" s="406"/>
      <c r="H3397" s="407"/>
      <c r="I3397" s="362"/>
      <c r="J3397" s="114"/>
      <c r="AW3397" s="117"/>
      <c r="AX3397" s="117"/>
      <c r="AY3397" s="117"/>
      <c r="AZ3397" s="117"/>
      <c r="BA3397" s="117"/>
      <c r="BB3397" s="117"/>
      <c r="BC3397" s="117"/>
      <c r="BD3397" s="117"/>
    </row>
    <row r="3398" spans="1:56" ht="15">
      <c r="A3398" s="114"/>
      <c r="B3398" s="388" t="s">
        <v>1114</v>
      </c>
      <c r="C3398" s="389">
        <v>0.5</v>
      </c>
      <c r="D3398" s="390" t="s">
        <v>10</v>
      </c>
      <c r="E3398" s="288" t="s">
        <v>1120</v>
      </c>
      <c r="F3398" s="196"/>
      <c r="G3398" s="406"/>
      <c r="H3398" s="407"/>
      <c r="I3398" s="114"/>
      <c r="J3398" s="114"/>
      <c r="AW3398" s="117"/>
      <c r="AX3398" s="117"/>
      <c r="AY3398" s="117"/>
      <c r="AZ3398" s="117"/>
      <c r="BA3398" s="117"/>
      <c r="BB3398" s="117"/>
      <c r="BC3398" s="117"/>
      <c r="BD3398" s="117"/>
    </row>
    <row r="3399" spans="1:56" ht="15">
      <c r="A3399" s="114"/>
      <c r="B3399" s="388" t="s">
        <v>1114</v>
      </c>
      <c r="C3399" s="389">
        <v>0.1</v>
      </c>
      <c r="D3399" s="390" t="s">
        <v>10</v>
      </c>
      <c r="E3399" s="288" t="s">
        <v>1121</v>
      </c>
      <c r="F3399" s="196"/>
      <c r="G3399" s="392"/>
      <c r="H3399" s="393"/>
      <c r="I3399" s="196"/>
      <c r="J3399" s="114"/>
      <c r="AW3399" s="117"/>
      <c r="AX3399" s="117"/>
      <c r="AY3399" s="117"/>
      <c r="AZ3399" s="117"/>
      <c r="BA3399" s="117"/>
      <c r="BB3399" s="117"/>
      <c r="BC3399" s="117"/>
      <c r="BD3399" s="117"/>
    </row>
    <row r="3400" spans="1:56" ht="15">
      <c r="A3400" s="114"/>
      <c r="B3400" s="362"/>
      <c r="C3400" s="362"/>
      <c r="D3400" s="362"/>
      <c r="E3400" s="362"/>
      <c r="F3400" s="362"/>
      <c r="G3400" s="362"/>
      <c r="H3400" s="362"/>
      <c r="I3400" s="196"/>
      <c r="J3400" s="114"/>
      <c r="AW3400" s="117"/>
      <c r="AX3400" s="117"/>
      <c r="AY3400" s="117"/>
      <c r="AZ3400" s="117"/>
      <c r="BA3400" s="117"/>
      <c r="BB3400" s="117"/>
      <c r="BC3400" s="117"/>
      <c r="BD3400" s="117"/>
    </row>
    <row r="3401" spans="1:56" ht="15">
      <c r="A3401" s="114"/>
      <c r="B3401" s="303" t="s">
        <v>1122</v>
      </c>
      <c r="C3401" s="362"/>
      <c r="D3401" s="362"/>
      <c r="E3401" s="362"/>
      <c r="F3401" s="362"/>
      <c r="G3401" s="196" t="s">
        <v>1131</v>
      </c>
      <c r="H3401" s="114"/>
      <c r="I3401" s="196"/>
      <c r="J3401" s="114"/>
      <c r="AW3401" s="117"/>
      <c r="AX3401" s="117"/>
      <c r="AY3401" s="117"/>
      <c r="AZ3401" s="117"/>
      <c r="BA3401" s="117"/>
      <c r="BB3401" s="117"/>
      <c r="BC3401" s="117"/>
      <c r="BD3401" s="117"/>
    </row>
    <row r="3402" spans="1:56" ht="18">
      <c r="A3402" s="114"/>
      <c r="B3402" s="398" t="s">
        <v>1123</v>
      </c>
      <c r="C3402" s="172"/>
      <c r="D3402" s="173"/>
      <c r="E3402" s="397">
        <f>C3394*((H3395+H3394)/2)*(C3392+C3393+0.05)</f>
        <v>43.33166467603661</v>
      </c>
      <c r="F3402" s="390" t="s">
        <v>1124</v>
      </c>
      <c r="G3402" s="196"/>
      <c r="H3402" s="196"/>
      <c r="I3402" s="362"/>
      <c r="J3402" s="114"/>
      <c r="AW3402" s="117"/>
      <c r="AX3402" s="117"/>
      <c r="AY3402" s="117"/>
      <c r="AZ3402" s="117"/>
      <c r="BA3402" s="117"/>
      <c r="BB3402" s="117"/>
      <c r="BC3402" s="117"/>
      <c r="BD3402" s="117"/>
    </row>
    <row r="3403" spans="1:56" ht="18">
      <c r="A3403" s="114"/>
      <c r="B3403" s="398" t="s">
        <v>1125</v>
      </c>
      <c r="C3403" s="172"/>
      <c r="D3403" s="173"/>
      <c r="E3403" s="400">
        <f>E3402-(E3414+E3416)</f>
        <v>41.083664676036612</v>
      </c>
      <c r="F3403" s="390" t="s">
        <v>1124</v>
      </c>
      <c r="G3403" s="196"/>
      <c r="H3403" s="196"/>
      <c r="I3403" s="196"/>
      <c r="J3403" s="114"/>
      <c r="AW3403" s="117"/>
      <c r="AX3403" s="117"/>
      <c r="AY3403" s="117"/>
      <c r="AZ3403" s="117"/>
      <c r="BA3403" s="117"/>
      <c r="BB3403" s="117"/>
      <c r="BC3403" s="117"/>
      <c r="BD3403" s="117"/>
    </row>
    <row r="3404" spans="1:56" ht="15">
      <c r="A3404" s="114"/>
      <c r="B3404" s="398" t="s">
        <v>1126</v>
      </c>
      <c r="C3404" s="172"/>
      <c r="D3404" s="173"/>
      <c r="E3404" s="400">
        <f>((C3390+2*C3399)*(C3391+2*C3399))*C3394</f>
        <v>4</v>
      </c>
      <c r="F3404" s="390" t="s">
        <v>13</v>
      </c>
      <c r="G3404" s="362"/>
      <c r="H3404" s="362"/>
      <c r="I3404" s="362"/>
      <c r="J3404" s="114"/>
      <c r="AW3404" s="117"/>
      <c r="AX3404" s="117"/>
      <c r="AY3404" s="117"/>
      <c r="AZ3404" s="117"/>
      <c r="BA3404" s="117"/>
      <c r="BB3404" s="117"/>
      <c r="BC3404" s="117"/>
      <c r="BD3404" s="117"/>
    </row>
    <row r="3405" spans="1:56" ht="15">
      <c r="A3405" s="114"/>
      <c r="B3405" s="362"/>
      <c r="C3405" s="362"/>
      <c r="D3405" s="362"/>
      <c r="E3405" s="401"/>
      <c r="F3405" s="196"/>
      <c r="G3405" s="362"/>
      <c r="H3405" s="362"/>
      <c r="I3405" s="362"/>
      <c r="J3405" s="114"/>
      <c r="AW3405" s="117"/>
      <c r="AX3405" s="117"/>
      <c r="AY3405" s="117"/>
      <c r="AZ3405" s="117"/>
      <c r="BA3405" s="117"/>
      <c r="BB3405" s="117"/>
      <c r="BC3405" s="117"/>
      <c r="BD3405" s="117"/>
    </row>
    <row r="3406" spans="1:56" ht="15">
      <c r="A3406" s="114"/>
      <c r="B3406" s="303" t="s">
        <v>1162</v>
      </c>
      <c r="C3406" s="362"/>
      <c r="D3406" s="362"/>
      <c r="E3406" s="410"/>
      <c r="F3406" s="362"/>
      <c r="G3406" s="362"/>
      <c r="H3406" s="362"/>
      <c r="I3406" s="362"/>
      <c r="J3406" s="114"/>
      <c r="AW3406" s="117"/>
      <c r="AX3406" s="117"/>
      <c r="AY3406" s="117"/>
      <c r="AZ3406" s="117"/>
      <c r="BA3406" s="117"/>
      <c r="BB3406" s="117"/>
      <c r="BC3406" s="117"/>
      <c r="BD3406" s="117"/>
    </row>
    <row r="3407" spans="1:56" ht="15">
      <c r="A3407" s="114"/>
      <c r="B3407" s="398" t="s">
        <v>1152</v>
      </c>
      <c r="C3407" s="398"/>
      <c r="D3407" s="366"/>
      <c r="E3407" s="411">
        <v>1</v>
      </c>
      <c r="F3407" s="390" t="s">
        <v>1153</v>
      </c>
      <c r="G3407" s="362"/>
      <c r="H3407" s="362"/>
      <c r="I3407" s="362"/>
      <c r="J3407" s="114"/>
      <c r="AW3407" s="117"/>
      <c r="AX3407" s="117"/>
      <c r="AY3407" s="117"/>
      <c r="AZ3407" s="117"/>
      <c r="BA3407" s="117"/>
      <c r="BB3407" s="117"/>
      <c r="BC3407" s="117"/>
      <c r="BD3407" s="117"/>
    </row>
    <row r="3408" spans="1:56" ht="15">
      <c r="A3408" s="114"/>
      <c r="B3408" s="399" t="s">
        <v>1154</v>
      </c>
      <c r="C3408" s="31"/>
      <c r="D3408" s="32"/>
      <c r="E3408" s="412">
        <f>C3394*E3407</f>
        <v>4</v>
      </c>
      <c r="F3408" s="390" t="s">
        <v>1153</v>
      </c>
      <c r="G3408" s="362"/>
      <c r="H3408" s="362"/>
      <c r="I3408" s="362"/>
      <c r="J3408" s="114"/>
      <c r="AW3408" s="117"/>
      <c r="AX3408" s="117"/>
      <c r="AY3408" s="117"/>
      <c r="AZ3408" s="117"/>
      <c r="BA3408" s="117"/>
      <c r="BB3408" s="117"/>
      <c r="BC3408" s="117"/>
      <c r="BD3408" s="117"/>
    </row>
    <row r="3409" spans="1:56" ht="15">
      <c r="A3409" s="114"/>
      <c r="B3409" s="398" t="s">
        <v>1155</v>
      </c>
      <c r="C3409" s="21"/>
      <c r="D3409" s="413"/>
      <c r="E3409" s="411">
        <v>400</v>
      </c>
      <c r="F3409" s="390" t="s">
        <v>1156</v>
      </c>
      <c r="G3409" s="362"/>
      <c r="H3409" s="414"/>
      <c r="I3409" s="362"/>
      <c r="J3409" s="114"/>
      <c r="AW3409" s="117"/>
      <c r="AX3409" s="117"/>
      <c r="AY3409" s="117"/>
      <c r="AZ3409" s="117"/>
      <c r="BA3409" s="117"/>
      <c r="BB3409" s="117"/>
      <c r="BC3409" s="117"/>
      <c r="BD3409" s="117"/>
    </row>
    <row r="3410" spans="1:56" ht="15">
      <c r="A3410" s="114"/>
      <c r="B3410" s="398" t="s">
        <v>1157</v>
      </c>
      <c r="C3410" s="21"/>
      <c r="D3410" s="413"/>
      <c r="E3410" s="418">
        <v>17</v>
      </c>
      <c r="F3410" s="390" t="s">
        <v>10</v>
      </c>
      <c r="G3410" s="362"/>
      <c r="H3410" s="6"/>
      <c r="I3410" s="362"/>
      <c r="J3410" s="114"/>
      <c r="AW3410" s="117"/>
      <c r="AX3410" s="117"/>
      <c r="AY3410" s="117"/>
      <c r="AZ3410" s="117"/>
      <c r="BA3410" s="117"/>
      <c r="BB3410" s="117"/>
      <c r="BC3410" s="117"/>
      <c r="BD3410" s="117"/>
    </row>
    <row r="3411" spans="1:56" ht="15">
      <c r="A3411" s="114"/>
      <c r="B3411" s="398" t="s">
        <v>1158</v>
      </c>
      <c r="C3411" s="21"/>
      <c r="D3411" s="413"/>
      <c r="E3411" s="412">
        <f>E3408*E3410</f>
        <v>68</v>
      </c>
      <c r="F3411" s="390" t="s">
        <v>10</v>
      </c>
      <c r="G3411" s="362"/>
      <c r="H3411" s="362"/>
      <c r="I3411" s="362"/>
      <c r="J3411" s="114"/>
      <c r="AW3411" s="117"/>
      <c r="AX3411" s="117"/>
      <c r="AY3411" s="117"/>
      <c r="AZ3411" s="117"/>
      <c r="BA3411" s="117"/>
      <c r="BB3411" s="117"/>
      <c r="BC3411" s="117"/>
      <c r="BD3411" s="117"/>
    </row>
    <row r="3412" spans="1:56" ht="15">
      <c r="A3412" s="114"/>
      <c r="B3412" s="362"/>
      <c r="C3412" s="362"/>
      <c r="D3412" s="362"/>
      <c r="E3412" s="410"/>
      <c r="F3412" s="362"/>
      <c r="G3412" s="362"/>
      <c r="H3412" s="362"/>
      <c r="I3412" s="362"/>
      <c r="J3412" s="114"/>
      <c r="AW3412" s="117"/>
      <c r="AX3412" s="117"/>
      <c r="AY3412" s="117"/>
      <c r="AZ3412" s="117"/>
      <c r="BA3412" s="117"/>
      <c r="BB3412" s="117"/>
      <c r="BC3412" s="117"/>
      <c r="BD3412" s="117"/>
    </row>
    <row r="3413" spans="1:56" ht="15">
      <c r="A3413" s="114"/>
      <c r="B3413" s="303" t="s">
        <v>1160</v>
      </c>
      <c r="C3413" s="362"/>
      <c r="D3413" s="362"/>
      <c r="E3413" s="410"/>
      <c r="F3413" s="362"/>
      <c r="G3413" s="362"/>
      <c r="H3413" s="362"/>
      <c r="I3413" s="362"/>
      <c r="J3413" s="114"/>
      <c r="AW3413" s="117"/>
      <c r="AX3413" s="117"/>
      <c r="AY3413" s="117"/>
      <c r="AZ3413" s="117"/>
      <c r="BA3413" s="117"/>
      <c r="BB3413" s="117"/>
      <c r="BC3413" s="117"/>
      <c r="BD3413" s="117"/>
    </row>
    <row r="3414" spans="1:56" ht="18">
      <c r="A3414" s="114"/>
      <c r="B3414" s="398" t="s">
        <v>1128</v>
      </c>
      <c r="C3414" s="172"/>
      <c r="D3414" s="173"/>
      <c r="E3414" s="402">
        <f>E3404*0.05</f>
        <v>0.2</v>
      </c>
      <c r="F3414" s="390" t="s">
        <v>1124</v>
      </c>
      <c r="G3414" s="362"/>
      <c r="H3414" s="362"/>
      <c r="I3414" s="362"/>
      <c r="J3414" s="114"/>
      <c r="AW3414" s="117"/>
      <c r="AX3414" s="117"/>
      <c r="AY3414" s="117"/>
      <c r="AZ3414" s="117"/>
      <c r="BA3414" s="117"/>
      <c r="BB3414" s="117"/>
      <c r="BC3414" s="117"/>
      <c r="BD3414" s="117"/>
    </row>
    <row r="3415" spans="1:56" ht="15">
      <c r="A3415" s="114"/>
      <c r="B3415" s="398" t="s">
        <v>1129</v>
      </c>
      <c r="C3415" s="172"/>
      <c r="D3415" s="173"/>
      <c r="E3415" s="397">
        <f>(2*(C3390+C3391)*C3393)*C3394</f>
        <v>10.240000000000002</v>
      </c>
      <c r="F3415" s="390" t="s">
        <v>13</v>
      </c>
      <c r="G3415" s="362"/>
      <c r="H3415" s="362"/>
      <c r="I3415" s="362"/>
      <c r="J3415" s="114"/>
      <c r="AW3415" s="117"/>
      <c r="AX3415" s="117"/>
      <c r="AY3415" s="117"/>
      <c r="AZ3415" s="117"/>
      <c r="BA3415" s="117"/>
      <c r="BB3415" s="117"/>
      <c r="BC3415" s="117"/>
      <c r="BD3415" s="117"/>
    </row>
    <row r="3416" spans="1:56" ht="18">
      <c r="A3416" s="114"/>
      <c r="B3416" s="398" t="s">
        <v>1130</v>
      </c>
      <c r="C3416" s="172"/>
      <c r="D3416" s="173"/>
      <c r="E3416" s="402">
        <f>(C3390*C3391*C3393)*C3394</f>
        <v>2.0480000000000005</v>
      </c>
      <c r="F3416" s="390" t="s">
        <v>1124</v>
      </c>
      <c r="G3416" s="362"/>
      <c r="H3416" s="362"/>
      <c r="I3416" s="362"/>
      <c r="J3416" s="114"/>
      <c r="AW3416" s="117"/>
      <c r="AX3416" s="117"/>
      <c r="AY3416" s="117"/>
      <c r="AZ3416" s="117"/>
      <c r="BA3416" s="117"/>
      <c r="BB3416" s="117"/>
      <c r="BC3416" s="117"/>
      <c r="BD3416" s="117"/>
    </row>
    <row r="3417" spans="1:56">
      <c r="A3417" s="114"/>
      <c r="B3417" s="140"/>
      <c r="C3417" s="479"/>
      <c r="D3417" s="479"/>
      <c r="E3417" s="480"/>
      <c r="F3417" s="196"/>
      <c r="G3417" s="479"/>
      <c r="H3417" s="479"/>
      <c r="I3417" s="115"/>
      <c r="J3417" s="114"/>
      <c r="AW3417" s="117"/>
      <c r="AX3417" s="117"/>
      <c r="AY3417" s="117"/>
      <c r="AZ3417" s="117"/>
      <c r="BA3417" s="117"/>
      <c r="BB3417" s="117"/>
      <c r="BC3417" s="117"/>
      <c r="BD3417" s="117"/>
    </row>
    <row r="3418" spans="1:56">
      <c r="A3418" s="114"/>
      <c r="B3418" s="140"/>
      <c r="C3418" s="479"/>
      <c r="D3418" s="479"/>
      <c r="E3418" s="480"/>
      <c r="F3418" s="196"/>
      <c r="G3418" s="479"/>
      <c r="H3418" s="479"/>
      <c r="I3418" s="115"/>
      <c r="J3418" s="114"/>
      <c r="AW3418" s="117"/>
      <c r="AX3418" s="117"/>
      <c r="AY3418" s="117"/>
      <c r="AZ3418" s="117"/>
      <c r="BA3418" s="117"/>
      <c r="BB3418" s="117"/>
      <c r="BC3418" s="117"/>
      <c r="BD3418" s="117"/>
    </row>
    <row r="3419" spans="1:56">
      <c r="A3419" s="114"/>
      <c r="B3419" s="385" t="s">
        <v>1257</v>
      </c>
      <c r="C3419" s="196"/>
      <c r="D3419" s="196"/>
      <c r="E3419" s="196"/>
      <c r="F3419" s="196"/>
      <c r="G3419" s="196"/>
      <c r="H3419" s="196"/>
      <c r="I3419" s="196"/>
      <c r="J3419" s="114"/>
      <c r="AW3419" s="117"/>
      <c r="AX3419" s="117"/>
      <c r="AY3419" s="117"/>
      <c r="AZ3419" s="117"/>
      <c r="BA3419" s="117"/>
      <c r="BB3419" s="117"/>
      <c r="BC3419" s="117"/>
      <c r="BD3419" s="117"/>
    </row>
    <row r="3420" spans="1:56" ht="15">
      <c r="A3420" s="114"/>
      <c r="B3420" s="196"/>
      <c r="C3420" s="196"/>
      <c r="D3420" s="196"/>
      <c r="E3420" s="196"/>
      <c r="F3420" s="196"/>
      <c r="G3420" s="196"/>
      <c r="H3420" s="196"/>
      <c r="I3420" s="196"/>
      <c r="J3420" s="114"/>
      <c r="AW3420" s="117"/>
      <c r="AX3420" s="117"/>
      <c r="AY3420" s="117"/>
      <c r="AZ3420" s="117"/>
      <c r="BA3420" s="117"/>
      <c r="BB3420" s="117"/>
      <c r="BC3420" s="117"/>
      <c r="BD3420" s="117"/>
    </row>
    <row r="3421" spans="1:56" ht="15">
      <c r="A3421" s="114"/>
      <c r="B3421" s="388" t="s">
        <v>1110</v>
      </c>
      <c r="C3421" s="389">
        <v>0.2</v>
      </c>
      <c r="D3421" s="390" t="s">
        <v>10</v>
      </c>
      <c r="E3421" s="196"/>
      <c r="F3421" s="196"/>
      <c r="G3421" s="392"/>
      <c r="H3421" s="393"/>
      <c r="I3421" s="196"/>
      <c r="J3421" s="114"/>
      <c r="AW3421" s="117"/>
      <c r="AX3421" s="117"/>
      <c r="AY3421" s="117"/>
      <c r="AZ3421" s="117"/>
      <c r="BA3421" s="117"/>
      <c r="BB3421" s="117"/>
      <c r="BC3421" s="117"/>
      <c r="BD3421" s="117"/>
    </row>
    <row r="3422" spans="1:56" ht="15">
      <c r="A3422" s="114"/>
      <c r="B3422" s="388" t="s">
        <v>1111</v>
      </c>
      <c r="C3422" s="391">
        <v>0.5</v>
      </c>
      <c r="D3422" s="390" t="s">
        <v>10</v>
      </c>
      <c r="E3422" s="196"/>
      <c r="F3422" s="196"/>
      <c r="G3422" s="392"/>
      <c r="H3422" s="393"/>
      <c r="I3422" s="196"/>
      <c r="J3422" s="114"/>
      <c r="AW3422" s="117"/>
      <c r="AX3422" s="117"/>
      <c r="AY3422" s="117"/>
      <c r="AZ3422" s="117"/>
      <c r="BA3422" s="117"/>
      <c r="BB3422" s="117"/>
      <c r="BC3422" s="117"/>
      <c r="BD3422" s="117"/>
    </row>
    <row r="3423" spans="1:56" ht="15">
      <c r="A3423" s="114"/>
      <c r="B3423" s="388" t="s">
        <v>1112</v>
      </c>
      <c r="C3423" s="389">
        <v>0.57999999999999996</v>
      </c>
      <c r="D3423" s="390" t="s">
        <v>10</v>
      </c>
      <c r="E3423" s="196"/>
      <c r="F3423" s="196"/>
      <c r="G3423" s="392"/>
      <c r="H3423" s="393"/>
      <c r="I3423" s="196"/>
      <c r="J3423" s="114"/>
      <c r="AW3423" s="117"/>
      <c r="AX3423" s="117"/>
      <c r="AY3423" s="117"/>
      <c r="AZ3423" s="117"/>
      <c r="BA3423" s="117"/>
      <c r="BB3423" s="117"/>
      <c r="BC3423" s="117"/>
      <c r="BD3423" s="117"/>
    </row>
    <row r="3424" spans="1:56" ht="15">
      <c r="A3424" s="114"/>
      <c r="B3424" s="388" t="s">
        <v>1113</v>
      </c>
      <c r="C3424" s="389">
        <v>0.2</v>
      </c>
      <c r="D3424" s="390" t="s">
        <v>10</v>
      </c>
      <c r="E3424" s="196"/>
      <c r="F3424" s="196"/>
      <c r="G3424" s="392"/>
      <c r="H3424" s="394"/>
      <c r="I3424" s="196"/>
      <c r="J3424" s="114"/>
      <c r="AW3424" s="117"/>
      <c r="AX3424" s="117"/>
      <c r="AY3424" s="117"/>
      <c r="AZ3424" s="117"/>
      <c r="BA3424" s="117"/>
      <c r="BB3424" s="117"/>
      <c r="BC3424" s="117"/>
      <c r="BD3424" s="117"/>
    </row>
    <row r="3425" spans="1:56" ht="15">
      <c r="A3425" s="114"/>
      <c r="B3425" s="388" t="s">
        <v>1117</v>
      </c>
      <c r="C3425" s="389">
        <v>1</v>
      </c>
      <c r="D3425" s="390" t="s">
        <v>1118</v>
      </c>
      <c r="E3425" s="196"/>
      <c r="F3425" s="196"/>
      <c r="G3425" s="392"/>
      <c r="H3425" s="393"/>
      <c r="I3425" s="196"/>
      <c r="J3425" s="114"/>
      <c r="AW3425" s="117"/>
      <c r="AX3425" s="117"/>
      <c r="AY3425" s="117"/>
      <c r="AZ3425" s="117"/>
      <c r="BA3425" s="117"/>
      <c r="BB3425" s="117"/>
      <c r="BC3425" s="117"/>
      <c r="BD3425" s="117"/>
    </row>
    <row r="3426" spans="1:56" ht="15">
      <c r="A3426" s="114"/>
      <c r="B3426" s="392"/>
      <c r="C3426" s="393"/>
      <c r="D3426" s="196"/>
      <c r="E3426" s="196"/>
      <c r="F3426" s="196"/>
      <c r="G3426" s="392"/>
      <c r="H3426" s="393"/>
      <c r="I3426" s="196"/>
      <c r="J3426" s="114"/>
      <c r="AW3426" s="117"/>
      <c r="AX3426" s="117"/>
      <c r="AY3426" s="117"/>
      <c r="AZ3426" s="117"/>
      <c r="BA3426" s="117"/>
      <c r="BB3426" s="117"/>
      <c r="BC3426" s="117"/>
      <c r="BD3426" s="117"/>
    </row>
    <row r="3427" spans="1:56" ht="15">
      <c r="A3427" s="114"/>
      <c r="B3427" s="388" t="s">
        <v>1114</v>
      </c>
      <c r="C3427" s="389">
        <v>0.6</v>
      </c>
      <c r="D3427" s="390" t="s">
        <v>10</v>
      </c>
      <c r="E3427" s="288" t="s">
        <v>1120</v>
      </c>
      <c r="F3427" s="288"/>
      <c r="G3427" s="230"/>
      <c r="H3427" s="395"/>
      <c r="I3427" s="196"/>
      <c r="J3427" s="114"/>
      <c r="AW3427" s="117"/>
      <c r="AX3427" s="117"/>
      <c r="AY3427" s="117"/>
      <c r="AZ3427" s="117"/>
      <c r="BA3427" s="117"/>
      <c r="BB3427" s="117"/>
      <c r="BC3427" s="117"/>
      <c r="BD3427" s="117"/>
    </row>
    <row r="3428" spans="1:56" ht="15">
      <c r="A3428" s="114"/>
      <c r="B3428" s="388" t="s">
        <v>1114</v>
      </c>
      <c r="C3428" s="389">
        <v>0.2</v>
      </c>
      <c r="D3428" s="390" t="s">
        <v>10</v>
      </c>
      <c r="E3428" s="288" t="s">
        <v>1121</v>
      </c>
      <c r="F3428" s="288"/>
      <c r="G3428" s="230"/>
      <c r="H3428" s="395"/>
      <c r="I3428" s="196"/>
      <c r="J3428" s="114"/>
      <c r="AW3428" s="117"/>
      <c r="AX3428" s="117"/>
      <c r="AY3428" s="117"/>
      <c r="AZ3428" s="117"/>
      <c r="BA3428" s="117"/>
      <c r="BB3428" s="117"/>
      <c r="BC3428" s="117"/>
      <c r="BD3428" s="117"/>
    </row>
    <row r="3429" spans="1:56" ht="15">
      <c r="A3429" s="114"/>
      <c r="B3429" s="196"/>
      <c r="C3429" s="196"/>
      <c r="D3429" s="196"/>
      <c r="E3429" s="196"/>
      <c r="F3429" s="196"/>
      <c r="G3429" s="196"/>
      <c r="H3429" s="196"/>
      <c r="I3429" s="196"/>
      <c r="J3429" s="114"/>
      <c r="AW3429" s="117"/>
      <c r="AX3429" s="117"/>
      <c r="AY3429" s="117"/>
      <c r="AZ3429" s="117"/>
      <c r="BA3429" s="117"/>
      <c r="BB3429" s="117"/>
      <c r="BC3429" s="117"/>
      <c r="BD3429" s="117"/>
    </row>
    <row r="3430" spans="1:56" ht="15">
      <c r="A3430" s="114"/>
      <c r="B3430" s="303" t="s">
        <v>1122</v>
      </c>
      <c r="C3430" s="362"/>
      <c r="D3430" s="362"/>
      <c r="E3430" s="196"/>
      <c r="F3430" s="196"/>
      <c r="G3430" s="196"/>
      <c r="H3430" s="196"/>
      <c r="I3430" s="196"/>
      <c r="J3430" s="114"/>
      <c r="AW3430" s="117"/>
      <c r="AX3430" s="117"/>
      <c r="AY3430" s="117"/>
      <c r="AZ3430" s="117"/>
      <c r="BA3430" s="117"/>
      <c r="BB3430" s="117"/>
      <c r="BC3430" s="117"/>
      <c r="BD3430" s="117"/>
    </row>
    <row r="3431" spans="1:56" ht="18">
      <c r="A3431" s="114"/>
      <c r="B3431" s="396" t="s">
        <v>1123</v>
      </c>
      <c r="C3431" s="289"/>
      <c r="D3431" s="290"/>
      <c r="E3431" s="397">
        <f>C3425*(C3427*2*(0.05+C3424+C3423)*C3422)</f>
        <v>0.49799999999999994</v>
      </c>
      <c r="F3431" s="390" t="s">
        <v>1124</v>
      </c>
      <c r="G3431" s="196"/>
      <c r="H3431" s="196"/>
      <c r="I3431" s="196"/>
      <c r="J3431" s="114"/>
      <c r="AW3431" s="117"/>
      <c r="AX3431" s="117"/>
      <c r="AY3431" s="117"/>
      <c r="AZ3431" s="117"/>
      <c r="BA3431" s="117"/>
      <c r="BB3431" s="117"/>
      <c r="BC3431" s="117"/>
      <c r="BD3431" s="117"/>
    </row>
    <row r="3432" spans="1:56" ht="18">
      <c r="A3432" s="114"/>
      <c r="B3432" s="398" t="s">
        <v>1125</v>
      </c>
      <c r="C3432" s="172"/>
      <c r="D3432" s="173"/>
      <c r="E3432" s="397">
        <f>E3431-(E3436+E3438)</f>
        <v>0.46799999999999992</v>
      </c>
      <c r="F3432" s="390" t="s">
        <v>1124</v>
      </c>
      <c r="G3432" s="196"/>
      <c r="H3432" s="196"/>
      <c r="I3432" s="196"/>
      <c r="J3432" s="114"/>
      <c r="AW3432" s="117"/>
      <c r="AX3432" s="117"/>
      <c r="AY3432" s="117"/>
      <c r="AZ3432" s="117"/>
      <c r="BA3432" s="117"/>
      <c r="BB3432" s="117"/>
      <c r="BC3432" s="117"/>
      <c r="BD3432" s="117"/>
    </row>
    <row r="3433" spans="1:56" ht="15">
      <c r="A3433" s="114"/>
      <c r="B3433" s="399" t="s">
        <v>1126</v>
      </c>
      <c r="C3433" s="317"/>
      <c r="D3433" s="318"/>
      <c r="E3433" s="400">
        <f>(2*C3428)*C3422</f>
        <v>0.2</v>
      </c>
      <c r="F3433" s="390" t="s">
        <v>13</v>
      </c>
      <c r="G3433" s="196"/>
      <c r="H3433" s="196"/>
      <c r="I3433" s="196"/>
      <c r="J3433" s="114"/>
      <c r="AW3433" s="117"/>
      <c r="AX3433" s="117"/>
      <c r="AY3433" s="117"/>
      <c r="AZ3433" s="117"/>
      <c r="BA3433" s="117"/>
      <c r="BB3433" s="117"/>
      <c r="BC3433" s="117"/>
      <c r="BD3433" s="117"/>
    </row>
    <row r="3434" spans="1:56" ht="15">
      <c r="A3434" s="114"/>
      <c r="B3434" s="196"/>
      <c r="C3434" s="196"/>
      <c r="D3434" s="196"/>
      <c r="E3434" s="401"/>
      <c r="F3434" s="196"/>
      <c r="G3434" s="196"/>
      <c r="H3434" s="196"/>
      <c r="I3434" s="196"/>
      <c r="J3434" s="114"/>
      <c r="AW3434" s="117"/>
      <c r="AX3434" s="117"/>
      <c r="AY3434" s="117"/>
      <c r="AZ3434" s="117"/>
      <c r="BA3434" s="117"/>
      <c r="BB3434" s="117"/>
      <c r="BC3434" s="117"/>
      <c r="BD3434" s="117"/>
    </row>
    <row r="3435" spans="1:56" ht="15">
      <c r="A3435" s="114"/>
      <c r="B3435" s="303" t="s">
        <v>1127</v>
      </c>
      <c r="C3435" s="196"/>
      <c r="D3435" s="196"/>
      <c r="E3435" s="401"/>
      <c r="F3435" s="196"/>
      <c r="G3435" s="196"/>
      <c r="H3435" s="196"/>
      <c r="I3435" s="196"/>
      <c r="J3435" s="114"/>
      <c r="AW3435" s="117"/>
      <c r="AX3435" s="117"/>
      <c r="AY3435" s="117"/>
      <c r="AZ3435" s="117"/>
      <c r="BA3435" s="117"/>
      <c r="BB3435" s="117"/>
      <c r="BC3435" s="117"/>
      <c r="BD3435" s="117"/>
    </row>
    <row r="3436" spans="1:56" ht="18">
      <c r="A3436" s="114"/>
      <c r="B3436" s="398" t="s">
        <v>1128</v>
      </c>
      <c r="C3436" s="172"/>
      <c r="D3436" s="173"/>
      <c r="E3436" s="402">
        <f>E3433*0.05</f>
        <v>1.0000000000000002E-2</v>
      </c>
      <c r="F3436" s="390" t="s">
        <v>1124</v>
      </c>
      <c r="G3436" s="196"/>
      <c r="H3436" s="196"/>
      <c r="I3436" s="196"/>
      <c r="J3436" s="114"/>
      <c r="AW3436" s="117"/>
      <c r="AX3436" s="117"/>
      <c r="AY3436" s="117"/>
      <c r="AZ3436" s="117"/>
      <c r="BA3436" s="117"/>
      <c r="BB3436" s="117"/>
      <c r="BC3436" s="117"/>
      <c r="BD3436" s="117"/>
    </row>
    <row r="3437" spans="1:56" ht="15">
      <c r="A3437" s="114"/>
      <c r="B3437" s="398" t="s">
        <v>1129</v>
      </c>
      <c r="C3437" s="172"/>
      <c r="D3437" s="173"/>
      <c r="E3437" s="397">
        <f>C3424*2*C3422</f>
        <v>0.2</v>
      </c>
      <c r="F3437" s="390" t="s">
        <v>13</v>
      </c>
      <c r="G3437" s="393" t="s">
        <v>1108</v>
      </c>
      <c r="H3437" s="196" t="s">
        <v>1131</v>
      </c>
      <c r="I3437" s="393"/>
      <c r="J3437" s="114"/>
      <c r="AW3437" s="117"/>
      <c r="AX3437" s="117"/>
      <c r="AY3437" s="117"/>
      <c r="AZ3437" s="117"/>
      <c r="BA3437" s="117"/>
      <c r="BB3437" s="117"/>
      <c r="BC3437" s="117"/>
      <c r="BD3437" s="117"/>
    </row>
    <row r="3438" spans="1:56" ht="18">
      <c r="A3438" s="114"/>
      <c r="B3438" s="398" t="s">
        <v>1130</v>
      </c>
      <c r="C3438" s="172"/>
      <c r="D3438" s="173"/>
      <c r="E3438" s="402">
        <f>C3421*C3422*C3424</f>
        <v>2.0000000000000004E-2</v>
      </c>
      <c r="F3438" s="390" t="s">
        <v>1124</v>
      </c>
      <c r="G3438" s="196"/>
      <c r="H3438" s="196"/>
      <c r="I3438" s="196"/>
      <c r="J3438" s="114"/>
      <c r="AW3438" s="117"/>
      <c r="AX3438" s="117"/>
      <c r="AY3438" s="117"/>
      <c r="AZ3438" s="117"/>
      <c r="BA3438" s="117"/>
      <c r="BB3438" s="117"/>
      <c r="BC3438" s="117"/>
      <c r="BD3438" s="117"/>
    </row>
    <row r="3439" spans="1:56">
      <c r="A3439" s="114"/>
      <c r="B3439" s="140"/>
      <c r="C3439" s="479"/>
      <c r="D3439" s="479"/>
      <c r="E3439" s="480"/>
      <c r="F3439" s="196"/>
      <c r="G3439" s="479"/>
      <c r="H3439" s="479"/>
      <c r="I3439" s="115"/>
      <c r="J3439" s="114"/>
      <c r="AW3439" s="117"/>
      <c r="AX3439" s="117"/>
      <c r="AY3439" s="117"/>
      <c r="AZ3439" s="117"/>
      <c r="BA3439" s="117"/>
      <c r="BB3439" s="117"/>
      <c r="BC3439" s="117"/>
      <c r="BD3439" s="117"/>
    </row>
    <row r="3440" spans="1:56">
      <c r="A3440" s="114"/>
      <c r="B3440" s="385" t="s">
        <v>1258</v>
      </c>
      <c r="C3440" s="196"/>
      <c r="D3440" s="196"/>
      <c r="E3440" s="196"/>
      <c r="F3440" s="196"/>
      <c r="G3440" s="196"/>
      <c r="H3440" s="196"/>
      <c r="I3440" s="196"/>
      <c r="J3440" s="114"/>
      <c r="AW3440" s="117"/>
      <c r="AX3440" s="117"/>
      <c r="AY3440" s="117"/>
      <c r="AZ3440" s="117"/>
      <c r="BA3440" s="117"/>
      <c r="BB3440" s="117"/>
      <c r="BC3440" s="117"/>
      <c r="BD3440" s="117"/>
    </row>
    <row r="3441" spans="1:56" ht="15">
      <c r="A3441" s="114"/>
      <c r="B3441" s="196"/>
      <c r="C3441" s="196"/>
      <c r="D3441" s="196"/>
      <c r="E3441" s="196"/>
      <c r="F3441" s="196"/>
      <c r="G3441" s="196"/>
      <c r="H3441" s="196"/>
      <c r="I3441" s="196"/>
      <c r="J3441" s="114"/>
      <c r="AW3441" s="117"/>
      <c r="AX3441" s="117"/>
      <c r="AY3441" s="117"/>
      <c r="AZ3441" s="117"/>
      <c r="BA3441" s="117"/>
      <c r="BB3441" s="117"/>
      <c r="BC3441" s="117"/>
      <c r="BD3441" s="117"/>
    </row>
    <row r="3442" spans="1:56" ht="15">
      <c r="A3442" s="114"/>
      <c r="B3442" s="388" t="s">
        <v>1110</v>
      </c>
      <c r="C3442" s="389">
        <v>0.25</v>
      </c>
      <c r="D3442" s="390" t="s">
        <v>10</v>
      </c>
      <c r="E3442" s="196"/>
      <c r="F3442" s="196"/>
      <c r="G3442" s="392"/>
      <c r="H3442" s="393"/>
      <c r="I3442" s="196"/>
      <c r="J3442" s="114"/>
      <c r="AW3442" s="117"/>
      <c r="AX3442" s="117"/>
      <c r="AY3442" s="117"/>
      <c r="AZ3442" s="117"/>
      <c r="BA3442" s="117"/>
      <c r="BB3442" s="117"/>
      <c r="BC3442" s="117"/>
      <c r="BD3442" s="117"/>
    </row>
    <row r="3443" spans="1:56" ht="15">
      <c r="A3443" s="114"/>
      <c r="B3443" s="388" t="s">
        <v>1111</v>
      </c>
      <c r="C3443" s="391">
        <v>5.91</v>
      </c>
      <c r="D3443" s="390" t="s">
        <v>10</v>
      </c>
      <c r="E3443" s="196"/>
      <c r="F3443" s="196"/>
      <c r="G3443" s="392"/>
      <c r="H3443" s="393"/>
      <c r="I3443" s="196"/>
      <c r="J3443" s="114"/>
      <c r="AW3443" s="117"/>
      <c r="AX3443" s="117"/>
      <c r="AY3443" s="117"/>
      <c r="AZ3443" s="117"/>
      <c r="BA3443" s="117"/>
      <c r="BB3443" s="117"/>
      <c r="BC3443" s="117"/>
      <c r="BD3443" s="117"/>
    </row>
    <row r="3444" spans="1:56" ht="15">
      <c r="A3444" s="114"/>
      <c r="B3444" s="388" t="s">
        <v>1112</v>
      </c>
      <c r="C3444" s="389">
        <v>0.57999999999999996</v>
      </c>
      <c r="D3444" s="390" t="s">
        <v>10</v>
      </c>
      <c r="E3444" s="196"/>
      <c r="F3444" s="196"/>
      <c r="G3444" s="392"/>
      <c r="H3444" s="393"/>
      <c r="I3444" s="196"/>
      <c r="J3444" s="114"/>
      <c r="AW3444" s="117"/>
      <c r="AX3444" s="117"/>
      <c r="AY3444" s="117"/>
      <c r="AZ3444" s="117"/>
      <c r="BA3444" s="117"/>
      <c r="BB3444" s="117"/>
      <c r="BC3444" s="117"/>
      <c r="BD3444" s="117"/>
    </row>
    <row r="3445" spans="1:56" ht="15">
      <c r="A3445" s="114"/>
      <c r="B3445" s="388" t="s">
        <v>1113</v>
      </c>
      <c r="C3445" s="389">
        <v>0.6</v>
      </c>
      <c r="D3445" s="390" t="s">
        <v>10</v>
      </c>
      <c r="E3445" s="196"/>
      <c r="F3445" s="196"/>
      <c r="G3445" s="392"/>
      <c r="H3445" s="394"/>
      <c r="I3445" s="196"/>
      <c r="J3445" s="114"/>
      <c r="AW3445" s="117"/>
      <c r="AX3445" s="117"/>
      <c r="AY3445" s="117"/>
      <c r="AZ3445" s="117"/>
      <c r="BA3445" s="117"/>
      <c r="BB3445" s="117"/>
      <c r="BC3445" s="117"/>
      <c r="BD3445" s="117"/>
    </row>
    <row r="3446" spans="1:56" ht="15">
      <c r="A3446" s="114"/>
      <c r="B3446" s="388" t="s">
        <v>1117</v>
      </c>
      <c r="C3446" s="389">
        <v>1</v>
      </c>
      <c r="D3446" s="390" t="s">
        <v>1118</v>
      </c>
      <c r="E3446" s="196"/>
      <c r="F3446" s="196"/>
      <c r="G3446" s="392"/>
      <c r="H3446" s="393"/>
      <c r="I3446" s="196"/>
      <c r="J3446" s="114"/>
      <c r="AW3446" s="117"/>
      <c r="AX3446" s="117"/>
      <c r="AY3446" s="117"/>
      <c r="AZ3446" s="117"/>
      <c r="BA3446" s="117"/>
      <c r="BB3446" s="117"/>
      <c r="BC3446" s="117"/>
      <c r="BD3446" s="117"/>
    </row>
    <row r="3447" spans="1:56" ht="15">
      <c r="A3447" s="114"/>
      <c r="B3447" s="392"/>
      <c r="C3447" s="393"/>
      <c r="D3447" s="196"/>
      <c r="E3447" s="196"/>
      <c r="F3447" s="196"/>
      <c r="G3447" s="392"/>
      <c r="H3447" s="393"/>
      <c r="I3447" s="196"/>
      <c r="J3447" s="114"/>
      <c r="AW3447" s="117"/>
      <c r="AX3447" s="117"/>
      <c r="AY3447" s="117"/>
      <c r="AZ3447" s="117"/>
      <c r="BA3447" s="117"/>
      <c r="BB3447" s="117"/>
      <c r="BC3447" s="117"/>
      <c r="BD3447" s="117"/>
    </row>
    <row r="3448" spans="1:56" ht="15">
      <c r="A3448" s="114"/>
      <c r="B3448" s="388" t="s">
        <v>1114</v>
      </c>
      <c r="C3448" s="389">
        <v>0.6</v>
      </c>
      <c r="D3448" s="390" t="s">
        <v>10</v>
      </c>
      <c r="E3448" s="288" t="s">
        <v>1120</v>
      </c>
      <c r="F3448" s="288"/>
      <c r="G3448" s="230"/>
      <c r="H3448" s="395"/>
      <c r="I3448" s="196"/>
      <c r="J3448" s="114"/>
      <c r="AW3448" s="117"/>
      <c r="AX3448" s="117"/>
      <c r="AY3448" s="117"/>
      <c r="AZ3448" s="117"/>
      <c r="BA3448" s="117"/>
      <c r="BB3448" s="117"/>
      <c r="BC3448" s="117"/>
      <c r="BD3448" s="117"/>
    </row>
    <row r="3449" spans="1:56" ht="15">
      <c r="A3449" s="114"/>
      <c r="B3449" s="388" t="s">
        <v>1114</v>
      </c>
      <c r="C3449" s="389">
        <v>0.2</v>
      </c>
      <c r="D3449" s="390" t="s">
        <v>10</v>
      </c>
      <c r="E3449" s="288" t="s">
        <v>1121</v>
      </c>
      <c r="F3449" s="288"/>
      <c r="G3449" s="230"/>
      <c r="H3449" s="395"/>
      <c r="I3449" s="196"/>
      <c r="J3449" s="114"/>
      <c r="AW3449" s="117"/>
      <c r="AX3449" s="117"/>
      <c r="AY3449" s="117"/>
      <c r="AZ3449" s="117"/>
      <c r="BA3449" s="117"/>
      <c r="BB3449" s="117"/>
      <c r="BC3449" s="117"/>
      <c r="BD3449" s="117"/>
    </row>
    <row r="3450" spans="1:56" ht="15">
      <c r="A3450" s="114"/>
      <c r="B3450" s="196"/>
      <c r="C3450" s="196"/>
      <c r="D3450" s="196"/>
      <c r="E3450" s="196"/>
      <c r="F3450" s="196"/>
      <c r="G3450" s="196"/>
      <c r="H3450" s="196"/>
      <c r="I3450" s="196"/>
      <c r="J3450" s="114"/>
      <c r="AW3450" s="117"/>
      <c r="AX3450" s="117"/>
      <c r="AY3450" s="117"/>
      <c r="AZ3450" s="117"/>
      <c r="BA3450" s="117"/>
      <c r="BB3450" s="117"/>
      <c r="BC3450" s="117"/>
      <c r="BD3450" s="117"/>
    </row>
    <row r="3451" spans="1:56" ht="15">
      <c r="A3451" s="114"/>
      <c r="B3451" s="303" t="s">
        <v>1122</v>
      </c>
      <c r="C3451" s="362"/>
      <c r="D3451" s="362"/>
      <c r="E3451" s="196"/>
      <c r="F3451" s="196"/>
      <c r="G3451" s="196"/>
      <c r="H3451" s="196"/>
      <c r="I3451" s="196"/>
      <c r="J3451" s="114"/>
      <c r="AW3451" s="117"/>
      <c r="AX3451" s="117"/>
      <c r="AY3451" s="117"/>
      <c r="AZ3451" s="117"/>
      <c r="BA3451" s="117"/>
      <c r="BB3451" s="117"/>
      <c r="BC3451" s="117"/>
      <c r="BD3451" s="117"/>
    </row>
    <row r="3452" spans="1:56" ht="18">
      <c r="A3452" s="114"/>
      <c r="B3452" s="396" t="s">
        <v>1123</v>
      </c>
      <c r="C3452" s="289"/>
      <c r="D3452" s="290"/>
      <c r="E3452" s="397">
        <f>C3446*(C3448*2*(0.05+C3445+C3444)*C3443)</f>
        <v>8.72316</v>
      </c>
      <c r="F3452" s="390" t="s">
        <v>1124</v>
      </c>
      <c r="G3452" s="196"/>
      <c r="H3452" s="196"/>
      <c r="I3452" s="196"/>
      <c r="J3452" s="114"/>
      <c r="AW3452" s="117"/>
      <c r="AX3452" s="117"/>
      <c r="AY3452" s="117"/>
      <c r="AZ3452" s="117"/>
      <c r="BA3452" s="117"/>
      <c r="BB3452" s="117"/>
      <c r="BC3452" s="117"/>
      <c r="BD3452" s="117"/>
    </row>
    <row r="3453" spans="1:56" ht="18">
      <c r="A3453" s="114"/>
      <c r="B3453" s="398" t="s">
        <v>1125</v>
      </c>
      <c r="C3453" s="172"/>
      <c r="D3453" s="173"/>
      <c r="E3453" s="397">
        <f>E3452-(E3457+E3459)</f>
        <v>7.7184600000000003</v>
      </c>
      <c r="F3453" s="390" t="s">
        <v>1124</v>
      </c>
      <c r="G3453" s="196"/>
      <c r="H3453" s="196"/>
      <c r="I3453" s="196"/>
      <c r="J3453" s="114"/>
      <c r="AW3453" s="117"/>
      <c r="AX3453" s="117"/>
      <c r="AY3453" s="117"/>
      <c r="AZ3453" s="117"/>
      <c r="BA3453" s="117"/>
      <c r="BB3453" s="117"/>
      <c r="BC3453" s="117"/>
      <c r="BD3453" s="117"/>
    </row>
    <row r="3454" spans="1:56" ht="15">
      <c r="A3454" s="114"/>
      <c r="B3454" s="399" t="s">
        <v>1126</v>
      </c>
      <c r="C3454" s="317"/>
      <c r="D3454" s="318"/>
      <c r="E3454" s="400">
        <f>(2*C3449)*C3443</f>
        <v>2.3640000000000003</v>
      </c>
      <c r="F3454" s="390" t="s">
        <v>13</v>
      </c>
      <c r="G3454" s="196"/>
      <c r="H3454" s="196"/>
      <c r="I3454" s="196"/>
      <c r="J3454" s="114"/>
      <c r="AW3454" s="117"/>
      <c r="AX3454" s="117"/>
      <c r="AY3454" s="117"/>
      <c r="AZ3454" s="117"/>
      <c r="BA3454" s="117"/>
      <c r="BB3454" s="117"/>
      <c r="BC3454" s="117"/>
      <c r="BD3454" s="117"/>
    </row>
    <row r="3455" spans="1:56" ht="15">
      <c r="A3455" s="114"/>
      <c r="B3455" s="196"/>
      <c r="C3455" s="196"/>
      <c r="D3455" s="196"/>
      <c r="E3455" s="401"/>
      <c r="F3455" s="196"/>
      <c r="G3455" s="196"/>
      <c r="H3455" s="196"/>
      <c r="I3455" s="196"/>
      <c r="J3455" s="114"/>
      <c r="AW3455" s="117"/>
      <c r="AX3455" s="117"/>
      <c r="AY3455" s="117"/>
      <c r="AZ3455" s="117"/>
      <c r="BA3455" s="117"/>
      <c r="BB3455" s="117"/>
      <c r="BC3455" s="117"/>
      <c r="BD3455" s="117"/>
    </row>
    <row r="3456" spans="1:56" ht="15">
      <c r="A3456" s="114"/>
      <c r="B3456" s="303" t="s">
        <v>1127</v>
      </c>
      <c r="C3456" s="196"/>
      <c r="D3456" s="196"/>
      <c r="E3456" s="401"/>
      <c r="F3456" s="196"/>
      <c r="G3456" s="196"/>
      <c r="H3456" s="196"/>
      <c r="I3456" s="196"/>
      <c r="J3456" s="114"/>
      <c r="AW3456" s="117"/>
      <c r="AX3456" s="117"/>
      <c r="AY3456" s="117"/>
      <c r="AZ3456" s="117"/>
      <c r="BA3456" s="117"/>
      <c r="BB3456" s="117"/>
      <c r="BC3456" s="117"/>
      <c r="BD3456" s="117"/>
    </row>
    <row r="3457" spans="1:56" ht="18">
      <c r="A3457" s="114"/>
      <c r="B3457" s="398" t="s">
        <v>1128</v>
      </c>
      <c r="C3457" s="172"/>
      <c r="D3457" s="173"/>
      <c r="E3457" s="402">
        <f>E3454*0.05</f>
        <v>0.11820000000000003</v>
      </c>
      <c r="F3457" s="390" t="s">
        <v>1124</v>
      </c>
      <c r="G3457" s="196"/>
      <c r="H3457" s="196"/>
      <c r="I3457" s="196"/>
      <c r="J3457" s="114"/>
      <c r="AW3457" s="117"/>
      <c r="AX3457" s="117"/>
      <c r="AY3457" s="117"/>
      <c r="AZ3457" s="117"/>
      <c r="BA3457" s="117"/>
      <c r="BB3457" s="117"/>
      <c r="BC3457" s="117"/>
      <c r="BD3457" s="117"/>
    </row>
    <row r="3458" spans="1:56" ht="15">
      <c r="A3458" s="114"/>
      <c r="B3458" s="398" t="s">
        <v>1129</v>
      </c>
      <c r="C3458" s="172"/>
      <c r="D3458" s="173"/>
      <c r="E3458" s="397">
        <f>C3445*2*C3443</f>
        <v>7.0919999999999996</v>
      </c>
      <c r="F3458" s="390" t="s">
        <v>13</v>
      </c>
      <c r="G3458" s="393" t="s">
        <v>1108</v>
      </c>
      <c r="H3458" s="196" t="s">
        <v>1131</v>
      </c>
      <c r="I3458" s="393"/>
      <c r="J3458" s="114"/>
      <c r="AW3458" s="117"/>
      <c r="AX3458" s="117"/>
      <c r="AY3458" s="117"/>
      <c r="AZ3458" s="117"/>
      <c r="BA3458" s="117"/>
      <c r="BB3458" s="117"/>
      <c r="BC3458" s="117"/>
      <c r="BD3458" s="117"/>
    </row>
    <row r="3459" spans="1:56" ht="18">
      <c r="A3459" s="114"/>
      <c r="B3459" s="398" t="s">
        <v>1130</v>
      </c>
      <c r="C3459" s="172"/>
      <c r="D3459" s="173"/>
      <c r="E3459" s="402">
        <f>C3442*C3443*C3445</f>
        <v>0.88649999999999995</v>
      </c>
      <c r="F3459" s="390" t="s">
        <v>1124</v>
      </c>
      <c r="G3459" s="196"/>
      <c r="H3459" s="196"/>
      <c r="I3459" s="196"/>
      <c r="J3459" s="114"/>
      <c r="AW3459" s="117"/>
      <c r="AX3459" s="117"/>
      <c r="AY3459" s="117"/>
      <c r="AZ3459" s="117"/>
      <c r="BA3459" s="117"/>
      <c r="BB3459" s="117"/>
      <c r="BC3459" s="117"/>
      <c r="BD3459" s="117"/>
    </row>
    <row r="3460" spans="1:56">
      <c r="A3460" s="114"/>
      <c r="B3460" s="140"/>
      <c r="C3460" s="479"/>
      <c r="D3460" s="479"/>
      <c r="E3460" s="480"/>
      <c r="F3460" s="196"/>
      <c r="G3460" s="479"/>
      <c r="H3460" s="479"/>
      <c r="I3460" s="115"/>
      <c r="J3460" s="114"/>
      <c r="AW3460" s="117"/>
      <c r="AX3460" s="117"/>
      <c r="AY3460" s="117"/>
      <c r="AZ3460" s="117"/>
      <c r="BA3460" s="117"/>
      <c r="BB3460" s="117"/>
      <c r="BC3460" s="117"/>
      <c r="BD3460" s="117"/>
    </row>
    <row r="3461" spans="1:56">
      <c r="A3461" s="114"/>
      <c r="B3461" s="140"/>
      <c r="C3461" s="479"/>
      <c r="D3461" s="479"/>
      <c r="E3461" s="480"/>
      <c r="F3461" s="196"/>
      <c r="G3461" s="479"/>
      <c r="H3461" s="479"/>
      <c r="I3461" s="115"/>
      <c r="J3461" s="114"/>
      <c r="AW3461" s="117"/>
      <c r="AX3461" s="117"/>
      <c r="AY3461" s="117"/>
      <c r="AZ3461" s="117"/>
      <c r="BA3461" s="117"/>
      <c r="BB3461" s="117"/>
      <c r="BC3461" s="117"/>
      <c r="BD3461" s="117"/>
    </row>
    <row r="3462" spans="1:56">
      <c r="A3462" s="114"/>
      <c r="B3462" s="385" t="s">
        <v>1259</v>
      </c>
      <c r="C3462" s="196"/>
      <c r="D3462" s="196"/>
      <c r="E3462" s="196"/>
      <c r="F3462" s="196"/>
      <c r="G3462" s="196"/>
      <c r="H3462" s="196"/>
      <c r="I3462" s="196"/>
      <c r="J3462" s="114"/>
      <c r="AW3462" s="117"/>
      <c r="AX3462" s="117"/>
      <c r="AY3462" s="117"/>
      <c r="AZ3462" s="117"/>
      <c r="BA3462" s="117"/>
      <c r="BB3462" s="117"/>
      <c r="BC3462" s="117"/>
      <c r="BD3462" s="117"/>
    </row>
    <row r="3463" spans="1:56" ht="15">
      <c r="A3463" s="114"/>
      <c r="B3463" s="196"/>
      <c r="C3463" s="196"/>
      <c r="D3463" s="196"/>
      <c r="E3463" s="196"/>
      <c r="F3463" s="196"/>
      <c r="G3463" s="196"/>
      <c r="H3463" s="196"/>
      <c r="I3463" s="196"/>
      <c r="J3463" s="114"/>
      <c r="AW3463" s="117"/>
      <c r="AX3463" s="117"/>
      <c r="AY3463" s="117"/>
      <c r="AZ3463" s="117"/>
      <c r="BA3463" s="117"/>
      <c r="BB3463" s="117"/>
      <c r="BC3463" s="117"/>
      <c r="BD3463" s="117"/>
    </row>
    <row r="3464" spans="1:56" ht="15">
      <c r="A3464" s="114"/>
      <c r="B3464" s="388" t="s">
        <v>1110</v>
      </c>
      <c r="C3464" s="389">
        <v>0.25</v>
      </c>
      <c r="D3464" s="390" t="s">
        <v>10</v>
      </c>
      <c r="E3464" s="196"/>
      <c r="F3464" s="196"/>
      <c r="G3464" s="392"/>
      <c r="H3464" s="393"/>
      <c r="I3464" s="196"/>
      <c r="J3464" s="114"/>
      <c r="AW3464" s="117"/>
      <c r="AX3464" s="117"/>
      <c r="AY3464" s="117"/>
      <c r="AZ3464" s="117"/>
      <c r="BA3464" s="117"/>
      <c r="BB3464" s="117"/>
      <c r="BC3464" s="117"/>
      <c r="BD3464" s="117"/>
    </row>
    <row r="3465" spans="1:56" ht="15">
      <c r="A3465" s="114"/>
      <c r="B3465" s="388" t="s">
        <v>1111</v>
      </c>
      <c r="C3465" s="391">
        <v>2.0099999999999998</v>
      </c>
      <c r="D3465" s="390" t="s">
        <v>10</v>
      </c>
      <c r="E3465" s="196"/>
      <c r="F3465" s="196"/>
      <c r="G3465" s="392"/>
      <c r="H3465" s="393"/>
      <c r="I3465" s="196"/>
      <c r="J3465" s="114"/>
      <c r="AW3465" s="117"/>
      <c r="AX3465" s="117"/>
      <c r="AY3465" s="117"/>
      <c r="AZ3465" s="117"/>
      <c r="BA3465" s="117"/>
      <c r="BB3465" s="117"/>
      <c r="BC3465" s="117"/>
      <c r="BD3465" s="117"/>
    </row>
    <row r="3466" spans="1:56" ht="15">
      <c r="A3466" s="114"/>
      <c r="B3466" s="388" t="s">
        <v>1112</v>
      </c>
      <c r="C3466" s="389">
        <v>0.57999999999999996</v>
      </c>
      <c r="D3466" s="390" t="s">
        <v>10</v>
      </c>
      <c r="E3466" s="196"/>
      <c r="F3466" s="196"/>
      <c r="G3466" s="392"/>
      <c r="H3466" s="393"/>
      <c r="I3466" s="196"/>
      <c r="J3466" s="114"/>
      <c r="AW3466" s="117"/>
      <c r="AX3466" s="117"/>
      <c r="AY3466" s="117"/>
      <c r="AZ3466" s="117"/>
      <c r="BA3466" s="117"/>
      <c r="BB3466" s="117"/>
      <c r="BC3466" s="117"/>
      <c r="BD3466" s="117"/>
    </row>
    <row r="3467" spans="1:56" ht="15">
      <c r="A3467" s="114"/>
      <c r="B3467" s="388" t="s">
        <v>1113</v>
      </c>
      <c r="C3467" s="389">
        <v>0.5</v>
      </c>
      <c r="D3467" s="390" t="s">
        <v>10</v>
      </c>
      <c r="E3467" s="196"/>
      <c r="F3467" s="196"/>
      <c r="G3467" s="392"/>
      <c r="H3467" s="394"/>
      <c r="I3467" s="196"/>
      <c r="J3467" s="114"/>
      <c r="AW3467" s="117"/>
      <c r="AX3467" s="117"/>
      <c r="AY3467" s="117"/>
      <c r="AZ3467" s="117"/>
      <c r="BA3467" s="117"/>
      <c r="BB3467" s="117"/>
      <c r="BC3467" s="117"/>
      <c r="BD3467" s="117"/>
    </row>
    <row r="3468" spans="1:56" ht="15">
      <c r="A3468" s="114"/>
      <c r="B3468" s="388" t="s">
        <v>1117</v>
      </c>
      <c r="C3468" s="389">
        <v>1</v>
      </c>
      <c r="D3468" s="390" t="s">
        <v>1118</v>
      </c>
      <c r="E3468" s="196"/>
      <c r="F3468" s="196"/>
      <c r="G3468" s="392"/>
      <c r="H3468" s="393"/>
      <c r="I3468" s="196"/>
      <c r="J3468" s="114"/>
      <c r="AW3468" s="117"/>
      <c r="AX3468" s="117"/>
      <c r="AY3468" s="117"/>
      <c r="AZ3468" s="117"/>
      <c r="BA3468" s="117"/>
      <c r="BB3468" s="117"/>
      <c r="BC3468" s="117"/>
      <c r="BD3468" s="117"/>
    </row>
    <row r="3469" spans="1:56" ht="15">
      <c r="A3469" s="114"/>
      <c r="B3469" s="392"/>
      <c r="C3469" s="393"/>
      <c r="D3469" s="196"/>
      <c r="E3469" s="196"/>
      <c r="F3469" s="196"/>
      <c r="G3469" s="392"/>
      <c r="H3469" s="393"/>
      <c r="I3469" s="196"/>
      <c r="J3469" s="114"/>
      <c r="AW3469" s="117"/>
      <c r="AX3469" s="117"/>
      <c r="AY3469" s="117"/>
      <c r="AZ3469" s="117"/>
      <c r="BA3469" s="117"/>
      <c r="BB3469" s="117"/>
      <c r="BC3469" s="117"/>
      <c r="BD3469" s="117"/>
    </row>
    <row r="3470" spans="1:56" ht="15">
      <c r="A3470" s="114"/>
      <c r="B3470" s="388" t="s">
        <v>1114</v>
      </c>
      <c r="C3470" s="389">
        <v>0.6</v>
      </c>
      <c r="D3470" s="390" t="s">
        <v>10</v>
      </c>
      <c r="E3470" s="288" t="s">
        <v>1120</v>
      </c>
      <c r="F3470" s="288"/>
      <c r="G3470" s="230"/>
      <c r="H3470" s="395"/>
      <c r="I3470" s="196"/>
      <c r="J3470" s="114"/>
      <c r="AW3470" s="117"/>
      <c r="AX3470" s="117"/>
      <c r="AY3470" s="117"/>
      <c r="AZ3470" s="117"/>
      <c r="BA3470" s="117"/>
      <c r="BB3470" s="117"/>
      <c r="BC3470" s="117"/>
      <c r="BD3470" s="117"/>
    </row>
    <row r="3471" spans="1:56" ht="15">
      <c r="A3471" s="114"/>
      <c r="B3471" s="388" t="s">
        <v>1114</v>
      </c>
      <c r="C3471" s="389">
        <v>0.2</v>
      </c>
      <c r="D3471" s="390" t="s">
        <v>10</v>
      </c>
      <c r="E3471" s="288" t="s">
        <v>1121</v>
      </c>
      <c r="F3471" s="288"/>
      <c r="G3471" s="230"/>
      <c r="H3471" s="395"/>
      <c r="I3471" s="196"/>
      <c r="J3471" s="114"/>
      <c r="AW3471" s="117"/>
      <c r="AX3471" s="117"/>
      <c r="AY3471" s="117"/>
      <c r="AZ3471" s="117"/>
      <c r="BA3471" s="117"/>
      <c r="BB3471" s="117"/>
      <c r="BC3471" s="117"/>
      <c r="BD3471" s="117"/>
    </row>
    <row r="3472" spans="1:56" ht="15">
      <c r="A3472" s="114"/>
      <c r="B3472" s="196"/>
      <c r="C3472" s="196"/>
      <c r="D3472" s="196"/>
      <c r="E3472" s="196"/>
      <c r="F3472" s="196"/>
      <c r="G3472" s="196"/>
      <c r="H3472" s="196"/>
      <c r="I3472" s="196"/>
      <c r="J3472" s="114"/>
      <c r="AW3472" s="117"/>
      <c r="AX3472" s="117"/>
      <c r="AY3472" s="117"/>
      <c r="AZ3472" s="117"/>
      <c r="BA3472" s="117"/>
      <c r="BB3472" s="117"/>
      <c r="BC3472" s="117"/>
      <c r="BD3472" s="117"/>
    </row>
    <row r="3473" spans="1:56" ht="15">
      <c r="A3473" s="114"/>
      <c r="B3473" s="303" t="s">
        <v>1122</v>
      </c>
      <c r="C3473" s="362"/>
      <c r="D3473" s="362"/>
      <c r="E3473" s="196"/>
      <c r="F3473" s="196"/>
      <c r="G3473" s="196"/>
      <c r="H3473" s="196"/>
      <c r="I3473" s="196"/>
      <c r="J3473" s="114"/>
      <c r="AW3473" s="117"/>
      <c r="AX3473" s="117"/>
      <c r="AY3473" s="117"/>
      <c r="AZ3473" s="117"/>
      <c r="BA3473" s="117"/>
      <c r="BB3473" s="117"/>
      <c r="BC3473" s="117"/>
      <c r="BD3473" s="117"/>
    </row>
    <row r="3474" spans="1:56" ht="18">
      <c r="A3474" s="114"/>
      <c r="B3474" s="396" t="s">
        <v>1123</v>
      </c>
      <c r="C3474" s="289"/>
      <c r="D3474" s="290"/>
      <c r="E3474" s="397">
        <f>C3468*(C3470*2*(0.05+C3467+C3466)*C3465)</f>
        <v>2.7255599999999993</v>
      </c>
      <c r="F3474" s="390" t="s">
        <v>1124</v>
      </c>
      <c r="G3474" s="196"/>
      <c r="H3474" s="196"/>
      <c r="I3474" s="196"/>
      <c r="J3474" s="114"/>
      <c r="AW3474" s="117"/>
      <c r="AX3474" s="117"/>
      <c r="AY3474" s="117"/>
      <c r="AZ3474" s="117"/>
      <c r="BA3474" s="117"/>
      <c r="BB3474" s="117"/>
      <c r="BC3474" s="117"/>
      <c r="BD3474" s="117"/>
    </row>
    <row r="3475" spans="1:56" ht="18">
      <c r="A3475" s="114"/>
      <c r="B3475" s="398" t="s">
        <v>1125</v>
      </c>
      <c r="C3475" s="172"/>
      <c r="D3475" s="173"/>
      <c r="E3475" s="397">
        <f>E3474-(E3479+E3481)</f>
        <v>2.4341099999999996</v>
      </c>
      <c r="F3475" s="390" t="s">
        <v>1124</v>
      </c>
      <c r="G3475" s="196"/>
      <c r="H3475" s="196"/>
      <c r="I3475" s="196"/>
      <c r="J3475" s="114"/>
      <c r="AW3475" s="117"/>
      <c r="AX3475" s="117"/>
      <c r="AY3475" s="117"/>
      <c r="AZ3475" s="117"/>
      <c r="BA3475" s="117"/>
      <c r="BB3475" s="117"/>
      <c r="BC3475" s="117"/>
      <c r="BD3475" s="117"/>
    </row>
    <row r="3476" spans="1:56" ht="15">
      <c r="A3476" s="114"/>
      <c r="B3476" s="399" t="s">
        <v>1126</v>
      </c>
      <c r="C3476" s="317"/>
      <c r="D3476" s="318"/>
      <c r="E3476" s="400">
        <f>(2*C3471)*C3465</f>
        <v>0.80399999999999994</v>
      </c>
      <c r="F3476" s="390" t="s">
        <v>13</v>
      </c>
      <c r="G3476" s="196"/>
      <c r="H3476" s="196"/>
      <c r="I3476" s="196"/>
      <c r="J3476" s="114"/>
      <c r="AW3476" s="117"/>
      <c r="AX3476" s="117"/>
      <c r="AY3476" s="117"/>
      <c r="AZ3476" s="117"/>
      <c r="BA3476" s="117"/>
      <c r="BB3476" s="117"/>
      <c r="BC3476" s="117"/>
      <c r="BD3476" s="117"/>
    </row>
    <row r="3477" spans="1:56" ht="15">
      <c r="A3477" s="114"/>
      <c r="B3477" s="196"/>
      <c r="C3477" s="196"/>
      <c r="D3477" s="196"/>
      <c r="E3477" s="401"/>
      <c r="F3477" s="196"/>
      <c r="G3477" s="196"/>
      <c r="H3477" s="196"/>
      <c r="I3477" s="196"/>
      <c r="J3477" s="114"/>
      <c r="AW3477" s="117"/>
      <c r="AX3477" s="117"/>
      <c r="AY3477" s="117"/>
      <c r="AZ3477" s="117"/>
      <c r="BA3477" s="117"/>
      <c r="BB3477" s="117"/>
      <c r="BC3477" s="117"/>
      <c r="BD3477" s="117"/>
    </row>
    <row r="3478" spans="1:56" ht="15">
      <c r="A3478" s="114"/>
      <c r="B3478" s="303" t="s">
        <v>1127</v>
      </c>
      <c r="C3478" s="196"/>
      <c r="D3478" s="196"/>
      <c r="E3478" s="401"/>
      <c r="F3478" s="196"/>
      <c r="G3478" s="196"/>
      <c r="H3478" s="196"/>
      <c r="I3478" s="196"/>
      <c r="J3478" s="114"/>
      <c r="AW3478" s="117"/>
      <c r="AX3478" s="117"/>
      <c r="AY3478" s="117"/>
      <c r="AZ3478" s="117"/>
      <c r="BA3478" s="117"/>
      <c r="BB3478" s="117"/>
      <c r="BC3478" s="117"/>
      <c r="BD3478" s="117"/>
    </row>
    <row r="3479" spans="1:56" ht="18">
      <c r="A3479" s="114"/>
      <c r="B3479" s="398" t="s">
        <v>1128</v>
      </c>
      <c r="C3479" s="172"/>
      <c r="D3479" s="173"/>
      <c r="E3479" s="402">
        <f>E3476*0.05</f>
        <v>4.02E-2</v>
      </c>
      <c r="F3479" s="390" t="s">
        <v>1124</v>
      </c>
      <c r="G3479" s="196"/>
      <c r="H3479" s="196"/>
      <c r="I3479" s="196"/>
      <c r="J3479" s="114"/>
      <c r="AW3479" s="117"/>
      <c r="AX3479" s="117"/>
      <c r="AY3479" s="117"/>
      <c r="AZ3479" s="117"/>
      <c r="BA3479" s="117"/>
      <c r="BB3479" s="117"/>
      <c r="BC3479" s="117"/>
      <c r="BD3479" s="117"/>
    </row>
    <row r="3480" spans="1:56" ht="15">
      <c r="A3480" s="114"/>
      <c r="B3480" s="398" t="s">
        <v>1129</v>
      </c>
      <c r="C3480" s="172"/>
      <c r="D3480" s="173"/>
      <c r="E3480" s="397">
        <f>C3467*2*C3465</f>
        <v>2.0099999999999998</v>
      </c>
      <c r="F3480" s="390" t="s">
        <v>13</v>
      </c>
      <c r="G3480" s="393" t="s">
        <v>1108</v>
      </c>
      <c r="H3480" s="196" t="s">
        <v>1131</v>
      </c>
      <c r="I3480" s="393"/>
      <c r="J3480" s="114"/>
      <c r="AW3480" s="117"/>
      <c r="AX3480" s="117"/>
      <c r="AY3480" s="117"/>
      <c r="AZ3480" s="117"/>
      <c r="BA3480" s="117"/>
      <c r="BB3480" s="117"/>
      <c r="BC3480" s="117"/>
      <c r="BD3480" s="117"/>
    </row>
    <row r="3481" spans="1:56" ht="18">
      <c r="A3481" s="114"/>
      <c r="B3481" s="398" t="s">
        <v>1130</v>
      </c>
      <c r="C3481" s="172"/>
      <c r="D3481" s="173"/>
      <c r="E3481" s="402">
        <f>C3464*C3465*C3467</f>
        <v>0.25124999999999997</v>
      </c>
      <c r="F3481" s="390" t="s">
        <v>1124</v>
      </c>
      <c r="G3481" s="196"/>
      <c r="H3481" s="196"/>
      <c r="I3481" s="196"/>
      <c r="J3481" s="114"/>
      <c r="AW3481" s="117"/>
      <c r="AX3481" s="117"/>
      <c r="AY3481" s="117"/>
      <c r="AZ3481" s="117"/>
      <c r="BA3481" s="117"/>
      <c r="BB3481" s="117"/>
      <c r="BC3481" s="117"/>
      <c r="BD3481" s="117"/>
    </row>
    <row r="3482" spans="1:56">
      <c r="A3482" s="114"/>
      <c r="B3482" s="140"/>
      <c r="C3482" s="479"/>
      <c r="D3482" s="479"/>
      <c r="E3482" s="480"/>
      <c r="F3482" s="196"/>
      <c r="G3482" s="479"/>
      <c r="H3482" s="479"/>
      <c r="I3482" s="115"/>
      <c r="J3482" s="114"/>
      <c r="AW3482" s="117"/>
      <c r="AX3482" s="117"/>
      <c r="AY3482" s="117"/>
      <c r="AZ3482" s="117"/>
      <c r="BA3482" s="117"/>
      <c r="BB3482" s="117"/>
      <c r="BC3482" s="117"/>
      <c r="BD3482" s="117"/>
    </row>
    <row r="3483" spans="1:56">
      <c r="A3483" s="114"/>
      <c r="B3483" s="140"/>
      <c r="C3483" s="479"/>
      <c r="D3483" s="479"/>
      <c r="E3483" s="480"/>
      <c r="F3483" s="196"/>
      <c r="G3483" s="479"/>
      <c r="H3483" s="479"/>
      <c r="I3483" s="115"/>
      <c r="J3483" s="114"/>
      <c r="AW3483" s="117"/>
      <c r="AX3483" s="117"/>
      <c r="AY3483" s="117"/>
      <c r="AZ3483" s="117"/>
      <c r="BA3483" s="117"/>
      <c r="BB3483" s="117"/>
      <c r="BC3483" s="117"/>
      <c r="BD3483" s="117"/>
    </row>
    <row r="3484" spans="1:56">
      <c r="A3484" s="114"/>
      <c r="B3484" s="385" t="s">
        <v>1260</v>
      </c>
      <c r="C3484" s="196"/>
      <c r="D3484" s="196"/>
      <c r="E3484" s="196"/>
      <c r="F3484" s="196"/>
      <c r="G3484" s="196"/>
      <c r="H3484" s="196"/>
      <c r="I3484" s="196"/>
      <c r="J3484" s="114"/>
      <c r="AW3484" s="117"/>
      <c r="AX3484" s="117"/>
      <c r="AY3484" s="117"/>
      <c r="AZ3484" s="117"/>
      <c r="BA3484" s="117"/>
      <c r="BB3484" s="117"/>
      <c r="BC3484" s="117"/>
      <c r="BD3484" s="117"/>
    </row>
    <row r="3485" spans="1:56" ht="15">
      <c r="A3485" s="114"/>
      <c r="B3485" s="196"/>
      <c r="C3485" s="196"/>
      <c r="D3485" s="196"/>
      <c r="E3485" s="196"/>
      <c r="F3485" s="196"/>
      <c r="G3485" s="196"/>
      <c r="H3485" s="196"/>
      <c r="I3485" s="196"/>
      <c r="J3485" s="114"/>
      <c r="AW3485" s="117"/>
      <c r="AX3485" s="117"/>
      <c r="AY3485" s="117"/>
      <c r="AZ3485" s="117"/>
      <c r="BA3485" s="117"/>
      <c r="BB3485" s="117"/>
      <c r="BC3485" s="117"/>
      <c r="BD3485" s="117"/>
    </row>
    <row r="3486" spans="1:56" ht="15">
      <c r="A3486" s="114"/>
      <c r="B3486" s="388" t="s">
        <v>1110</v>
      </c>
      <c r="C3486" s="389">
        <v>0.25</v>
      </c>
      <c r="D3486" s="390" t="s">
        <v>10</v>
      </c>
      <c r="E3486" s="196"/>
      <c r="F3486" s="196"/>
      <c r="G3486" s="392"/>
      <c r="H3486" s="393"/>
      <c r="I3486" s="196"/>
      <c r="J3486" s="114"/>
      <c r="AW3486" s="117"/>
      <c r="AX3486" s="117"/>
      <c r="AY3486" s="117"/>
      <c r="AZ3486" s="117"/>
      <c r="BA3486" s="117"/>
      <c r="BB3486" s="117"/>
      <c r="BC3486" s="117"/>
      <c r="BD3486" s="117"/>
    </row>
    <row r="3487" spans="1:56" ht="15">
      <c r="A3487" s="114"/>
      <c r="B3487" s="388" t="s">
        <v>1111</v>
      </c>
      <c r="C3487" s="391">
        <v>1.2</v>
      </c>
      <c r="D3487" s="390" t="s">
        <v>10</v>
      </c>
      <c r="E3487" s="196"/>
      <c r="F3487" s="196"/>
      <c r="G3487" s="392"/>
      <c r="H3487" s="393"/>
      <c r="I3487" s="196"/>
      <c r="J3487" s="114"/>
      <c r="AW3487" s="117"/>
      <c r="AX3487" s="117"/>
      <c r="AY3487" s="117"/>
      <c r="AZ3487" s="117"/>
      <c r="BA3487" s="117"/>
      <c r="BB3487" s="117"/>
      <c r="BC3487" s="117"/>
      <c r="BD3487" s="117"/>
    </row>
    <row r="3488" spans="1:56" ht="15">
      <c r="A3488" s="114"/>
      <c r="B3488" s="388" t="s">
        <v>1112</v>
      </c>
      <c r="C3488" s="389">
        <v>0</v>
      </c>
      <c r="D3488" s="390" t="s">
        <v>10</v>
      </c>
      <c r="E3488" s="196"/>
      <c r="F3488" s="196"/>
      <c r="G3488" s="392"/>
      <c r="H3488" s="393"/>
      <c r="I3488" s="196"/>
      <c r="J3488" s="114"/>
      <c r="AW3488" s="117"/>
      <c r="AX3488" s="117"/>
      <c r="AY3488" s="117"/>
      <c r="AZ3488" s="117"/>
      <c r="BA3488" s="117"/>
      <c r="BB3488" s="117"/>
      <c r="BC3488" s="117"/>
      <c r="BD3488" s="117"/>
    </row>
    <row r="3489" spans="1:56" ht="15">
      <c r="A3489" s="114"/>
      <c r="B3489" s="388" t="s">
        <v>1113</v>
      </c>
      <c r="C3489" s="389">
        <v>1.08</v>
      </c>
      <c r="D3489" s="390" t="s">
        <v>10</v>
      </c>
      <c r="E3489" s="196"/>
      <c r="F3489" s="196"/>
      <c r="G3489" s="392"/>
      <c r="H3489" s="394"/>
      <c r="I3489" s="196"/>
      <c r="J3489" s="114"/>
      <c r="AW3489" s="117"/>
      <c r="AX3489" s="117"/>
      <c r="AY3489" s="117"/>
      <c r="AZ3489" s="117"/>
      <c r="BA3489" s="117"/>
      <c r="BB3489" s="117"/>
      <c r="BC3489" s="117"/>
      <c r="BD3489" s="117"/>
    </row>
    <row r="3490" spans="1:56" ht="15">
      <c r="A3490" s="114"/>
      <c r="B3490" s="388" t="s">
        <v>1117</v>
      </c>
      <c r="C3490" s="389">
        <v>1</v>
      </c>
      <c r="D3490" s="390" t="s">
        <v>1118</v>
      </c>
      <c r="E3490" s="196"/>
      <c r="F3490" s="196"/>
      <c r="G3490" s="392"/>
      <c r="H3490" s="393"/>
      <c r="I3490" s="196"/>
      <c r="J3490" s="114"/>
      <c r="AW3490" s="117"/>
      <c r="AX3490" s="117"/>
      <c r="AY3490" s="117"/>
      <c r="AZ3490" s="117"/>
      <c r="BA3490" s="117"/>
      <c r="BB3490" s="117"/>
      <c r="BC3490" s="117"/>
      <c r="BD3490" s="117"/>
    </row>
    <row r="3491" spans="1:56" ht="15">
      <c r="A3491" s="114"/>
      <c r="B3491" s="392"/>
      <c r="C3491" s="393"/>
      <c r="D3491" s="196"/>
      <c r="E3491" s="196"/>
      <c r="F3491" s="196"/>
      <c r="G3491" s="392"/>
      <c r="H3491" s="393"/>
      <c r="I3491" s="196"/>
      <c r="J3491" s="114"/>
      <c r="AW3491" s="117"/>
      <c r="AX3491" s="117"/>
      <c r="AY3491" s="117"/>
      <c r="AZ3491" s="117"/>
      <c r="BA3491" s="117"/>
      <c r="BB3491" s="117"/>
      <c r="BC3491" s="117"/>
      <c r="BD3491" s="117"/>
    </row>
    <row r="3492" spans="1:56" ht="15">
      <c r="A3492" s="114"/>
      <c r="B3492" s="388" t="s">
        <v>1114</v>
      </c>
      <c r="C3492" s="389">
        <v>0.6</v>
      </c>
      <c r="D3492" s="390" t="s">
        <v>10</v>
      </c>
      <c r="E3492" s="288" t="s">
        <v>1120</v>
      </c>
      <c r="F3492" s="288"/>
      <c r="G3492" s="230"/>
      <c r="H3492" s="395"/>
      <c r="I3492" s="196"/>
      <c r="J3492" s="114"/>
      <c r="AW3492" s="117"/>
      <c r="AX3492" s="117"/>
      <c r="AY3492" s="117"/>
      <c r="AZ3492" s="117"/>
      <c r="BA3492" s="117"/>
      <c r="BB3492" s="117"/>
      <c r="BC3492" s="117"/>
      <c r="BD3492" s="117"/>
    </row>
    <row r="3493" spans="1:56" ht="15">
      <c r="A3493" s="114"/>
      <c r="B3493" s="388" t="s">
        <v>1114</v>
      </c>
      <c r="C3493" s="389">
        <v>0.2</v>
      </c>
      <c r="D3493" s="390" t="s">
        <v>10</v>
      </c>
      <c r="E3493" s="288" t="s">
        <v>1121</v>
      </c>
      <c r="F3493" s="288"/>
      <c r="G3493" s="230"/>
      <c r="H3493" s="395"/>
      <c r="I3493" s="196"/>
      <c r="J3493" s="114"/>
      <c r="AW3493" s="117"/>
      <c r="AX3493" s="117"/>
      <c r="AY3493" s="117"/>
      <c r="AZ3493" s="117"/>
      <c r="BA3493" s="117"/>
      <c r="BB3493" s="117"/>
      <c r="BC3493" s="117"/>
      <c r="BD3493" s="117"/>
    </row>
    <row r="3494" spans="1:56" ht="15">
      <c r="A3494" s="114"/>
      <c r="B3494" s="196"/>
      <c r="C3494" s="196"/>
      <c r="D3494" s="196"/>
      <c r="E3494" s="196"/>
      <c r="F3494" s="196"/>
      <c r="G3494" s="196"/>
      <c r="H3494" s="196"/>
      <c r="I3494" s="196"/>
      <c r="J3494" s="114"/>
      <c r="AW3494" s="117"/>
      <c r="AX3494" s="117"/>
      <c r="AY3494" s="117"/>
      <c r="AZ3494" s="117"/>
      <c r="BA3494" s="117"/>
      <c r="BB3494" s="117"/>
      <c r="BC3494" s="117"/>
      <c r="BD3494" s="117"/>
    </row>
    <row r="3495" spans="1:56" ht="15">
      <c r="A3495" s="114"/>
      <c r="B3495" s="303" t="s">
        <v>1122</v>
      </c>
      <c r="C3495" s="362"/>
      <c r="D3495" s="362"/>
      <c r="E3495" s="196"/>
      <c r="F3495" s="196"/>
      <c r="G3495" s="196"/>
      <c r="H3495" s="196"/>
      <c r="I3495" s="196"/>
      <c r="J3495" s="114"/>
      <c r="AW3495" s="117"/>
      <c r="AX3495" s="117"/>
      <c r="AY3495" s="117"/>
      <c r="AZ3495" s="117"/>
      <c r="BA3495" s="117"/>
      <c r="BB3495" s="117"/>
      <c r="BC3495" s="117"/>
      <c r="BD3495" s="117"/>
    </row>
    <row r="3496" spans="1:56" ht="18">
      <c r="A3496" s="114"/>
      <c r="B3496" s="396" t="s">
        <v>1123</v>
      </c>
      <c r="C3496" s="289"/>
      <c r="D3496" s="290"/>
      <c r="E3496" s="397">
        <f>C3490*(C3492*2*(0.05+C3489+C3488)*C3487)</f>
        <v>1.6272</v>
      </c>
      <c r="F3496" s="390" t="s">
        <v>1124</v>
      </c>
      <c r="G3496" s="196"/>
      <c r="H3496" s="196"/>
      <c r="I3496" s="196"/>
      <c r="J3496" s="114"/>
      <c r="AW3496" s="117"/>
      <c r="AX3496" s="117"/>
      <c r="AY3496" s="117"/>
      <c r="AZ3496" s="117"/>
      <c r="BA3496" s="117"/>
      <c r="BB3496" s="117"/>
      <c r="BC3496" s="117"/>
      <c r="BD3496" s="117"/>
    </row>
    <row r="3497" spans="1:56" ht="18">
      <c r="A3497" s="114"/>
      <c r="B3497" s="398" t="s">
        <v>1125</v>
      </c>
      <c r="C3497" s="172"/>
      <c r="D3497" s="173"/>
      <c r="E3497" s="397">
        <f>E3496-(E3501+E3503)</f>
        <v>1.2791999999999999</v>
      </c>
      <c r="F3497" s="390" t="s">
        <v>1124</v>
      </c>
      <c r="G3497" s="196"/>
      <c r="H3497" s="196"/>
      <c r="I3497" s="196"/>
      <c r="J3497" s="114"/>
      <c r="AW3497" s="117"/>
      <c r="AX3497" s="117"/>
      <c r="AY3497" s="117"/>
      <c r="AZ3497" s="117"/>
      <c r="BA3497" s="117"/>
      <c r="BB3497" s="117"/>
      <c r="BC3497" s="117"/>
      <c r="BD3497" s="117"/>
    </row>
    <row r="3498" spans="1:56" ht="15">
      <c r="A3498" s="114"/>
      <c r="B3498" s="399" t="s">
        <v>1126</v>
      </c>
      <c r="C3498" s="317"/>
      <c r="D3498" s="318"/>
      <c r="E3498" s="400">
        <f>(2*C3493)*C3487</f>
        <v>0.48</v>
      </c>
      <c r="F3498" s="390" t="s">
        <v>13</v>
      </c>
      <c r="G3498" s="196"/>
      <c r="H3498" s="196"/>
      <c r="I3498" s="196"/>
      <c r="J3498" s="114"/>
      <c r="AW3498" s="117"/>
      <c r="AX3498" s="117"/>
      <c r="AY3498" s="117"/>
      <c r="AZ3498" s="117"/>
      <c r="BA3498" s="117"/>
      <c r="BB3498" s="117"/>
      <c r="BC3498" s="117"/>
      <c r="BD3498" s="117"/>
    </row>
    <row r="3499" spans="1:56" ht="15">
      <c r="A3499" s="114"/>
      <c r="B3499" s="196"/>
      <c r="C3499" s="196"/>
      <c r="D3499" s="196"/>
      <c r="E3499" s="401"/>
      <c r="F3499" s="196"/>
      <c r="G3499" s="196"/>
      <c r="H3499" s="196"/>
      <c r="I3499" s="196"/>
      <c r="J3499" s="114"/>
      <c r="AW3499" s="117"/>
      <c r="AX3499" s="117"/>
      <c r="AY3499" s="117"/>
      <c r="AZ3499" s="117"/>
      <c r="BA3499" s="117"/>
      <c r="BB3499" s="117"/>
      <c r="BC3499" s="117"/>
      <c r="BD3499" s="117"/>
    </row>
    <row r="3500" spans="1:56" ht="15">
      <c r="A3500" s="114"/>
      <c r="B3500" s="303" t="s">
        <v>1127</v>
      </c>
      <c r="C3500" s="196"/>
      <c r="D3500" s="196"/>
      <c r="E3500" s="401"/>
      <c r="F3500" s="196"/>
      <c r="G3500" s="196"/>
      <c r="H3500" s="196"/>
      <c r="I3500" s="196"/>
      <c r="J3500" s="114"/>
      <c r="AW3500" s="117"/>
      <c r="AX3500" s="117"/>
      <c r="AY3500" s="117"/>
      <c r="AZ3500" s="117"/>
      <c r="BA3500" s="117"/>
      <c r="BB3500" s="117"/>
      <c r="BC3500" s="117"/>
      <c r="BD3500" s="117"/>
    </row>
    <row r="3501" spans="1:56" ht="18">
      <c r="A3501" s="114"/>
      <c r="B3501" s="398" t="s">
        <v>1128</v>
      </c>
      <c r="C3501" s="172"/>
      <c r="D3501" s="173"/>
      <c r="E3501" s="402">
        <f>E3498*0.05</f>
        <v>2.4E-2</v>
      </c>
      <c r="F3501" s="390" t="s">
        <v>1124</v>
      </c>
      <c r="G3501" s="196"/>
      <c r="H3501" s="196"/>
      <c r="I3501" s="196"/>
      <c r="J3501" s="114"/>
      <c r="AW3501" s="117"/>
      <c r="AX3501" s="117"/>
      <c r="AY3501" s="117"/>
      <c r="AZ3501" s="117"/>
      <c r="BA3501" s="117"/>
      <c r="BB3501" s="117"/>
      <c r="BC3501" s="117"/>
      <c r="BD3501" s="117"/>
    </row>
    <row r="3502" spans="1:56" ht="15">
      <c r="A3502" s="114"/>
      <c r="B3502" s="398" t="s">
        <v>1129</v>
      </c>
      <c r="C3502" s="172"/>
      <c r="D3502" s="173"/>
      <c r="E3502" s="397">
        <f>C3489*2*C3487</f>
        <v>2.5920000000000001</v>
      </c>
      <c r="F3502" s="390" t="s">
        <v>13</v>
      </c>
      <c r="G3502" s="393" t="s">
        <v>1108</v>
      </c>
      <c r="H3502" s="196" t="s">
        <v>1131</v>
      </c>
      <c r="I3502" s="393"/>
      <c r="J3502" s="114"/>
      <c r="AW3502" s="117"/>
      <c r="AX3502" s="117"/>
      <c r="AY3502" s="117"/>
      <c r="AZ3502" s="117"/>
      <c r="BA3502" s="117"/>
      <c r="BB3502" s="117"/>
      <c r="BC3502" s="117"/>
      <c r="BD3502" s="117"/>
    </row>
    <row r="3503" spans="1:56" ht="18">
      <c r="A3503" s="114"/>
      <c r="B3503" s="398" t="s">
        <v>1130</v>
      </c>
      <c r="C3503" s="172"/>
      <c r="D3503" s="173"/>
      <c r="E3503" s="402">
        <f>C3486*C3487*C3489</f>
        <v>0.32400000000000001</v>
      </c>
      <c r="F3503" s="390" t="s">
        <v>1124</v>
      </c>
      <c r="G3503" s="196"/>
      <c r="H3503" s="196"/>
      <c r="I3503" s="196"/>
      <c r="J3503" s="114"/>
      <c r="AW3503" s="117"/>
      <c r="AX3503" s="117"/>
      <c r="AY3503" s="117"/>
      <c r="AZ3503" s="117"/>
      <c r="BA3503" s="117"/>
      <c r="BB3503" s="117"/>
      <c r="BC3503" s="117"/>
      <c r="BD3503" s="117"/>
    </row>
    <row r="3504" spans="1:56">
      <c r="A3504" s="114"/>
      <c r="B3504" s="140"/>
      <c r="C3504" s="479"/>
      <c r="D3504" s="479"/>
      <c r="E3504" s="480"/>
      <c r="F3504" s="196"/>
      <c r="G3504" s="479"/>
      <c r="H3504" s="479"/>
      <c r="I3504" s="115"/>
      <c r="J3504" s="114"/>
      <c r="AW3504" s="117"/>
      <c r="AX3504" s="117"/>
      <c r="AY3504" s="117"/>
      <c r="AZ3504" s="117"/>
      <c r="BA3504" s="117"/>
      <c r="BB3504" s="117"/>
      <c r="BC3504" s="117"/>
      <c r="BD3504" s="117"/>
    </row>
    <row r="3505" spans="1:56">
      <c r="A3505" s="114"/>
      <c r="B3505" s="385" t="s">
        <v>1261</v>
      </c>
      <c r="C3505" s="196"/>
      <c r="D3505" s="196"/>
      <c r="E3505" s="196"/>
      <c r="F3505" s="196"/>
      <c r="G3505" s="196"/>
      <c r="H3505" s="196"/>
      <c r="I3505" s="196"/>
      <c r="J3505" s="114"/>
      <c r="AW3505" s="117"/>
      <c r="AX3505" s="117"/>
      <c r="AY3505" s="117"/>
      <c r="AZ3505" s="117"/>
      <c r="BA3505" s="117"/>
      <c r="BB3505" s="117"/>
      <c r="BC3505" s="117"/>
      <c r="BD3505" s="117"/>
    </row>
    <row r="3506" spans="1:56" ht="15">
      <c r="A3506" s="114"/>
      <c r="B3506" s="196"/>
      <c r="C3506" s="196"/>
      <c r="D3506" s="196"/>
      <c r="E3506" s="196"/>
      <c r="F3506" s="196"/>
      <c r="G3506" s="196"/>
      <c r="H3506" s="196"/>
      <c r="I3506" s="196"/>
      <c r="J3506" s="114"/>
      <c r="AW3506" s="117"/>
      <c r="AX3506" s="117"/>
      <c r="AY3506" s="117"/>
      <c r="AZ3506" s="117"/>
      <c r="BA3506" s="117"/>
      <c r="BB3506" s="117"/>
      <c r="BC3506" s="117"/>
      <c r="BD3506" s="117"/>
    </row>
    <row r="3507" spans="1:56" ht="15">
      <c r="A3507" s="114"/>
      <c r="B3507" s="388" t="s">
        <v>1110</v>
      </c>
      <c r="C3507" s="389">
        <v>0.2</v>
      </c>
      <c r="D3507" s="390" t="s">
        <v>10</v>
      </c>
      <c r="E3507" s="196"/>
      <c r="F3507" s="196"/>
      <c r="G3507" s="392"/>
      <c r="H3507" s="393"/>
      <c r="I3507" s="196"/>
      <c r="J3507" s="114"/>
      <c r="AW3507" s="117"/>
      <c r="AX3507" s="117"/>
      <c r="AY3507" s="117"/>
      <c r="AZ3507" s="117"/>
      <c r="BA3507" s="117"/>
      <c r="BB3507" s="117"/>
      <c r="BC3507" s="117"/>
      <c r="BD3507" s="117"/>
    </row>
    <row r="3508" spans="1:56" ht="15">
      <c r="A3508" s="114"/>
      <c r="B3508" s="388" t="s">
        <v>1111</v>
      </c>
      <c r="C3508" s="391">
        <v>2.69</v>
      </c>
      <c r="D3508" s="390" t="s">
        <v>10</v>
      </c>
      <c r="E3508" s="196"/>
      <c r="F3508" s="196"/>
      <c r="G3508" s="392"/>
      <c r="H3508" s="393"/>
      <c r="I3508" s="196"/>
      <c r="J3508" s="114"/>
      <c r="AW3508" s="117"/>
      <c r="AX3508" s="117"/>
      <c r="AY3508" s="117"/>
      <c r="AZ3508" s="117"/>
      <c r="BA3508" s="117"/>
      <c r="BB3508" s="117"/>
      <c r="BC3508" s="117"/>
      <c r="BD3508" s="117"/>
    </row>
    <row r="3509" spans="1:56" ht="15">
      <c r="A3509" s="114"/>
      <c r="B3509" s="388" t="s">
        <v>1112</v>
      </c>
      <c r="C3509" s="389">
        <v>0.57999999999999996</v>
      </c>
      <c r="D3509" s="390" t="s">
        <v>10</v>
      </c>
      <c r="E3509" s="196"/>
      <c r="F3509" s="196"/>
      <c r="G3509" s="392"/>
      <c r="H3509" s="393"/>
      <c r="I3509" s="196"/>
      <c r="J3509" s="114"/>
      <c r="AW3509" s="117"/>
      <c r="AX3509" s="117"/>
      <c r="AY3509" s="117"/>
      <c r="AZ3509" s="117"/>
      <c r="BA3509" s="117"/>
      <c r="BB3509" s="117"/>
      <c r="BC3509" s="117"/>
      <c r="BD3509" s="117"/>
    </row>
    <row r="3510" spans="1:56" ht="15">
      <c r="A3510" s="114"/>
      <c r="B3510" s="388" t="s">
        <v>1113</v>
      </c>
      <c r="C3510" s="389">
        <v>0.3</v>
      </c>
      <c r="D3510" s="390" t="s">
        <v>10</v>
      </c>
      <c r="E3510" s="196"/>
      <c r="F3510" s="196"/>
      <c r="G3510" s="392"/>
      <c r="H3510" s="394"/>
      <c r="I3510" s="196"/>
      <c r="J3510" s="114"/>
      <c r="AW3510" s="117"/>
      <c r="AX3510" s="117"/>
      <c r="AY3510" s="117"/>
      <c r="AZ3510" s="117"/>
      <c r="BA3510" s="117"/>
      <c r="BB3510" s="117"/>
      <c r="BC3510" s="117"/>
      <c r="BD3510" s="117"/>
    </row>
    <row r="3511" spans="1:56" ht="15">
      <c r="A3511" s="114"/>
      <c r="B3511" s="388" t="s">
        <v>1117</v>
      </c>
      <c r="C3511" s="389">
        <v>1</v>
      </c>
      <c r="D3511" s="390" t="s">
        <v>1118</v>
      </c>
      <c r="E3511" s="196"/>
      <c r="F3511" s="196"/>
      <c r="G3511" s="392"/>
      <c r="H3511" s="393"/>
      <c r="I3511" s="196"/>
      <c r="J3511" s="114"/>
      <c r="AW3511" s="117"/>
      <c r="AX3511" s="117"/>
      <c r="AY3511" s="117"/>
      <c r="AZ3511" s="117"/>
      <c r="BA3511" s="117"/>
      <c r="BB3511" s="117"/>
      <c r="BC3511" s="117"/>
      <c r="BD3511" s="117"/>
    </row>
    <row r="3512" spans="1:56" ht="15">
      <c r="A3512" s="114"/>
      <c r="B3512" s="392"/>
      <c r="C3512" s="393"/>
      <c r="D3512" s="196"/>
      <c r="E3512" s="196"/>
      <c r="F3512" s="196"/>
      <c r="G3512" s="392"/>
      <c r="H3512" s="393"/>
      <c r="I3512" s="196"/>
      <c r="J3512" s="114"/>
      <c r="AW3512" s="117"/>
      <c r="AX3512" s="117"/>
      <c r="AY3512" s="117"/>
      <c r="AZ3512" s="117"/>
      <c r="BA3512" s="117"/>
      <c r="BB3512" s="117"/>
      <c r="BC3512" s="117"/>
      <c r="BD3512" s="117"/>
    </row>
    <row r="3513" spans="1:56" ht="15">
      <c r="A3513" s="114"/>
      <c r="B3513" s="388" t="s">
        <v>1114</v>
      </c>
      <c r="C3513" s="389">
        <v>0.6</v>
      </c>
      <c r="D3513" s="390" t="s">
        <v>10</v>
      </c>
      <c r="E3513" s="288" t="s">
        <v>1120</v>
      </c>
      <c r="F3513" s="288"/>
      <c r="G3513" s="230"/>
      <c r="H3513" s="395"/>
      <c r="I3513" s="196"/>
      <c r="J3513" s="114"/>
      <c r="AW3513" s="117"/>
      <c r="AX3513" s="117"/>
      <c r="AY3513" s="117"/>
      <c r="AZ3513" s="117"/>
      <c r="BA3513" s="117"/>
      <c r="BB3513" s="117"/>
      <c r="BC3513" s="117"/>
      <c r="BD3513" s="117"/>
    </row>
    <row r="3514" spans="1:56" ht="15">
      <c r="A3514" s="114"/>
      <c r="B3514" s="388" t="s">
        <v>1114</v>
      </c>
      <c r="C3514" s="389">
        <v>0.2</v>
      </c>
      <c r="D3514" s="390" t="s">
        <v>10</v>
      </c>
      <c r="E3514" s="288" t="s">
        <v>1121</v>
      </c>
      <c r="F3514" s="288"/>
      <c r="G3514" s="230"/>
      <c r="H3514" s="395"/>
      <c r="I3514" s="196"/>
      <c r="J3514" s="114"/>
      <c r="AW3514" s="117"/>
      <c r="AX3514" s="117"/>
      <c r="AY3514" s="117"/>
      <c r="AZ3514" s="117"/>
      <c r="BA3514" s="117"/>
      <c r="BB3514" s="117"/>
      <c r="BC3514" s="117"/>
      <c r="BD3514" s="117"/>
    </row>
    <row r="3515" spans="1:56" ht="15">
      <c r="A3515" s="114"/>
      <c r="B3515" s="196"/>
      <c r="C3515" s="196"/>
      <c r="D3515" s="196"/>
      <c r="E3515" s="196"/>
      <c r="F3515" s="196"/>
      <c r="G3515" s="196"/>
      <c r="H3515" s="196"/>
      <c r="I3515" s="196"/>
      <c r="J3515" s="114"/>
      <c r="AW3515" s="117"/>
      <c r="AX3515" s="117"/>
      <c r="AY3515" s="117"/>
      <c r="AZ3515" s="117"/>
      <c r="BA3515" s="117"/>
      <c r="BB3515" s="117"/>
      <c r="BC3515" s="117"/>
      <c r="BD3515" s="117"/>
    </row>
    <row r="3516" spans="1:56" ht="15">
      <c r="A3516" s="114"/>
      <c r="B3516" s="303" t="s">
        <v>1122</v>
      </c>
      <c r="C3516" s="362"/>
      <c r="D3516" s="362"/>
      <c r="E3516" s="196"/>
      <c r="F3516" s="196"/>
      <c r="G3516" s="196"/>
      <c r="H3516" s="196"/>
      <c r="I3516" s="196"/>
      <c r="J3516" s="114"/>
      <c r="AW3516" s="117"/>
      <c r="AX3516" s="117"/>
      <c r="AY3516" s="117"/>
      <c r="AZ3516" s="117"/>
      <c r="BA3516" s="117"/>
      <c r="BB3516" s="117"/>
      <c r="BC3516" s="117"/>
      <c r="BD3516" s="117"/>
    </row>
    <row r="3517" spans="1:56" ht="18">
      <c r="A3517" s="114"/>
      <c r="B3517" s="396" t="s">
        <v>1123</v>
      </c>
      <c r="C3517" s="289"/>
      <c r="D3517" s="290"/>
      <c r="E3517" s="397">
        <f>C3511*(C3513*2*(0.05+C3510+C3509)*C3508)</f>
        <v>3.0020399999999996</v>
      </c>
      <c r="F3517" s="390" t="s">
        <v>1124</v>
      </c>
      <c r="G3517" s="196"/>
      <c r="H3517" s="196"/>
      <c r="I3517" s="196"/>
      <c r="J3517" s="114"/>
      <c r="AW3517" s="117"/>
      <c r="AX3517" s="117"/>
      <c r="AY3517" s="117"/>
      <c r="AZ3517" s="117"/>
      <c r="BA3517" s="117"/>
      <c r="BB3517" s="117"/>
      <c r="BC3517" s="117"/>
      <c r="BD3517" s="117"/>
    </row>
    <row r="3518" spans="1:56" ht="18">
      <c r="A3518" s="114"/>
      <c r="B3518" s="398" t="s">
        <v>1125</v>
      </c>
      <c r="C3518" s="172"/>
      <c r="D3518" s="173"/>
      <c r="E3518" s="397">
        <f>E3517-(E3522+E3524)</f>
        <v>2.7868399999999998</v>
      </c>
      <c r="F3518" s="390" t="s">
        <v>1124</v>
      </c>
      <c r="G3518" s="196"/>
      <c r="H3518" s="196"/>
      <c r="I3518" s="196"/>
      <c r="J3518" s="114"/>
      <c r="AW3518" s="117"/>
      <c r="AX3518" s="117"/>
      <c r="AY3518" s="117"/>
      <c r="AZ3518" s="117"/>
      <c r="BA3518" s="117"/>
      <c r="BB3518" s="117"/>
      <c r="BC3518" s="117"/>
      <c r="BD3518" s="117"/>
    </row>
    <row r="3519" spans="1:56" ht="15">
      <c r="A3519" s="114"/>
      <c r="B3519" s="399" t="s">
        <v>1126</v>
      </c>
      <c r="C3519" s="317"/>
      <c r="D3519" s="318"/>
      <c r="E3519" s="400">
        <f>(2*C3514)*C3508</f>
        <v>1.0760000000000001</v>
      </c>
      <c r="F3519" s="390" t="s">
        <v>13</v>
      </c>
      <c r="G3519" s="196"/>
      <c r="H3519" s="196"/>
      <c r="I3519" s="196"/>
      <c r="J3519" s="114"/>
      <c r="AW3519" s="117"/>
      <c r="AX3519" s="117"/>
      <c r="AY3519" s="117"/>
      <c r="AZ3519" s="117"/>
      <c r="BA3519" s="117"/>
      <c r="BB3519" s="117"/>
      <c r="BC3519" s="117"/>
      <c r="BD3519" s="117"/>
    </row>
    <row r="3520" spans="1:56" ht="15">
      <c r="A3520" s="114"/>
      <c r="B3520" s="196"/>
      <c r="C3520" s="196"/>
      <c r="D3520" s="196"/>
      <c r="E3520" s="401"/>
      <c r="F3520" s="196"/>
      <c r="G3520" s="196"/>
      <c r="H3520" s="196"/>
      <c r="I3520" s="196"/>
      <c r="J3520" s="114"/>
      <c r="AW3520" s="117"/>
      <c r="AX3520" s="117"/>
      <c r="AY3520" s="117"/>
      <c r="AZ3520" s="117"/>
      <c r="BA3520" s="117"/>
      <c r="BB3520" s="117"/>
      <c r="BC3520" s="117"/>
      <c r="BD3520" s="117"/>
    </row>
    <row r="3521" spans="1:56" ht="15">
      <c r="A3521" s="114"/>
      <c r="B3521" s="303" t="s">
        <v>1127</v>
      </c>
      <c r="C3521" s="196"/>
      <c r="D3521" s="196"/>
      <c r="E3521" s="401"/>
      <c r="F3521" s="196"/>
      <c r="G3521" s="196"/>
      <c r="H3521" s="196"/>
      <c r="I3521" s="196"/>
      <c r="J3521" s="114"/>
      <c r="AW3521" s="117"/>
      <c r="AX3521" s="117"/>
      <c r="AY3521" s="117"/>
      <c r="AZ3521" s="117"/>
      <c r="BA3521" s="117"/>
      <c r="BB3521" s="117"/>
      <c r="BC3521" s="117"/>
      <c r="BD3521" s="117"/>
    </row>
    <row r="3522" spans="1:56" ht="18">
      <c r="A3522" s="114"/>
      <c r="B3522" s="398" t="s">
        <v>1128</v>
      </c>
      <c r="C3522" s="172"/>
      <c r="D3522" s="173"/>
      <c r="E3522" s="402">
        <f>E3519*0.05</f>
        <v>5.3800000000000008E-2</v>
      </c>
      <c r="F3522" s="390" t="s">
        <v>1124</v>
      </c>
      <c r="G3522" s="196"/>
      <c r="H3522" s="196"/>
      <c r="I3522" s="196"/>
      <c r="J3522" s="114"/>
      <c r="AW3522" s="117"/>
      <c r="AX3522" s="117"/>
      <c r="AY3522" s="117"/>
      <c r="AZ3522" s="117"/>
      <c r="BA3522" s="117"/>
      <c r="BB3522" s="117"/>
      <c r="BC3522" s="117"/>
      <c r="BD3522" s="117"/>
    </row>
    <row r="3523" spans="1:56" ht="15">
      <c r="A3523" s="114"/>
      <c r="B3523" s="398" t="s">
        <v>1129</v>
      </c>
      <c r="C3523" s="172"/>
      <c r="D3523" s="173"/>
      <c r="E3523" s="397">
        <f>C3510*2*C3508</f>
        <v>1.6139999999999999</v>
      </c>
      <c r="F3523" s="390" t="s">
        <v>13</v>
      </c>
      <c r="G3523" s="393" t="s">
        <v>1108</v>
      </c>
      <c r="H3523" s="196" t="s">
        <v>1131</v>
      </c>
      <c r="I3523" s="393"/>
      <c r="J3523" s="114"/>
      <c r="AW3523" s="117"/>
      <c r="AX3523" s="117"/>
      <c r="AY3523" s="117"/>
      <c r="AZ3523" s="117"/>
      <c r="BA3523" s="117"/>
      <c r="BB3523" s="117"/>
      <c r="BC3523" s="117"/>
      <c r="BD3523" s="117"/>
    </row>
    <row r="3524" spans="1:56" ht="18">
      <c r="A3524" s="114"/>
      <c r="B3524" s="398" t="s">
        <v>1130</v>
      </c>
      <c r="C3524" s="172"/>
      <c r="D3524" s="173"/>
      <c r="E3524" s="402">
        <f>C3507*C3508*C3510</f>
        <v>0.16140000000000002</v>
      </c>
      <c r="F3524" s="390" t="s">
        <v>1124</v>
      </c>
      <c r="G3524" s="196"/>
      <c r="H3524" s="196"/>
      <c r="I3524" s="196"/>
      <c r="J3524" s="114"/>
      <c r="AW3524" s="117"/>
      <c r="AX3524" s="117"/>
      <c r="AY3524" s="117"/>
      <c r="AZ3524" s="117"/>
      <c r="BA3524" s="117"/>
      <c r="BB3524" s="117"/>
      <c r="BC3524" s="117"/>
      <c r="BD3524" s="117"/>
    </row>
    <row r="3525" spans="1:56">
      <c r="A3525" s="114"/>
      <c r="B3525" s="140"/>
      <c r="C3525" s="479"/>
      <c r="D3525" s="479"/>
      <c r="E3525" s="480"/>
      <c r="F3525" s="196"/>
      <c r="G3525" s="479"/>
      <c r="H3525" s="479"/>
      <c r="I3525" s="115"/>
      <c r="J3525" s="114"/>
      <c r="AW3525" s="117"/>
      <c r="AX3525" s="117"/>
      <c r="AY3525" s="117"/>
      <c r="AZ3525" s="117"/>
      <c r="BA3525" s="117"/>
      <c r="BB3525" s="117"/>
      <c r="BC3525" s="117"/>
      <c r="BD3525" s="117"/>
    </row>
    <row r="3526" spans="1:56">
      <c r="A3526" s="114"/>
      <c r="B3526" s="385" t="s">
        <v>1262</v>
      </c>
      <c r="C3526" s="196"/>
      <c r="D3526" s="196"/>
      <c r="E3526" s="196"/>
      <c r="F3526" s="196"/>
      <c r="G3526" s="196"/>
      <c r="H3526" s="196"/>
      <c r="I3526" s="196"/>
      <c r="J3526" s="114"/>
      <c r="AW3526" s="117"/>
      <c r="AX3526" s="117"/>
      <c r="AY3526" s="117"/>
      <c r="AZ3526" s="117"/>
      <c r="BA3526" s="117"/>
      <c r="BB3526" s="117"/>
      <c r="BC3526" s="117"/>
      <c r="BD3526" s="117"/>
    </row>
    <row r="3527" spans="1:56" ht="15">
      <c r="A3527" s="114"/>
      <c r="B3527" s="196"/>
      <c r="C3527" s="196"/>
      <c r="D3527" s="196"/>
      <c r="E3527" s="196"/>
      <c r="F3527" s="196"/>
      <c r="G3527" s="196"/>
      <c r="H3527" s="196"/>
      <c r="I3527" s="196"/>
      <c r="J3527" s="114"/>
      <c r="AW3527" s="117"/>
      <c r="AX3527" s="117"/>
      <c r="AY3527" s="117"/>
      <c r="AZ3527" s="117"/>
      <c r="BA3527" s="117"/>
      <c r="BB3527" s="117"/>
      <c r="BC3527" s="117"/>
      <c r="BD3527" s="117"/>
    </row>
    <row r="3528" spans="1:56" ht="15">
      <c r="A3528" s="114"/>
      <c r="B3528" s="388" t="s">
        <v>1110</v>
      </c>
      <c r="C3528" s="389">
        <v>0.2</v>
      </c>
      <c r="D3528" s="390" t="s">
        <v>10</v>
      </c>
      <c r="E3528" s="196"/>
      <c r="F3528" s="196"/>
      <c r="G3528" s="392"/>
      <c r="H3528" s="393"/>
      <c r="I3528" s="196"/>
      <c r="J3528" s="114"/>
      <c r="AW3528" s="117"/>
      <c r="AX3528" s="117"/>
      <c r="AY3528" s="117"/>
      <c r="AZ3528" s="117"/>
      <c r="BA3528" s="117"/>
      <c r="BB3528" s="117"/>
      <c r="BC3528" s="117"/>
      <c r="BD3528" s="117"/>
    </row>
    <row r="3529" spans="1:56" ht="15">
      <c r="A3529" s="114"/>
      <c r="B3529" s="388" t="s">
        <v>1111</v>
      </c>
      <c r="C3529" s="391">
        <v>6.31</v>
      </c>
      <c r="D3529" s="390" t="s">
        <v>10</v>
      </c>
      <c r="E3529" s="196"/>
      <c r="F3529" s="196"/>
      <c r="G3529" s="392"/>
      <c r="H3529" s="393"/>
      <c r="I3529" s="196"/>
      <c r="J3529" s="114"/>
      <c r="AW3529" s="117"/>
      <c r="AX3529" s="117"/>
      <c r="AY3529" s="117"/>
      <c r="AZ3529" s="117"/>
      <c r="BA3529" s="117"/>
      <c r="BB3529" s="117"/>
      <c r="BC3529" s="117"/>
      <c r="BD3529" s="117"/>
    </row>
    <row r="3530" spans="1:56" ht="15">
      <c r="A3530" s="114"/>
      <c r="B3530" s="388" t="s">
        <v>1112</v>
      </c>
      <c r="C3530" s="389">
        <v>0</v>
      </c>
      <c r="D3530" s="390" t="s">
        <v>10</v>
      </c>
      <c r="E3530" s="196"/>
      <c r="F3530" s="196"/>
      <c r="G3530" s="392"/>
      <c r="H3530" s="393"/>
      <c r="I3530" s="196"/>
      <c r="J3530" s="114"/>
      <c r="AW3530" s="117"/>
      <c r="AX3530" s="117"/>
      <c r="AY3530" s="117"/>
      <c r="AZ3530" s="117"/>
      <c r="BA3530" s="117"/>
      <c r="BB3530" s="117"/>
      <c r="BC3530" s="117"/>
      <c r="BD3530" s="117"/>
    </row>
    <row r="3531" spans="1:56" ht="15">
      <c r="A3531" s="114"/>
      <c r="B3531" s="388" t="s">
        <v>1113</v>
      </c>
      <c r="C3531" s="389">
        <v>1.18</v>
      </c>
      <c r="D3531" s="390" t="s">
        <v>10</v>
      </c>
      <c r="E3531" s="196"/>
      <c r="F3531" s="196"/>
      <c r="G3531" s="392"/>
      <c r="H3531" s="394"/>
      <c r="I3531" s="196"/>
      <c r="J3531" s="114"/>
      <c r="AW3531" s="117"/>
      <c r="AX3531" s="117"/>
      <c r="AY3531" s="117"/>
      <c r="AZ3531" s="117"/>
      <c r="BA3531" s="117"/>
      <c r="BB3531" s="117"/>
      <c r="BC3531" s="117"/>
      <c r="BD3531" s="117"/>
    </row>
    <row r="3532" spans="1:56" ht="15">
      <c r="A3532" s="114"/>
      <c r="B3532" s="388" t="s">
        <v>1117</v>
      </c>
      <c r="C3532" s="389">
        <v>2</v>
      </c>
      <c r="D3532" s="390" t="s">
        <v>1118</v>
      </c>
      <c r="E3532" s="196"/>
      <c r="F3532" s="196"/>
      <c r="G3532" s="392"/>
      <c r="H3532" s="393"/>
      <c r="I3532" s="196"/>
      <c r="J3532" s="114"/>
      <c r="AW3532" s="117"/>
      <c r="AX3532" s="117"/>
      <c r="AY3532" s="117"/>
      <c r="AZ3532" s="117"/>
      <c r="BA3532" s="117"/>
      <c r="BB3532" s="117"/>
      <c r="BC3532" s="117"/>
      <c r="BD3532" s="117"/>
    </row>
    <row r="3533" spans="1:56" ht="15">
      <c r="A3533" s="114"/>
      <c r="B3533" s="392"/>
      <c r="C3533" s="393"/>
      <c r="D3533" s="196"/>
      <c r="E3533" s="196"/>
      <c r="F3533" s="196"/>
      <c r="G3533" s="392"/>
      <c r="H3533" s="393"/>
      <c r="I3533" s="196"/>
      <c r="J3533" s="114"/>
      <c r="AW3533" s="117"/>
      <c r="AX3533" s="117"/>
      <c r="AY3533" s="117"/>
      <c r="AZ3533" s="117"/>
      <c r="BA3533" s="117"/>
      <c r="BB3533" s="117"/>
      <c r="BC3533" s="117"/>
      <c r="BD3533" s="117"/>
    </row>
    <row r="3534" spans="1:56" ht="15">
      <c r="A3534" s="114"/>
      <c r="B3534" s="388" t="s">
        <v>1114</v>
      </c>
      <c r="C3534" s="389">
        <v>0.6</v>
      </c>
      <c r="D3534" s="390" t="s">
        <v>10</v>
      </c>
      <c r="E3534" s="288" t="s">
        <v>1120</v>
      </c>
      <c r="F3534" s="288"/>
      <c r="G3534" s="230"/>
      <c r="H3534" s="395"/>
      <c r="I3534" s="196"/>
      <c r="J3534" s="114"/>
      <c r="AW3534" s="117"/>
      <c r="AX3534" s="117"/>
      <c r="AY3534" s="117"/>
      <c r="AZ3534" s="117"/>
      <c r="BA3534" s="117"/>
      <c r="BB3534" s="117"/>
      <c r="BC3534" s="117"/>
      <c r="BD3534" s="117"/>
    </row>
    <row r="3535" spans="1:56" ht="15">
      <c r="A3535" s="114"/>
      <c r="B3535" s="388" t="s">
        <v>1114</v>
      </c>
      <c r="C3535" s="389">
        <v>0.2</v>
      </c>
      <c r="D3535" s="390" t="s">
        <v>10</v>
      </c>
      <c r="E3535" s="288" t="s">
        <v>1121</v>
      </c>
      <c r="F3535" s="288"/>
      <c r="G3535" s="230"/>
      <c r="H3535" s="395"/>
      <c r="I3535" s="196"/>
      <c r="J3535" s="114"/>
      <c r="AW3535" s="117"/>
      <c r="AX3535" s="117"/>
      <c r="AY3535" s="117"/>
      <c r="AZ3535" s="117"/>
      <c r="BA3535" s="117"/>
      <c r="BB3535" s="117"/>
      <c r="BC3535" s="117"/>
      <c r="BD3535" s="117"/>
    </row>
    <row r="3536" spans="1:56" ht="15">
      <c r="A3536" s="114"/>
      <c r="B3536" s="196"/>
      <c r="C3536" s="196"/>
      <c r="D3536" s="196"/>
      <c r="E3536" s="196"/>
      <c r="F3536" s="196"/>
      <c r="G3536" s="196"/>
      <c r="H3536" s="196"/>
      <c r="I3536" s="196"/>
      <c r="J3536" s="114"/>
      <c r="AW3536" s="117"/>
      <c r="AX3536" s="117"/>
      <c r="AY3536" s="117"/>
      <c r="AZ3536" s="117"/>
      <c r="BA3536" s="117"/>
      <c r="BB3536" s="117"/>
      <c r="BC3536" s="117"/>
      <c r="BD3536" s="117"/>
    </row>
    <row r="3537" spans="1:56" ht="15">
      <c r="A3537" s="114"/>
      <c r="B3537" s="303" t="s">
        <v>1122</v>
      </c>
      <c r="C3537" s="362"/>
      <c r="D3537" s="362"/>
      <c r="E3537" s="196"/>
      <c r="F3537" s="196"/>
      <c r="G3537" s="196"/>
      <c r="H3537" s="196"/>
      <c r="I3537" s="196"/>
      <c r="J3537" s="114"/>
      <c r="AW3537" s="117"/>
      <c r="AX3537" s="117"/>
      <c r="AY3537" s="117"/>
      <c r="AZ3537" s="117"/>
      <c r="BA3537" s="117"/>
      <c r="BB3537" s="117"/>
      <c r="BC3537" s="117"/>
      <c r="BD3537" s="117"/>
    </row>
    <row r="3538" spans="1:56" ht="18">
      <c r="A3538" s="114"/>
      <c r="B3538" s="396" t="s">
        <v>1123</v>
      </c>
      <c r="C3538" s="289"/>
      <c r="D3538" s="290"/>
      <c r="E3538" s="397">
        <f>C3532*(C3534*2*(0.05+C3531+C3530)*C3529)</f>
        <v>18.627119999999998</v>
      </c>
      <c r="F3538" s="390" t="s">
        <v>1124</v>
      </c>
      <c r="G3538" s="196"/>
      <c r="H3538" s="196"/>
      <c r="I3538" s="196"/>
      <c r="J3538" s="114"/>
      <c r="AW3538" s="117"/>
      <c r="AX3538" s="117"/>
      <c r="AY3538" s="117"/>
      <c r="AZ3538" s="117"/>
      <c r="BA3538" s="117"/>
      <c r="BB3538" s="117"/>
      <c r="BC3538" s="117"/>
      <c r="BD3538" s="117"/>
    </row>
    <row r="3539" spans="1:56" ht="18">
      <c r="A3539" s="114"/>
      <c r="B3539" s="398" t="s">
        <v>1125</v>
      </c>
      <c r="C3539" s="172"/>
      <c r="D3539" s="173"/>
      <c r="E3539" s="397">
        <f>E3538-(E3543+E3545)</f>
        <v>17.011759999999999</v>
      </c>
      <c r="F3539" s="390" t="s">
        <v>1124</v>
      </c>
      <c r="G3539" s="196"/>
      <c r="H3539" s="196"/>
      <c r="I3539" s="196"/>
      <c r="J3539" s="114"/>
      <c r="AW3539" s="117"/>
      <c r="AX3539" s="117"/>
      <c r="AY3539" s="117"/>
      <c r="AZ3539" s="117"/>
      <c r="BA3539" s="117"/>
      <c r="BB3539" s="117"/>
      <c r="BC3539" s="117"/>
      <c r="BD3539" s="117"/>
    </row>
    <row r="3540" spans="1:56" ht="15">
      <c r="A3540" s="114"/>
      <c r="B3540" s="399" t="s">
        <v>1126</v>
      </c>
      <c r="C3540" s="317"/>
      <c r="D3540" s="318"/>
      <c r="E3540" s="400">
        <f>(2*C3535)*C3529</f>
        <v>2.524</v>
      </c>
      <c r="F3540" s="390" t="s">
        <v>13</v>
      </c>
      <c r="G3540" s="196"/>
      <c r="H3540" s="196"/>
      <c r="I3540" s="196"/>
      <c r="J3540" s="114"/>
      <c r="AW3540" s="117"/>
      <c r="AX3540" s="117"/>
      <c r="AY3540" s="117"/>
      <c r="AZ3540" s="117"/>
      <c r="BA3540" s="117"/>
      <c r="BB3540" s="117"/>
      <c r="BC3540" s="117"/>
      <c r="BD3540" s="117"/>
    </row>
    <row r="3541" spans="1:56" ht="15">
      <c r="A3541" s="114"/>
      <c r="B3541" s="196"/>
      <c r="C3541" s="196"/>
      <c r="D3541" s="196"/>
      <c r="E3541" s="401"/>
      <c r="F3541" s="196"/>
      <c r="G3541" s="196"/>
      <c r="H3541" s="196"/>
      <c r="I3541" s="196"/>
      <c r="J3541" s="114"/>
      <c r="AW3541" s="117"/>
      <c r="AX3541" s="117"/>
      <c r="AY3541" s="117"/>
      <c r="AZ3541" s="117"/>
      <c r="BA3541" s="117"/>
      <c r="BB3541" s="117"/>
      <c r="BC3541" s="117"/>
      <c r="BD3541" s="117"/>
    </row>
    <row r="3542" spans="1:56" ht="15">
      <c r="A3542" s="114"/>
      <c r="B3542" s="303" t="s">
        <v>1127</v>
      </c>
      <c r="C3542" s="196"/>
      <c r="D3542" s="196"/>
      <c r="E3542" s="401"/>
      <c r="F3542" s="196"/>
      <c r="G3542" s="196"/>
      <c r="H3542" s="196"/>
      <c r="I3542" s="196"/>
      <c r="J3542" s="114"/>
      <c r="AW3542" s="117"/>
      <c r="AX3542" s="117"/>
      <c r="AY3542" s="117"/>
      <c r="AZ3542" s="117"/>
      <c r="BA3542" s="117"/>
      <c r="BB3542" s="117"/>
      <c r="BC3542" s="117"/>
      <c r="BD3542" s="117"/>
    </row>
    <row r="3543" spans="1:56" ht="18">
      <c r="A3543" s="114"/>
      <c r="B3543" s="398" t="s">
        <v>1128</v>
      </c>
      <c r="C3543" s="172"/>
      <c r="D3543" s="173"/>
      <c r="E3543" s="402">
        <f>E3540*0.05</f>
        <v>0.12620000000000001</v>
      </c>
      <c r="F3543" s="390" t="s">
        <v>1124</v>
      </c>
      <c r="G3543" s="196"/>
      <c r="H3543" s="196"/>
      <c r="I3543" s="196"/>
      <c r="J3543" s="114"/>
      <c r="AW3543" s="117"/>
      <c r="AX3543" s="117"/>
      <c r="AY3543" s="117"/>
      <c r="AZ3543" s="117"/>
      <c r="BA3543" s="117"/>
      <c r="BB3543" s="117"/>
      <c r="BC3543" s="117"/>
      <c r="BD3543" s="117"/>
    </row>
    <row r="3544" spans="1:56" ht="15">
      <c r="A3544" s="114"/>
      <c r="B3544" s="398" t="s">
        <v>1129</v>
      </c>
      <c r="C3544" s="172"/>
      <c r="D3544" s="173"/>
      <c r="E3544" s="397">
        <f>C3531*2*C3529</f>
        <v>14.891599999999999</v>
      </c>
      <c r="F3544" s="390" t="s">
        <v>13</v>
      </c>
      <c r="G3544" s="393" t="s">
        <v>1108</v>
      </c>
      <c r="H3544" s="196" t="s">
        <v>1131</v>
      </c>
      <c r="I3544" s="393"/>
      <c r="J3544" s="114"/>
      <c r="AW3544" s="117"/>
      <c r="AX3544" s="117"/>
      <c r="AY3544" s="117"/>
      <c r="AZ3544" s="117"/>
      <c r="BA3544" s="117"/>
      <c r="BB3544" s="117"/>
      <c r="BC3544" s="117"/>
      <c r="BD3544" s="117"/>
    </row>
    <row r="3545" spans="1:56" ht="18">
      <c r="A3545" s="114"/>
      <c r="B3545" s="398" t="s">
        <v>1130</v>
      </c>
      <c r="C3545" s="172"/>
      <c r="D3545" s="173"/>
      <c r="E3545" s="402">
        <f>C3528*C3529*C3531</f>
        <v>1.48916</v>
      </c>
      <c r="F3545" s="390" t="s">
        <v>1124</v>
      </c>
      <c r="G3545" s="196"/>
      <c r="H3545" s="196"/>
      <c r="I3545" s="196"/>
      <c r="J3545" s="114"/>
      <c r="AW3545" s="117"/>
      <c r="AX3545" s="117"/>
      <c r="AY3545" s="117"/>
      <c r="AZ3545" s="117"/>
      <c r="BA3545" s="117"/>
      <c r="BB3545" s="117"/>
      <c r="BC3545" s="117"/>
      <c r="BD3545" s="117"/>
    </row>
    <row r="3546" spans="1:56">
      <c r="A3546" s="114"/>
      <c r="B3546" s="140"/>
      <c r="C3546" s="479"/>
      <c r="D3546" s="479"/>
      <c r="E3546" s="480"/>
      <c r="F3546" s="196"/>
      <c r="G3546" s="479"/>
      <c r="H3546" s="479"/>
      <c r="I3546" s="115"/>
      <c r="J3546" s="114"/>
      <c r="AW3546" s="117"/>
      <c r="AX3546" s="117"/>
      <c r="AY3546" s="117"/>
      <c r="AZ3546" s="117"/>
      <c r="BA3546" s="117"/>
      <c r="BB3546" s="117"/>
      <c r="BC3546" s="117"/>
      <c r="BD3546" s="117"/>
    </row>
    <row r="3547" spans="1:56">
      <c r="A3547" s="114"/>
      <c r="B3547" s="385" t="s">
        <v>1263</v>
      </c>
      <c r="C3547" s="196"/>
      <c r="D3547" s="196"/>
      <c r="E3547" s="196"/>
      <c r="F3547" s="196"/>
      <c r="G3547" s="196"/>
      <c r="H3547" s="196"/>
      <c r="I3547" s="196"/>
      <c r="J3547" s="114"/>
      <c r="AW3547" s="117"/>
      <c r="AX3547" s="117"/>
      <c r="AY3547" s="117"/>
      <c r="AZ3547" s="117"/>
      <c r="BA3547" s="117"/>
      <c r="BB3547" s="117"/>
      <c r="BC3547" s="117"/>
      <c r="BD3547" s="117"/>
    </row>
    <row r="3548" spans="1:56" ht="15">
      <c r="A3548" s="114"/>
      <c r="B3548" s="196"/>
      <c r="C3548" s="196"/>
      <c r="D3548" s="196"/>
      <c r="E3548" s="196"/>
      <c r="F3548" s="196"/>
      <c r="G3548" s="196"/>
      <c r="H3548" s="196"/>
      <c r="I3548" s="196"/>
      <c r="J3548" s="114"/>
      <c r="AW3548" s="117"/>
      <c r="AX3548" s="117"/>
      <c r="AY3548" s="117"/>
      <c r="AZ3548" s="117"/>
      <c r="BA3548" s="117"/>
      <c r="BB3548" s="117"/>
      <c r="BC3548" s="117"/>
      <c r="BD3548" s="117"/>
    </row>
    <row r="3549" spans="1:56" ht="15">
      <c r="A3549" s="114"/>
      <c r="B3549" s="388" t="s">
        <v>1110</v>
      </c>
      <c r="C3549" s="389">
        <v>0.2</v>
      </c>
      <c r="D3549" s="390" t="s">
        <v>10</v>
      </c>
      <c r="E3549" s="196"/>
      <c r="F3549" s="196"/>
      <c r="G3549" s="392"/>
      <c r="H3549" s="393"/>
      <c r="I3549" s="196"/>
      <c r="J3549" s="114"/>
      <c r="AW3549" s="117"/>
      <c r="AX3549" s="117"/>
      <c r="AY3549" s="117"/>
      <c r="AZ3549" s="117"/>
      <c r="BA3549" s="117"/>
      <c r="BB3549" s="117"/>
      <c r="BC3549" s="117"/>
      <c r="BD3549" s="117"/>
    </row>
    <row r="3550" spans="1:56" ht="15">
      <c r="A3550" s="114"/>
      <c r="B3550" s="388" t="s">
        <v>1111</v>
      </c>
      <c r="C3550" s="391">
        <v>5.9</v>
      </c>
      <c r="D3550" s="390" t="s">
        <v>10</v>
      </c>
      <c r="E3550" s="196"/>
      <c r="F3550" s="196"/>
      <c r="G3550" s="392"/>
      <c r="H3550" s="393"/>
      <c r="I3550" s="196"/>
      <c r="J3550" s="114"/>
      <c r="AW3550" s="117"/>
      <c r="AX3550" s="117"/>
      <c r="AY3550" s="117"/>
      <c r="AZ3550" s="117"/>
      <c r="BA3550" s="117"/>
      <c r="BB3550" s="117"/>
      <c r="BC3550" s="117"/>
      <c r="BD3550" s="117"/>
    </row>
    <row r="3551" spans="1:56" ht="15">
      <c r="A3551" s="114"/>
      <c r="B3551" s="388" t="s">
        <v>1112</v>
      </c>
      <c r="C3551" s="389">
        <v>0</v>
      </c>
      <c r="D3551" s="390" t="s">
        <v>10</v>
      </c>
      <c r="E3551" s="196"/>
      <c r="F3551" s="196"/>
      <c r="G3551" s="392"/>
      <c r="H3551" s="393"/>
      <c r="I3551" s="196"/>
      <c r="J3551" s="114"/>
      <c r="AW3551" s="117"/>
      <c r="AX3551" s="117"/>
      <c r="AY3551" s="117"/>
      <c r="AZ3551" s="117"/>
      <c r="BA3551" s="117"/>
      <c r="BB3551" s="117"/>
      <c r="BC3551" s="117"/>
      <c r="BD3551" s="117"/>
    </row>
    <row r="3552" spans="1:56" ht="15">
      <c r="A3552" s="114"/>
      <c r="B3552" s="388" t="s">
        <v>1113</v>
      </c>
      <c r="C3552" s="389">
        <v>1.18</v>
      </c>
      <c r="D3552" s="390" t="s">
        <v>10</v>
      </c>
      <c r="E3552" s="196"/>
      <c r="F3552" s="196"/>
      <c r="G3552" s="392"/>
      <c r="H3552" s="394"/>
      <c r="I3552" s="196"/>
      <c r="J3552" s="114"/>
      <c r="AW3552" s="117"/>
      <c r="AX3552" s="117"/>
      <c r="AY3552" s="117"/>
      <c r="AZ3552" s="117"/>
      <c r="BA3552" s="117"/>
      <c r="BB3552" s="117"/>
      <c r="BC3552" s="117"/>
      <c r="BD3552" s="117"/>
    </row>
    <row r="3553" spans="1:56" ht="15">
      <c r="A3553" s="114"/>
      <c r="B3553" s="388" t="s">
        <v>1117</v>
      </c>
      <c r="C3553" s="389">
        <v>2</v>
      </c>
      <c r="D3553" s="390" t="s">
        <v>1118</v>
      </c>
      <c r="E3553" s="196"/>
      <c r="F3553" s="196"/>
      <c r="G3553" s="392"/>
      <c r="H3553" s="393"/>
      <c r="I3553" s="196"/>
      <c r="J3553" s="114"/>
      <c r="AW3553" s="117"/>
      <c r="AX3553" s="117"/>
      <c r="AY3553" s="117"/>
      <c r="AZ3553" s="117"/>
      <c r="BA3553" s="117"/>
      <c r="BB3553" s="117"/>
      <c r="BC3553" s="117"/>
      <c r="BD3553" s="117"/>
    </row>
    <row r="3554" spans="1:56" ht="15">
      <c r="A3554" s="114"/>
      <c r="B3554" s="392"/>
      <c r="C3554" s="393"/>
      <c r="D3554" s="196"/>
      <c r="E3554" s="196"/>
      <c r="F3554" s="196"/>
      <c r="G3554" s="392"/>
      <c r="H3554" s="393"/>
      <c r="I3554" s="196"/>
      <c r="J3554" s="114"/>
      <c r="AW3554" s="117"/>
      <c r="AX3554" s="117"/>
      <c r="AY3554" s="117"/>
      <c r="AZ3554" s="117"/>
      <c r="BA3554" s="117"/>
      <c r="BB3554" s="117"/>
      <c r="BC3554" s="117"/>
      <c r="BD3554" s="117"/>
    </row>
    <row r="3555" spans="1:56" ht="15">
      <c r="A3555" s="114"/>
      <c r="B3555" s="388" t="s">
        <v>1114</v>
      </c>
      <c r="C3555" s="389">
        <v>0.6</v>
      </c>
      <c r="D3555" s="390" t="s">
        <v>10</v>
      </c>
      <c r="E3555" s="288" t="s">
        <v>1120</v>
      </c>
      <c r="F3555" s="288"/>
      <c r="G3555" s="230"/>
      <c r="H3555" s="395"/>
      <c r="I3555" s="196"/>
      <c r="J3555" s="114"/>
      <c r="AW3555" s="117"/>
      <c r="AX3555" s="117"/>
      <c r="AY3555" s="117"/>
      <c r="AZ3555" s="117"/>
      <c r="BA3555" s="117"/>
      <c r="BB3555" s="117"/>
      <c r="BC3555" s="117"/>
      <c r="BD3555" s="117"/>
    </row>
    <row r="3556" spans="1:56" ht="15">
      <c r="A3556" s="114"/>
      <c r="B3556" s="388" t="s">
        <v>1114</v>
      </c>
      <c r="C3556" s="389">
        <v>0.2</v>
      </c>
      <c r="D3556" s="390" t="s">
        <v>10</v>
      </c>
      <c r="E3556" s="288" t="s">
        <v>1121</v>
      </c>
      <c r="F3556" s="288"/>
      <c r="G3556" s="230"/>
      <c r="H3556" s="395"/>
      <c r="I3556" s="196"/>
      <c r="J3556" s="114"/>
      <c r="AW3556" s="117"/>
      <c r="AX3556" s="117"/>
      <c r="AY3556" s="117"/>
      <c r="AZ3556" s="117"/>
      <c r="BA3556" s="117"/>
      <c r="BB3556" s="117"/>
      <c r="BC3556" s="117"/>
      <c r="BD3556" s="117"/>
    </row>
    <row r="3557" spans="1:56" ht="15">
      <c r="A3557" s="114"/>
      <c r="B3557" s="196"/>
      <c r="C3557" s="196"/>
      <c r="D3557" s="196"/>
      <c r="E3557" s="196"/>
      <c r="F3557" s="196"/>
      <c r="G3557" s="196"/>
      <c r="H3557" s="196"/>
      <c r="I3557" s="196"/>
      <c r="J3557" s="114"/>
      <c r="AW3557" s="117"/>
      <c r="AX3557" s="117"/>
      <c r="AY3557" s="117"/>
      <c r="AZ3557" s="117"/>
      <c r="BA3557" s="117"/>
      <c r="BB3557" s="117"/>
      <c r="BC3557" s="117"/>
      <c r="BD3557" s="117"/>
    </row>
    <row r="3558" spans="1:56" ht="15">
      <c r="A3558" s="114"/>
      <c r="B3558" s="303" t="s">
        <v>1122</v>
      </c>
      <c r="C3558" s="362"/>
      <c r="D3558" s="362"/>
      <c r="E3558" s="196"/>
      <c r="F3558" s="196"/>
      <c r="G3558" s="196"/>
      <c r="H3558" s="196"/>
      <c r="I3558" s="196"/>
      <c r="J3558" s="114"/>
      <c r="AW3558" s="117"/>
      <c r="AX3558" s="117"/>
      <c r="AY3558" s="117"/>
      <c r="AZ3558" s="117"/>
      <c r="BA3558" s="117"/>
      <c r="BB3558" s="117"/>
      <c r="BC3558" s="117"/>
      <c r="BD3558" s="117"/>
    </row>
    <row r="3559" spans="1:56" ht="18">
      <c r="A3559" s="114"/>
      <c r="B3559" s="396" t="s">
        <v>1123</v>
      </c>
      <c r="C3559" s="289"/>
      <c r="D3559" s="290"/>
      <c r="E3559" s="397">
        <f>C3553*(C3555*2*(0.05+C3552+C3551)*C3550)</f>
        <v>17.416800000000002</v>
      </c>
      <c r="F3559" s="390" t="s">
        <v>1124</v>
      </c>
      <c r="G3559" s="196"/>
      <c r="H3559" s="196"/>
      <c r="I3559" s="196"/>
      <c r="J3559" s="114"/>
      <c r="AW3559" s="117"/>
      <c r="AX3559" s="117"/>
      <c r="AY3559" s="117"/>
      <c r="AZ3559" s="117"/>
      <c r="BA3559" s="117"/>
      <c r="BB3559" s="117"/>
      <c r="BC3559" s="117"/>
      <c r="BD3559" s="117"/>
    </row>
    <row r="3560" spans="1:56" ht="18">
      <c r="A3560" s="114"/>
      <c r="B3560" s="398" t="s">
        <v>1125</v>
      </c>
      <c r="C3560" s="172"/>
      <c r="D3560" s="173"/>
      <c r="E3560" s="397">
        <f>E3559-(E3564+E3566)</f>
        <v>15.906400000000001</v>
      </c>
      <c r="F3560" s="390" t="s">
        <v>1124</v>
      </c>
      <c r="G3560" s="196"/>
      <c r="H3560" s="196"/>
      <c r="I3560" s="196"/>
      <c r="J3560" s="114"/>
      <c r="AW3560" s="117"/>
      <c r="AX3560" s="117"/>
      <c r="AY3560" s="117"/>
      <c r="AZ3560" s="117"/>
      <c r="BA3560" s="117"/>
      <c r="BB3560" s="117"/>
      <c r="BC3560" s="117"/>
      <c r="BD3560" s="117"/>
    </row>
    <row r="3561" spans="1:56" ht="15">
      <c r="A3561" s="114"/>
      <c r="B3561" s="399" t="s">
        <v>1126</v>
      </c>
      <c r="C3561" s="317"/>
      <c r="D3561" s="318"/>
      <c r="E3561" s="400">
        <f>(2*C3556)*C3550</f>
        <v>2.3600000000000003</v>
      </c>
      <c r="F3561" s="390" t="s">
        <v>13</v>
      </c>
      <c r="G3561" s="196"/>
      <c r="H3561" s="196"/>
      <c r="I3561" s="196"/>
      <c r="J3561" s="114"/>
      <c r="AW3561" s="117"/>
      <c r="AX3561" s="117"/>
      <c r="AY3561" s="117"/>
      <c r="AZ3561" s="117"/>
      <c r="BA3561" s="117"/>
      <c r="BB3561" s="117"/>
      <c r="BC3561" s="117"/>
      <c r="BD3561" s="117"/>
    </row>
    <row r="3562" spans="1:56" ht="15">
      <c r="A3562" s="114"/>
      <c r="B3562" s="196"/>
      <c r="C3562" s="196"/>
      <c r="D3562" s="196"/>
      <c r="E3562" s="401"/>
      <c r="F3562" s="196"/>
      <c r="G3562" s="196"/>
      <c r="H3562" s="196"/>
      <c r="I3562" s="196"/>
      <c r="J3562" s="114"/>
      <c r="AW3562" s="117"/>
      <c r="AX3562" s="117"/>
      <c r="AY3562" s="117"/>
      <c r="AZ3562" s="117"/>
      <c r="BA3562" s="117"/>
      <c r="BB3562" s="117"/>
      <c r="BC3562" s="117"/>
      <c r="BD3562" s="117"/>
    </row>
    <row r="3563" spans="1:56" ht="15">
      <c r="A3563" s="114"/>
      <c r="B3563" s="303" t="s">
        <v>1127</v>
      </c>
      <c r="C3563" s="196"/>
      <c r="D3563" s="196"/>
      <c r="E3563" s="401"/>
      <c r="F3563" s="196"/>
      <c r="G3563" s="196"/>
      <c r="H3563" s="196"/>
      <c r="I3563" s="196"/>
      <c r="J3563" s="114"/>
      <c r="AW3563" s="117"/>
      <c r="AX3563" s="117"/>
      <c r="AY3563" s="117"/>
      <c r="AZ3563" s="117"/>
      <c r="BA3563" s="117"/>
      <c r="BB3563" s="117"/>
      <c r="BC3563" s="117"/>
      <c r="BD3563" s="117"/>
    </row>
    <row r="3564" spans="1:56" ht="18">
      <c r="A3564" s="114"/>
      <c r="B3564" s="398" t="s">
        <v>1128</v>
      </c>
      <c r="C3564" s="172"/>
      <c r="D3564" s="173"/>
      <c r="E3564" s="402">
        <f>E3561*0.05</f>
        <v>0.11800000000000002</v>
      </c>
      <c r="F3564" s="390" t="s">
        <v>1124</v>
      </c>
      <c r="G3564" s="196"/>
      <c r="H3564" s="196"/>
      <c r="I3564" s="196"/>
      <c r="J3564" s="114"/>
      <c r="AW3564" s="117"/>
      <c r="AX3564" s="117"/>
      <c r="AY3564" s="117"/>
      <c r="AZ3564" s="117"/>
      <c r="BA3564" s="117"/>
      <c r="BB3564" s="117"/>
      <c r="BC3564" s="117"/>
      <c r="BD3564" s="117"/>
    </row>
    <row r="3565" spans="1:56" ht="15">
      <c r="A3565" s="114"/>
      <c r="B3565" s="398" t="s">
        <v>1129</v>
      </c>
      <c r="C3565" s="172"/>
      <c r="D3565" s="173"/>
      <c r="E3565" s="397">
        <f>C3552*2*C3550</f>
        <v>13.923999999999999</v>
      </c>
      <c r="F3565" s="390" t="s">
        <v>13</v>
      </c>
      <c r="G3565" s="393" t="s">
        <v>1108</v>
      </c>
      <c r="H3565" s="196" t="s">
        <v>1131</v>
      </c>
      <c r="I3565" s="393"/>
      <c r="J3565" s="114"/>
      <c r="AW3565" s="117"/>
      <c r="AX3565" s="117"/>
      <c r="AY3565" s="117"/>
      <c r="AZ3565" s="117"/>
      <c r="BA3565" s="117"/>
      <c r="BB3565" s="117"/>
      <c r="BC3565" s="117"/>
      <c r="BD3565" s="117"/>
    </row>
    <row r="3566" spans="1:56" ht="18">
      <c r="A3566" s="114"/>
      <c r="B3566" s="398" t="s">
        <v>1130</v>
      </c>
      <c r="C3566" s="172"/>
      <c r="D3566" s="173"/>
      <c r="E3566" s="402">
        <f>C3549*C3550*C3552</f>
        <v>1.3924000000000001</v>
      </c>
      <c r="F3566" s="390" t="s">
        <v>1124</v>
      </c>
      <c r="G3566" s="196"/>
      <c r="H3566" s="196"/>
      <c r="I3566" s="196"/>
      <c r="J3566" s="114"/>
      <c r="AW3566" s="117"/>
      <c r="AX3566" s="117"/>
      <c r="AY3566" s="117"/>
      <c r="AZ3566" s="117"/>
      <c r="BA3566" s="117"/>
      <c r="BB3566" s="117"/>
      <c r="BC3566" s="117"/>
      <c r="BD3566" s="117"/>
    </row>
    <row r="3567" spans="1:56" ht="15">
      <c r="A3567" s="114"/>
      <c r="B3567" s="293"/>
      <c r="C3567" s="387"/>
      <c r="D3567" s="387"/>
      <c r="E3567" s="387"/>
      <c r="F3567" s="387"/>
      <c r="G3567" s="387"/>
      <c r="H3567" s="386"/>
      <c r="I3567" s="386"/>
      <c r="J3567" s="114"/>
      <c r="AW3567" s="117"/>
      <c r="AX3567" s="117"/>
      <c r="AY3567" s="117"/>
      <c r="AZ3567" s="117"/>
      <c r="BA3567" s="117"/>
      <c r="BB3567" s="117"/>
      <c r="BC3567" s="117"/>
      <c r="BD3567" s="117"/>
    </row>
    <row r="3568" spans="1:56" ht="16.5" thickBot="1">
      <c r="A3568" s="114"/>
      <c r="B3568" s="288"/>
      <c r="C3568" s="6"/>
      <c r="D3568" s="430"/>
      <c r="E3568" s="430"/>
      <c r="F3568" s="331"/>
      <c r="G3568" s="362"/>
      <c r="H3568" s="362"/>
      <c r="I3568" s="362"/>
      <c r="J3568" s="114"/>
      <c r="AW3568" s="117"/>
      <c r="AX3568" s="117"/>
      <c r="AY3568" s="117"/>
      <c r="AZ3568" s="117"/>
      <c r="BA3568" s="117"/>
      <c r="BB3568" s="117"/>
      <c r="BC3568" s="117"/>
      <c r="BD3568" s="117"/>
    </row>
    <row r="3569" spans="1:56">
      <c r="A3569" s="114"/>
      <c r="B3569" s="702" t="s">
        <v>1189</v>
      </c>
      <c r="C3569" s="282"/>
      <c r="D3569" s="282"/>
      <c r="E3569" s="282"/>
      <c r="F3569" s="283"/>
      <c r="G3569" s="362"/>
      <c r="H3569" s="362"/>
      <c r="I3569" s="362"/>
      <c r="J3569" s="114"/>
      <c r="AU3569" s="117"/>
      <c r="AV3569" s="117"/>
      <c r="AW3569" s="117"/>
      <c r="AX3569" s="117"/>
      <c r="AY3569" s="117"/>
      <c r="AZ3569" s="117"/>
      <c r="BA3569" s="117"/>
      <c r="BB3569" s="117"/>
      <c r="BC3569" s="117"/>
      <c r="BD3569" s="117"/>
    </row>
    <row r="3570" spans="1:56" ht="15">
      <c r="A3570" s="114"/>
      <c r="B3570" s="693"/>
      <c r="C3570" s="196"/>
      <c r="D3570" s="196"/>
      <c r="E3570" s="196"/>
      <c r="F3570" s="284"/>
      <c r="G3570" s="362"/>
      <c r="H3570" s="362"/>
      <c r="I3570" s="362"/>
      <c r="J3570" s="114"/>
      <c r="AU3570" s="117"/>
      <c r="AV3570" s="117"/>
      <c r="AW3570" s="117"/>
      <c r="AX3570" s="117"/>
      <c r="AY3570" s="117"/>
      <c r="AZ3570" s="117"/>
      <c r="BA3570" s="117"/>
      <c r="BB3570" s="117"/>
      <c r="BC3570" s="117"/>
      <c r="BD3570" s="117"/>
    </row>
    <row r="3571" spans="1:56" ht="15">
      <c r="A3571" s="114"/>
      <c r="B3571" s="691" t="s">
        <v>1122</v>
      </c>
      <c r="C3571" s="410"/>
      <c r="D3571" s="1008"/>
      <c r="E3571" s="1008"/>
      <c r="F3571" s="424"/>
      <c r="G3571" s="362"/>
      <c r="H3571" s="362"/>
      <c r="I3571" s="362"/>
      <c r="J3571" s="114"/>
      <c r="AU3571" s="117"/>
      <c r="AV3571" s="117"/>
      <c r="AW3571" s="117"/>
      <c r="AX3571" s="117"/>
      <c r="AY3571" s="117"/>
      <c r="AZ3571" s="117"/>
      <c r="BA3571" s="117"/>
      <c r="BB3571" s="117"/>
      <c r="BC3571" s="117"/>
      <c r="BD3571" s="117"/>
    </row>
    <row r="3572" spans="1:56" ht="18">
      <c r="A3572" s="114"/>
      <c r="B3572" s="1011" t="s">
        <v>1123</v>
      </c>
      <c r="C3572" s="172"/>
      <c r="D3572" s="173"/>
      <c r="E3572" s="425">
        <f>SUM(E3559,E3538,E3517,E3474,E3452,E3431,E3402,E3496)</f>
        <v>95.951544676036619</v>
      </c>
      <c r="F3572" s="139" t="s">
        <v>1124</v>
      </c>
      <c r="G3572" s="362"/>
      <c r="H3572" s="362"/>
      <c r="I3572" s="362"/>
      <c r="J3572" s="114"/>
      <c r="AU3572" s="117"/>
      <c r="AV3572" s="117"/>
      <c r="AW3572" s="117"/>
      <c r="AX3572" s="117"/>
      <c r="AY3572" s="117"/>
      <c r="AZ3572" s="117"/>
      <c r="BA3572" s="117"/>
      <c r="BB3572" s="117"/>
      <c r="BC3572" s="117"/>
      <c r="BD3572" s="117"/>
    </row>
    <row r="3573" spans="1:56" ht="18">
      <c r="A3573" s="114"/>
      <c r="B3573" s="1011" t="s">
        <v>1190</v>
      </c>
      <c r="C3573" s="172"/>
      <c r="D3573" s="173"/>
      <c r="E3573" s="425">
        <f>SUM(E3560,E3539,E3518,E3475,E3453,E3432,E3403,E3497)</f>
        <v>88.688434676036607</v>
      </c>
      <c r="F3573" s="139" t="s">
        <v>1124</v>
      </c>
      <c r="G3573" s="362"/>
      <c r="H3573" s="362"/>
      <c r="I3573" s="362"/>
      <c r="J3573" s="114"/>
      <c r="AU3573" s="117"/>
      <c r="AV3573" s="117"/>
      <c r="AW3573" s="117"/>
      <c r="AX3573" s="117"/>
      <c r="AY3573" s="117"/>
      <c r="AZ3573" s="117"/>
      <c r="BA3573" s="117"/>
      <c r="BB3573" s="117"/>
      <c r="BC3573" s="117"/>
      <c r="BD3573" s="117"/>
    </row>
    <row r="3574" spans="1:56" ht="15">
      <c r="A3574" s="114"/>
      <c r="B3574" s="1011" t="s">
        <v>1191</v>
      </c>
      <c r="C3574" s="172"/>
      <c r="D3574" s="173"/>
      <c r="E3574" s="425">
        <f>SUM(E3561,E3540,E3519,E3476,E3454,E3433,E3404,E3498)</f>
        <v>13.808000000000002</v>
      </c>
      <c r="F3574" s="139" t="s">
        <v>13</v>
      </c>
      <c r="G3574" s="362"/>
      <c r="H3574" s="362"/>
      <c r="I3574" s="362"/>
      <c r="J3574" s="114"/>
      <c r="AU3574" s="117"/>
      <c r="AV3574" s="117"/>
      <c r="AW3574" s="117"/>
      <c r="AX3574" s="117"/>
      <c r="AY3574" s="117"/>
      <c r="AZ3574" s="117"/>
      <c r="BA3574" s="117"/>
      <c r="BB3574" s="117"/>
      <c r="BC3574" s="117"/>
      <c r="BD3574" s="117"/>
    </row>
    <row r="3575" spans="1:56" ht="15">
      <c r="A3575" s="114"/>
      <c r="B3575" s="40"/>
      <c r="C3575" s="1008"/>
      <c r="D3575" s="1008"/>
      <c r="E3575" s="401"/>
      <c r="F3575" s="284"/>
      <c r="G3575" s="362"/>
      <c r="H3575" s="362"/>
      <c r="I3575" s="362"/>
      <c r="J3575" s="114"/>
      <c r="AU3575" s="117"/>
      <c r="AV3575" s="117"/>
      <c r="AW3575" s="117"/>
      <c r="AX3575" s="117"/>
      <c r="AY3575" s="117"/>
      <c r="AZ3575" s="117"/>
      <c r="BA3575" s="117"/>
      <c r="BB3575" s="117"/>
      <c r="BC3575" s="117"/>
      <c r="BD3575" s="117"/>
    </row>
    <row r="3576" spans="1:56" ht="18">
      <c r="A3576" s="114"/>
      <c r="B3576" s="1011" t="s">
        <v>317</v>
      </c>
      <c r="C3576" s="172"/>
      <c r="D3576" s="173"/>
      <c r="E3576" s="425">
        <f>SUM(E3564,E3543,E3522,E3479,E3457,E3436,E3414,E3501)</f>
        <v>0.69040000000000012</v>
      </c>
      <c r="F3576" s="139" t="s">
        <v>1124</v>
      </c>
      <c r="G3576" s="196"/>
      <c r="H3576" s="196"/>
      <c r="I3576" s="196"/>
      <c r="J3576" s="114"/>
      <c r="AU3576" s="117"/>
      <c r="AV3576" s="117"/>
      <c r="AW3576" s="117"/>
      <c r="AX3576" s="117"/>
      <c r="AY3576" s="117"/>
      <c r="AZ3576" s="117"/>
      <c r="BA3576" s="117"/>
      <c r="BB3576" s="117"/>
      <c r="BC3576" s="117"/>
      <c r="BD3576" s="117"/>
    </row>
    <row r="3577" spans="1:56" ht="15">
      <c r="A3577" s="114"/>
      <c r="B3577" s="1011" t="s">
        <v>1192</v>
      </c>
      <c r="C3577" s="172"/>
      <c r="D3577" s="173"/>
      <c r="E3577" s="425">
        <f>SUM(E3565,E3544,E3523,E3480,E3458,E3437,E3415,E3502)</f>
        <v>52.563600000000001</v>
      </c>
      <c r="F3577" s="139" t="s">
        <v>13</v>
      </c>
      <c r="G3577" s="196"/>
      <c r="H3577" s="196"/>
      <c r="I3577" s="196"/>
      <c r="J3577" s="114"/>
      <c r="AU3577" s="117"/>
      <c r="AV3577" s="117"/>
      <c r="AW3577" s="117"/>
      <c r="AX3577" s="117"/>
      <c r="AY3577" s="117"/>
      <c r="AZ3577" s="117"/>
      <c r="BA3577" s="117"/>
      <c r="BB3577" s="117"/>
      <c r="BC3577" s="117"/>
      <c r="BD3577" s="117"/>
    </row>
    <row r="3578" spans="1:56" ht="18">
      <c r="A3578" s="114"/>
      <c r="B3578" s="1011" t="s">
        <v>316</v>
      </c>
      <c r="C3578" s="172"/>
      <c r="D3578" s="173"/>
      <c r="E3578" s="425">
        <f>SUM(E3566,E3545,E3524,E3481,E3459,E3438,E3416,E3503)</f>
        <v>6.5727100000000007</v>
      </c>
      <c r="F3578" s="139" t="s">
        <v>1124</v>
      </c>
      <c r="G3578" s="196"/>
      <c r="H3578" s="196"/>
      <c r="I3578" s="196"/>
      <c r="J3578" s="114"/>
      <c r="AU3578" s="117"/>
      <c r="AV3578" s="117"/>
      <c r="AW3578" s="117"/>
      <c r="AX3578" s="117"/>
      <c r="AY3578" s="117"/>
      <c r="AZ3578" s="117"/>
      <c r="BA3578" s="117"/>
      <c r="BB3578" s="117"/>
      <c r="BC3578" s="117"/>
      <c r="BD3578" s="117"/>
    </row>
    <row r="3579" spans="1:56">
      <c r="A3579" s="114"/>
      <c r="B3579" s="690"/>
      <c r="C3579" s="115"/>
      <c r="D3579" s="115"/>
      <c r="E3579" s="115"/>
      <c r="F3579" s="182"/>
      <c r="G3579" s="115"/>
      <c r="H3579" s="115"/>
      <c r="I3579" s="115"/>
      <c r="J3579" s="114"/>
      <c r="AW3579" s="117"/>
      <c r="AX3579" s="117"/>
      <c r="AY3579" s="117"/>
      <c r="AZ3579" s="117"/>
      <c r="BA3579" s="117"/>
      <c r="BB3579" s="117"/>
      <c r="BC3579" s="117"/>
      <c r="BD3579" s="117"/>
    </row>
    <row r="3580" spans="1:56">
      <c r="A3580" s="114"/>
      <c r="B3580" s="690"/>
      <c r="C3580" s="115"/>
      <c r="D3580" s="115"/>
      <c r="E3580" s="115"/>
      <c r="F3580" s="182"/>
      <c r="G3580" s="362"/>
      <c r="H3580" s="362"/>
      <c r="I3580" s="362"/>
      <c r="J3580" s="114"/>
      <c r="AU3580" s="117"/>
      <c r="AV3580" s="117"/>
      <c r="AW3580" s="117"/>
      <c r="AX3580" s="117"/>
      <c r="AY3580" s="117"/>
      <c r="AZ3580" s="117"/>
      <c r="BA3580" s="117"/>
      <c r="BB3580" s="117"/>
      <c r="BC3580" s="117"/>
      <c r="BD3580" s="117"/>
    </row>
    <row r="3581" spans="1:56">
      <c r="A3581" s="114"/>
      <c r="B3581" s="691" t="s">
        <v>1162</v>
      </c>
      <c r="C3581" s="1008"/>
      <c r="D3581" s="452" t="s">
        <v>1194</v>
      </c>
      <c r="E3581" s="452" t="s">
        <v>67</v>
      </c>
      <c r="F3581" s="182"/>
      <c r="G3581" s="362"/>
      <c r="H3581" s="362"/>
      <c r="I3581" s="362"/>
      <c r="J3581" s="114"/>
      <c r="AU3581" s="117"/>
      <c r="AV3581" s="117"/>
      <c r="AW3581" s="117"/>
      <c r="AX3581" s="117"/>
      <c r="AY3581" s="117"/>
      <c r="AZ3581" s="117"/>
      <c r="BA3581" s="117"/>
      <c r="BB3581" s="117"/>
      <c r="BC3581" s="117"/>
      <c r="BD3581" s="117"/>
    </row>
    <row r="3582" spans="1:56">
      <c r="A3582" s="114"/>
      <c r="B3582" s="694" t="s">
        <v>1197</v>
      </c>
      <c r="C3582" s="1008"/>
      <c r="D3582" s="291">
        <f>SUM(E3411)</f>
        <v>68</v>
      </c>
      <c r="E3582" s="427">
        <f>SUM(E3408)</f>
        <v>4</v>
      </c>
      <c r="F3582" s="182"/>
      <c r="G3582" s="362"/>
      <c r="H3582" s="362"/>
      <c r="I3582" s="362"/>
      <c r="J3582" s="114"/>
      <c r="AU3582" s="117"/>
      <c r="AV3582" s="117"/>
      <c r="AW3582" s="117"/>
      <c r="AX3582" s="117"/>
      <c r="AY3582" s="117"/>
      <c r="AZ3582" s="117"/>
      <c r="BA3582" s="117"/>
      <c r="BB3582" s="117"/>
      <c r="BC3582" s="117"/>
      <c r="BD3582" s="117"/>
    </row>
    <row r="3583" spans="1:56">
      <c r="A3583" s="114"/>
      <c r="B3583" s="694"/>
      <c r="C3583" s="1008"/>
      <c r="D3583" s="115"/>
      <c r="E3583" s="115"/>
      <c r="F3583" s="182"/>
      <c r="G3583" s="1008"/>
      <c r="H3583" s="1008"/>
      <c r="I3583" s="1008"/>
      <c r="J3583" s="114"/>
      <c r="AU3583" s="117"/>
      <c r="AV3583" s="117"/>
      <c r="AW3583" s="117"/>
      <c r="AX3583" s="117"/>
      <c r="AY3583" s="117"/>
      <c r="AZ3583" s="117"/>
      <c r="BA3583" s="117"/>
      <c r="BB3583" s="117"/>
      <c r="BC3583" s="117"/>
      <c r="BD3583" s="117"/>
    </row>
    <row r="3584" spans="1:56" ht="15">
      <c r="A3584" s="114"/>
      <c r="B3584" s="691" t="s">
        <v>1198</v>
      </c>
      <c r="C3584" s="196"/>
      <c r="D3584" s="196"/>
      <c r="E3584" s="196"/>
      <c r="F3584" s="284"/>
      <c r="G3584" s="1008"/>
      <c r="H3584" s="1008"/>
      <c r="I3584" s="1008"/>
      <c r="J3584" s="114"/>
      <c r="AU3584" s="117"/>
      <c r="AV3584" s="117"/>
      <c r="AW3584" s="117"/>
      <c r="AX3584" s="117"/>
      <c r="AY3584" s="117"/>
      <c r="AZ3584" s="117"/>
      <c r="BA3584" s="117"/>
      <c r="BB3584" s="117"/>
      <c r="BC3584" s="117"/>
      <c r="BD3584" s="117"/>
    </row>
    <row r="3585" spans="1:56" ht="16.5" thickBot="1">
      <c r="A3585" s="114"/>
      <c r="B3585" s="1023" t="s">
        <v>102</v>
      </c>
      <c r="C3585" s="1016">
        <v>476</v>
      </c>
      <c r="D3585" s="1024" t="s">
        <v>12</v>
      </c>
      <c r="E3585" s="1020" t="s">
        <v>1264</v>
      </c>
      <c r="F3585" s="508"/>
      <c r="G3585" s="362"/>
      <c r="H3585" s="362"/>
      <c r="I3585" s="362"/>
      <c r="J3585" s="114"/>
      <c r="AU3585" s="117"/>
      <c r="AV3585" s="117"/>
      <c r="AW3585" s="117"/>
      <c r="AX3585" s="117"/>
      <c r="AY3585" s="117"/>
      <c r="AZ3585" s="117"/>
      <c r="BA3585" s="117"/>
      <c r="BB3585" s="117"/>
      <c r="BC3585" s="117"/>
      <c r="BD3585" s="117"/>
    </row>
    <row r="3586" spans="1:56" thickBot="1">
      <c r="A3586" s="114"/>
      <c r="B3586" s="196"/>
      <c r="C3586" s="196"/>
      <c r="D3586" s="196"/>
      <c r="E3586" s="196"/>
      <c r="F3586" s="196"/>
      <c r="G3586" s="196"/>
      <c r="H3586" s="196"/>
      <c r="I3586" s="196"/>
      <c r="J3586" s="114"/>
      <c r="AW3586" s="117"/>
      <c r="AX3586" s="117"/>
      <c r="AY3586" s="117"/>
      <c r="AZ3586" s="117"/>
      <c r="BA3586" s="117"/>
      <c r="BB3586" s="117"/>
      <c r="BC3586" s="117"/>
      <c r="BD3586" s="117"/>
    </row>
    <row r="3587" spans="1:56">
      <c r="A3587" s="114"/>
      <c r="B3587" s="702" t="s">
        <v>320</v>
      </c>
      <c r="C3587" s="282"/>
      <c r="D3587" s="282"/>
      <c r="E3587" s="282"/>
      <c r="F3587" s="283"/>
      <c r="G3587" s="196"/>
      <c r="H3587" s="196"/>
      <c r="I3587" s="196"/>
      <c r="J3587" s="114"/>
      <c r="AW3587" s="117"/>
      <c r="AX3587" s="117"/>
      <c r="AY3587" s="117"/>
      <c r="AZ3587" s="117"/>
      <c r="BA3587" s="117"/>
      <c r="BB3587" s="117"/>
      <c r="BC3587" s="117"/>
      <c r="BD3587" s="117"/>
    </row>
    <row r="3588" spans="1:56" ht="15">
      <c r="A3588" s="114"/>
      <c r="B3588" s="693"/>
      <c r="C3588" s="196"/>
      <c r="D3588" s="196"/>
      <c r="E3588" s="196"/>
      <c r="F3588" s="284"/>
      <c r="G3588" s="196"/>
      <c r="H3588" s="196"/>
      <c r="I3588" s="196"/>
      <c r="J3588" s="114"/>
      <c r="AW3588" s="117"/>
      <c r="AX3588" s="117"/>
      <c r="AY3588" s="117"/>
      <c r="AZ3588" s="117"/>
      <c r="BA3588" s="117"/>
      <c r="BB3588" s="117"/>
      <c r="BC3588" s="117"/>
      <c r="BD3588" s="117"/>
    </row>
    <row r="3589" spans="1:56" ht="15">
      <c r="A3589" s="114"/>
      <c r="B3589" s="691" t="s">
        <v>1265</v>
      </c>
      <c r="C3589" s="387"/>
      <c r="D3589" s="387"/>
      <c r="E3589" s="387"/>
      <c r="F3589" s="455"/>
      <c r="G3589" s="387"/>
      <c r="H3589" s="386"/>
      <c r="I3589" s="386"/>
      <c r="J3589" s="114"/>
      <c r="AW3589" s="117"/>
      <c r="AX3589" s="117"/>
      <c r="AY3589" s="117"/>
      <c r="AZ3589" s="117"/>
      <c r="BA3589" s="117"/>
      <c r="BB3589" s="117"/>
      <c r="BC3589" s="117"/>
      <c r="BD3589" s="117"/>
    </row>
    <row r="3590" spans="1:56" thickBot="1">
      <c r="A3590" s="114"/>
      <c r="B3590" s="720" t="s">
        <v>1218</v>
      </c>
      <c r="C3590" s="174"/>
      <c r="D3590" s="176"/>
      <c r="E3590" s="428">
        <f>C3585</f>
        <v>476</v>
      </c>
      <c r="F3590" s="440" t="s">
        <v>12</v>
      </c>
      <c r="G3590" s="362"/>
      <c r="H3590" s="362"/>
      <c r="I3590" s="362"/>
      <c r="J3590" s="114"/>
      <c r="AU3590" s="117"/>
      <c r="AV3590" s="117"/>
      <c r="AW3590" s="117"/>
      <c r="AX3590" s="117"/>
      <c r="AY3590" s="117"/>
      <c r="AZ3590" s="117"/>
      <c r="BA3590" s="117"/>
      <c r="BB3590" s="117"/>
      <c r="BC3590" s="117"/>
      <c r="BD3590" s="117"/>
    </row>
    <row r="3591" spans="1:56">
      <c r="A3591" s="114"/>
      <c r="B3591" s="115"/>
      <c r="C3591" s="115"/>
      <c r="D3591" s="115"/>
      <c r="E3591" s="115"/>
      <c r="F3591" s="115"/>
      <c r="G3591" s="115"/>
      <c r="H3591" s="115"/>
      <c r="I3591" s="115"/>
      <c r="J3591" s="114"/>
      <c r="AW3591" s="117"/>
      <c r="AX3591" s="117"/>
      <c r="AY3591" s="117"/>
      <c r="AZ3591" s="117"/>
      <c r="BA3591" s="117"/>
      <c r="BB3591" s="117"/>
      <c r="BC3591" s="117"/>
      <c r="BD3591" s="117"/>
    </row>
    <row r="3592" spans="1:56" ht="15">
      <c r="A3592" s="114"/>
      <c r="B3592" s="760" t="s">
        <v>2278</v>
      </c>
      <c r="C3592" s="382"/>
      <c r="D3592" s="382"/>
      <c r="E3592" s="382"/>
      <c r="F3592" s="382"/>
      <c r="G3592" s="382"/>
      <c r="H3592" s="383"/>
      <c r="I3592" s="383"/>
      <c r="J3592" s="351"/>
      <c r="AW3592" s="117"/>
      <c r="AX3592" s="117"/>
      <c r="AY3592" s="117"/>
      <c r="AZ3592" s="117"/>
      <c r="BA3592" s="117"/>
      <c r="BB3592" s="117"/>
      <c r="BC3592" s="117"/>
      <c r="BD3592" s="117"/>
    </row>
    <row r="3593" spans="1:56" ht="15">
      <c r="A3593" s="114"/>
      <c r="B3593" s="293"/>
      <c r="C3593" s="387"/>
      <c r="D3593" s="387"/>
      <c r="E3593" s="387"/>
      <c r="F3593" s="387"/>
      <c r="G3593" s="387"/>
      <c r="H3593" s="386"/>
      <c r="I3593" s="386"/>
      <c r="J3593" s="114"/>
      <c r="AW3593" s="117"/>
      <c r="AX3593" s="117"/>
      <c r="AY3593" s="117"/>
      <c r="AZ3593" s="117"/>
      <c r="BA3593" s="117"/>
      <c r="BB3593" s="117"/>
      <c r="BC3593" s="117"/>
      <c r="BD3593" s="117"/>
    </row>
    <row r="3594" spans="1:56" ht="15">
      <c r="A3594" s="114"/>
      <c r="B3594" s="288" t="s">
        <v>1787</v>
      </c>
      <c r="C3594" s="230"/>
      <c r="D3594" s="230"/>
      <c r="E3594" s="384"/>
      <c r="F3594" s="196"/>
      <c r="G3594" s="196"/>
      <c r="H3594" s="196"/>
      <c r="I3594" s="196"/>
      <c r="J3594" s="114"/>
      <c r="AW3594" s="117"/>
      <c r="AX3594" s="117"/>
      <c r="AY3594" s="117"/>
      <c r="AZ3594" s="117"/>
      <c r="BA3594" s="117"/>
      <c r="BB3594" s="117"/>
      <c r="BC3594" s="117"/>
      <c r="BD3594" s="117"/>
    </row>
    <row r="3595" spans="1:56" ht="15">
      <c r="A3595" s="114"/>
      <c r="B3595" s="293"/>
      <c r="C3595" s="387"/>
      <c r="D3595" s="387"/>
      <c r="E3595" s="387"/>
      <c r="F3595" s="387"/>
      <c r="G3595" s="387"/>
      <c r="H3595" s="386"/>
      <c r="I3595" s="386"/>
      <c r="J3595" s="114"/>
      <c r="AW3595" s="117"/>
      <c r="AX3595" s="117"/>
      <c r="AY3595" s="117"/>
      <c r="AZ3595" s="117"/>
      <c r="BA3595" s="117"/>
      <c r="BB3595" s="117"/>
      <c r="BC3595" s="117"/>
      <c r="BD3595" s="117"/>
    </row>
    <row r="3596" spans="1:56">
      <c r="A3596" s="114"/>
      <c r="B3596" s="385" t="s">
        <v>1266</v>
      </c>
      <c r="C3596" s="196"/>
      <c r="D3596" s="196"/>
      <c r="E3596" s="196"/>
      <c r="F3596" s="196"/>
      <c r="G3596" s="196"/>
      <c r="H3596" s="196"/>
      <c r="I3596" s="196"/>
      <c r="J3596" s="114"/>
      <c r="AW3596" s="117"/>
      <c r="AX3596" s="117"/>
      <c r="AY3596" s="117"/>
      <c r="AZ3596" s="117"/>
      <c r="BA3596" s="117"/>
      <c r="BB3596" s="117"/>
      <c r="BC3596" s="117"/>
      <c r="BD3596" s="117"/>
    </row>
    <row r="3597" spans="1:56" ht="15">
      <c r="A3597" s="114"/>
      <c r="B3597" s="196"/>
      <c r="C3597" s="196"/>
      <c r="D3597" s="196"/>
      <c r="E3597" s="196"/>
      <c r="F3597" s="196"/>
      <c r="G3597" s="196"/>
      <c r="H3597" s="196"/>
      <c r="I3597" s="196"/>
      <c r="J3597" s="114"/>
      <c r="AW3597" s="117"/>
      <c r="AX3597" s="117"/>
      <c r="AY3597" s="117"/>
      <c r="AZ3597" s="117"/>
      <c r="BA3597" s="117"/>
      <c r="BB3597" s="117"/>
      <c r="BC3597" s="117"/>
      <c r="BD3597" s="117"/>
    </row>
    <row r="3598" spans="1:56" ht="15">
      <c r="A3598" s="114"/>
      <c r="B3598" s="388" t="s">
        <v>1110</v>
      </c>
      <c r="C3598" s="389">
        <v>0.2</v>
      </c>
      <c r="D3598" s="390" t="s">
        <v>10</v>
      </c>
      <c r="E3598" s="196"/>
      <c r="F3598" s="196"/>
      <c r="G3598" s="392"/>
      <c r="H3598" s="393"/>
      <c r="I3598" s="196"/>
      <c r="J3598" s="114"/>
      <c r="AW3598" s="117"/>
      <c r="AX3598" s="117"/>
      <c r="AY3598" s="117"/>
      <c r="AZ3598" s="117"/>
      <c r="BA3598" s="117"/>
      <c r="BB3598" s="117"/>
      <c r="BC3598" s="117"/>
      <c r="BD3598" s="117"/>
    </row>
    <row r="3599" spans="1:56" ht="15">
      <c r="A3599" s="114"/>
      <c r="B3599" s="388" t="s">
        <v>1111</v>
      </c>
      <c r="C3599" s="391">
        <f>6.475+6.475+12.95+6.35+6.35</f>
        <v>38.6</v>
      </c>
      <c r="D3599" s="390" t="s">
        <v>10</v>
      </c>
      <c r="E3599" s="196"/>
      <c r="F3599" s="196"/>
      <c r="G3599" s="392"/>
      <c r="H3599" s="393"/>
      <c r="I3599" s="196"/>
      <c r="J3599" s="114"/>
      <c r="AW3599" s="117"/>
      <c r="AX3599" s="117"/>
      <c r="AY3599" s="117"/>
      <c r="AZ3599" s="117"/>
      <c r="BA3599" s="117"/>
      <c r="BB3599" s="117"/>
      <c r="BC3599" s="117"/>
      <c r="BD3599" s="117"/>
    </row>
    <row r="3600" spans="1:56" ht="15">
      <c r="A3600" s="114"/>
      <c r="B3600" s="388" t="s">
        <v>1112</v>
      </c>
      <c r="C3600" s="389">
        <v>0.4</v>
      </c>
      <c r="D3600" s="390" t="s">
        <v>10</v>
      </c>
      <c r="E3600" s="196"/>
      <c r="F3600" s="196"/>
      <c r="G3600" s="392"/>
      <c r="H3600" s="393"/>
      <c r="I3600" s="196"/>
      <c r="J3600" s="114"/>
      <c r="AW3600" s="117"/>
      <c r="AX3600" s="117"/>
      <c r="AY3600" s="117"/>
      <c r="AZ3600" s="117"/>
      <c r="BA3600" s="117"/>
      <c r="BB3600" s="117"/>
      <c r="BC3600" s="117"/>
      <c r="BD3600" s="117"/>
    </row>
    <row r="3601" spans="1:56" ht="15">
      <c r="A3601" s="114"/>
      <c r="B3601" s="388" t="s">
        <v>1113</v>
      </c>
      <c r="C3601" s="389">
        <v>0.7</v>
      </c>
      <c r="D3601" s="390" t="s">
        <v>10</v>
      </c>
      <c r="E3601" s="196"/>
      <c r="F3601" s="196"/>
      <c r="G3601" s="392"/>
      <c r="H3601" s="394"/>
      <c r="I3601" s="196"/>
      <c r="J3601" s="114"/>
      <c r="AW3601" s="117"/>
      <c r="AX3601" s="117"/>
      <c r="AY3601" s="117"/>
      <c r="AZ3601" s="117"/>
      <c r="BA3601" s="117"/>
      <c r="BB3601" s="117"/>
      <c r="BC3601" s="117"/>
      <c r="BD3601" s="117"/>
    </row>
    <row r="3602" spans="1:56" ht="15">
      <c r="A3602" s="114"/>
      <c r="B3602" s="388" t="s">
        <v>1117</v>
      </c>
      <c r="C3602" s="389">
        <v>1</v>
      </c>
      <c r="D3602" s="390" t="s">
        <v>1118</v>
      </c>
      <c r="E3602" s="196"/>
      <c r="F3602" s="196"/>
      <c r="G3602" s="392"/>
      <c r="H3602" s="393"/>
      <c r="I3602" s="196"/>
      <c r="J3602" s="114"/>
      <c r="AW3602" s="117"/>
      <c r="AX3602" s="117"/>
      <c r="AY3602" s="117"/>
      <c r="AZ3602" s="117"/>
      <c r="BA3602" s="117"/>
      <c r="BB3602" s="117"/>
      <c r="BC3602" s="117"/>
      <c r="BD3602" s="117"/>
    </row>
    <row r="3603" spans="1:56" ht="15">
      <c r="A3603" s="114"/>
      <c r="B3603" s="392"/>
      <c r="C3603" s="393"/>
      <c r="D3603" s="196"/>
      <c r="E3603" s="196"/>
      <c r="F3603" s="196"/>
      <c r="G3603" s="392"/>
      <c r="H3603" s="393"/>
      <c r="I3603" s="196"/>
      <c r="J3603" s="114"/>
      <c r="AW3603" s="117"/>
      <c r="AX3603" s="117"/>
      <c r="AY3603" s="117"/>
      <c r="AZ3603" s="117"/>
      <c r="BA3603" s="117"/>
      <c r="BB3603" s="117"/>
      <c r="BC3603" s="117"/>
      <c r="BD3603" s="117"/>
    </row>
    <row r="3604" spans="1:56" ht="15">
      <c r="A3604" s="114"/>
      <c r="B3604" s="388" t="s">
        <v>1114</v>
      </c>
      <c r="C3604" s="389">
        <v>0.6</v>
      </c>
      <c r="D3604" s="390" t="s">
        <v>10</v>
      </c>
      <c r="E3604" s="288" t="s">
        <v>1120</v>
      </c>
      <c r="F3604" s="288"/>
      <c r="G3604" s="230"/>
      <c r="H3604" s="395"/>
      <c r="I3604" s="196"/>
      <c r="J3604" s="114"/>
      <c r="AW3604" s="117"/>
      <c r="AX3604" s="117"/>
      <c r="AY3604" s="117"/>
      <c r="AZ3604" s="117"/>
      <c r="BA3604" s="117"/>
      <c r="BB3604" s="117"/>
      <c r="BC3604" s="117"/>
      <c r="BD3604" s="117"/>
    </row>
    <row r="3605" spans="1:56" ht="15">
      <c r="A3605" s="114"/>
      <c r="B3605" s="388" t="s">
        <v>1114</v>
      </c>
      <c r="C3605" s="389">
        <v>0.2</v>
      </c>
      <c r="D3605" s="390" t="s">
        <v>10</v>
      </c>
      <c r="E3605" s="288" t="s">
        <v>1121</v>
      </c>
      <c r="F3605" s="288"/>
      <c r="G3605" s="230"/>
      <c r="H3605" s="395"/>
      <c r="I3605" s="196"/>
      <c r="J3605" s="114"/>
      <c r="AW3605" s="117"/>
      <c r="AX3605" s="117"/>
      <c r="AY3605" s="117"/>
      <c r="AZ3605" s="117"/>
      <c r="BA3605" s="117"/>
      <c r="BB3605" s="117"/>
      <c r="BC3605" s="117"/>
      <c r="BD3605" s="117"/>
    </row>
    <row r="3606" spans="1:56" ht="15">
      <c r="A3606" s="114"/>
      <c r="B3606" s="196"/>
      <c r="C3606" s="196"/>
      <c r="D3606" s="196"/>
      <c r="E3606" s="196"/>
      <c r="F3606" s="196"/>
      <c r="G3606" s="196"/>
      <c r="H3606" s="196"/>
      <c r="I3606" s="196"/>
      <c r="J3606" s="114"/>
      <c r="AW3606" s="117"/>
      <c r="AX3606" s="117"/>
      <c r="AY3606" s="117"/>
      <c r="AZ3606" s="117"/>
      <c r="BA3606" s="117"/>
      <c r="BB3606" s="117"/>
      <c r="BC3606" s="117"/>
      <c r="BD3606" s="117"/>
    </row>
    <row r="3607" spans="1:56" ht="15">
      <c r="A3607" s="114"/>
      <c r="B3607" s="303" t="s">
        <v>1122</v>
      </c>
      <c r="C3607" s="362"/>
      <c r="D3607" s="362"/>
      <c r="E3607" s="196"/>
      <c r="F3607" s="196"/>
      <c r="G3607" s="196"/>
      <c r="H3607" s="196"/>
      <c r="I3607" s="196"/>
      <c r="J3607" s="114"/>
      <c r="AW3607" s="117"/>
      <c r="AX3607" s="117"/>
      <c r="AY3607" s="117"/>
      <c r="AZ3607" s="117"/>
      <c r="BA3607" s="117"/>
      <c r="BB3607" s="117"/>
      <c r="BC3607" s="117"/>
      <c r="BD3607" s="117"/>
    </row>
    <row r="3608" spans="1:56" ht="18">
      <c r="A3608" s="114"/>
      <c r="B3608" s="396" t="s">
        <v>1123</v>
      </c>
      <c r="C3608" s="289"/>
      <c r="D3608" s="290"/>
      <c r="E3608" s="397">
        <f>C3602*(C3604*2*(0.05+C3601+C3600)*C3599)</f>
        <v>53.268000000000001</v>
      </c>
      <c r="F3608" s="390" t="s">
        <v>1124</v>
      </c>
      <c r="G3608" s="196"/>
      <c r="H3608" s="196"/>
      <c r="I3608" s="196"/>
      <c r="J3608" s="114"/>
      <c r="AW3608" s="117"/>
      <c r="AX3608" s="117"/>
      <c r="AY3608" s="117"/>
      <c r="AZ3608" s="117"/>
      <c r="BA3608" s="117"/>
      <c r="BB3608" s="117"/>
      <c r="BC3608" s="117"/>
      <c r="BD3608" s="117"/>
    </row>
    <row r="3609" spans="1:56" ht="18">
      <c r="A3609" s="114"/>
      <c r="B3609" s="398" t="s">
        <v>1125</v>
      </c>
      <c r="C3609" s="172"/>
      <c r="D3609" s="173"/>
      <c r="E3609" s="397">
        <f>E3608-(E3613+E3615)</f>
        <v>47.091999999999999</v>
      </c>
      <c r="F3609" s="390" t="s">
        <v>1124</v>
      </c>
      <c r="G3609" s="196"/>
      <c r="H3609" s="196"/>
      <c r="I3609" s="196"/>
      <c r="J3609" s="114"/>
      <c r="AW3609" s="117"/>
      <c r="AX3609" s="117"/>
      <c r="AY3609" s="117"/>
      <c r="AZ3609" s="117"/>
      <c r="BA3609" s="117"/>
      <c r="BB3609" s="117"/>
      <c r="BC3609" s="117"/>
      <c r="BD3609" s="117"/>
    </row>
    <row r="3610" spans="1:56" ht="15">
      <c r="A3610" s="114"/>
      <c r="B3610" s="399" t="s">
        <v>1126</v>
      </c>
      <c r="C3610" s="317"/>
      <c r="D3610" s="318"/>
      <c r="E3610" s="400">
        <f>(2*C3605)*C3599</f>
        <v>15.440000000000001</v>
      </c>
      <c r="F3610" s="390" t="s">
        <v>13</v>
      </c>
      <c r="G3610" s="196"/>
      <c r="H3610" s="196"/>
      <c r="I3610" s="196"/>
      <c r="J3610" s="114"/>
      <c r="AW3610" s="117"/>
      <c r="AX3610" s="117"/>
      <c r="AY3610" s="117"/>
      <c r="AZ3610" s="117"/>
      <c r="BA3610" s="117"/>
      <c r="BB3610" s="117"/>
      <c r="BC3610" s="117"/>
      <c r="BD3610" s="117"/>
    </row>
    <row r="3611" spans="1:56" ht="15">
      <c r="A3611" s="114"/>
      <c r="B3611" s="196"/>
      <c r="C3611" s="196"/>
      <c r="D3611" s="196"/>
      <c r="E3611" s="401"/>
      <c r="F3611" s="196"/>
      <c r="G3611" s="196"/>
      <c r="H3611" s="196"/>
      <c r="I3611" s="196"/>
      <c r="J3611" s="114"/>
      <c r="AW3611" s="117"/>
      <c r="AX3611" s="117"/>
      <c r="AY3611" s="117"/>
      <c r="AZ3611" s="117"/>
      <c r="BA3611" s="117"/>
      <c r="BB3611" s="117"/>
      <c r="BC3611" s="117"/>
      <c r="BD3611" s="117"/>
    </row>
    <row r="3612" spans="1:56" ht="15">
      <c r="A3612" s="114"/>
      <c r="B3612" s="303" t="s">
        <v>1127</v>
      </c>
      <c r="C3612" s="196"/>
      <c r="D3612" s="196"/>
      <c r="E3612" s="401"/>
      <c r="F3612" s="196"/>
      <c r="G3612" s="196"/>
      <c r="H3612" s="196"/>
      <c r="I3612" s="196"/>
      <c r="J3612" s="114"/>
      <c r="AW3612" s="117"/>
      <c r="AX3612" s="117"/>
      <c r="AY3612" s="117"/>
      <c r="AZ3612" s="117"/>
      <c r="BA3612" s="117"/>
      <c r="BB3612" s="117"/>
      <c r="BC3612" s="117"/>
      <c r="BD3612" s="117"/>
    </row>
    <row r="3613" spans="1:56" ht="18">
      <c r="A3613" s="114"/>
      <c r="B3613" s="398" t="s">
        <v>1128</v>
      </c>
      <c r="C3613" s="172"/>
      <c r="D3613" s="173"/>
      <c r="E3613" s="402">
        <f>E3610*0.05</f>
        <v>0.77200000000000013</v>
      </c>
      <c r="F3613" s="390" t="s">
        <v>1124</v>
      </c>
      <c r="G3613" s="196"/>
      <c r="H3613" s="196"/>
      <c r="I3613" s="196"/>
      <c r="J3613" s="114"/>
      <c r="AW3613" s="117"/>
      <c r="AX3613" s="117"/>
      <c r="AY3613" s="117"/>
      <c r="AZ3613" s="117"/>
      <c r="BA3613" s="117"/>
      <c r="BB3613" s="117"/>
      <c r="BC3613" s="117"/>
      <c r="BD3613" s="117"/>
    </row>
    <row r="3614" spans="1:56" ht="15">
      <c r="A3614" s="114"/>
      <c r="B3614" s="398" t="s">
        <v>1129</v>
      </c>
      <c r="C3614" s="172"/>
      <c r="D3614" s="173"/>
      <c r="E3614" s="397">
        <f>C3601*2*C3599</f>
        <v>54.04</v>
      </c>
      <c r="F3614" s="390" t="s">
        <v>13</v>
      </c>
      <c r="G3614" s="393" t="s">
        <v>1108</v>
      </c>
      <c r="H3614" s="196" t="s">
        <v>1131</v>
      </c>
      <c r="I3614" s="393"/>
      <c r="J3614" s="114"/>
      <c r="AW3614" s="117"/>
      <c r="AX3614" s="117"/>
      <c r="AY3614" s="117"/>
      <c r="AZ3614" s="117"/>
      <c r="BA3614" s="117"/>
      <c r="BB3614" s="117"/>
      <c r="BC3614" s="117"/>
      <c r="BD3614" s="117"/>
    </row>
    <row r="3615" spans="1:56" ht="18">
      <c r="A3615" s="114"/>
      <c r="B3615" s="398" t="s">
        <v>1130</v>
      </c>
      <c r="C3615" s="172"/>
      <c r="D3615" s="173"/>
      <c r="E3615" s="402">
        <f>C3598*C3599*C3601</f>
        <v>5.4039999999999999</v>
      </c>
      <c r="F3615" s="390" t="s">
        <v>1124</v>
      </c>
      <c r="G3615" s="196"/>
      <c r="H3615" s="196"/>
      <c r="I3615" s="196"/>
      <c r="J3615" s="114"/>
      <c r="AW3615" s="117"/>
      <c r="AX3615" s="117"/>
      <c r="AY3615" s="117"/>
      <c r="AZ3615" s="117"/>
      <c r="BA3615" s="117"/>
      <c r="BB3615" s="117"/>
      <c r="BC3615" s="117"/>
      <c r="BD3615" s="117"/>
    </row>
    <row r="3616" spans="1:56" ht="15">
      <c r="A3616" s="114"/>
      <c r="B3616" s="288"/>
      <c r="C3616" s="230"/>
      <c r="D3616" s="230"/>
      <c r="E3616" s="384"/>
      <c r="F3616" s="196"/>
      <c r="G3616" s="196"/>
      <c r="H3616" s="196"/>
      <c r="I3616" s="196"/>
      <c r="J3616" s="114"/>
      <c r="AW3616" s="117"/>
      <c r="AX3616" s="117"/>
      <c r="AY3616" s="117"/>
      <c r="AZ3616" s="117"/>
      <c r="BA3616" s="117"/>
      <c r="BB3616" s="117"/>
      <c r="BC3616" s="117"/>
      <c r="BD3616" s="117"/>
    </row>
    <row r="3617" spans="1:56" ht="15">
      <c r="A3617" s="114"/>
      <c r="B3617" s="288"/>
      <c r="C3617" s="230"/>
      <c r="D3617" s="230"/>
      <c r="E3617" s="384"/>
      <c r="F3617" s="196"/>
      <c r="G3617" s="196"/>
      <c r="H3617" s="196"/>
      <c r="I3617" s="196"/>
      <c r="J3617" s="114"/>
      <c r="AW3617" s="117"/>
      <c r="AX3617" s="117"/>
      <c r="AY3617" s="117"/>
      <c r="AZ3617" s="117"/>
      <c r="BA3617" s="117"/>
      <c r="BB3617" s="117"/>
      <c r="BC3617" s="117"/>
      <c r="BD3617" s="117"/>
    </row>
    <row r="3618" spans="1:56" customFormat="1" ht="12.75">
      <c r="B3618" s="362"/>
      <c r="C3618" s="362"/>
      <c r="D3618" s="362"/>
      <c r="E3618" s="362"/>
      <c r="F3618" s="362"/>
      <c r="G3618" s="362"/>
      <c r="H3618" s="362"/>
      <c r="I3618" s="362"/>
      <c r="J3618" s="362"/>
    </row>
    <row r="3619" spans="1:56">
      <c r="A3619" s="114"/>
      <c r="B3619" s="385" t="s">
        <v>1223</v>
      </c>
      <c r="C3619" s="196"/>
      <c r="D3619" s="196"/>
      <c r="E3619" s="196"/>
      <c r="F3619" s="196"/>
      <c r="G3619" s="196"/>
      <c r="H3619" s="196"/>
      <c r="I3619" s="196"/>
      <c r="J3619" s="196"/>
      <c r="AX3619" s="117"/>
      <c r="AY3619" s="117"/>
      <c r="AZ3619" s="117"/>
      <c r="BA3619" s="117"/>
      <c r="BB3619" s="117"/>
      <c r="BC3619" s="117"/>
      <c r="BD3619" s="117"/>
    </row>
    <row r="3620" spans="1:56" ht="15">
      <c r="A3620" s="114"/>
      <c r="B3620" s="362"/>
      <c r="C3620" s="362"/>
      <c r="D3620" s="362"/>
      <c r="E3620" s="362"/>
      <c r="F3620" s="404"/>
      <c r="G3620" s="404"/>
      <c r="H3620" s="404"/>
      <c r="I3620" s="404"/>
      <c r="J3620" s="404"/>
      <c r="AX3620" s="117"/>
      <c r="AY3620" s="117"/>
      <c r="AZ3620" s="117"/>
      <c r="BA3620" s="117"/>
      <c r="BB3620" s="117"/>
      <c r="BC3620" s="117"/>
      <c r="BD3620" s="117"/>
    </row>
    <row r="3621" spans="1:56" ht="18">
      <c r="A3621" s="114"/>
      <c r="B3621" s="388" t="s">
        <v>1141</v>
      </c>
      <c r="C3621" s="389">
        <v>0.4</v>
      </c>
      <c r="D3621" s="390" t="s">
        <v>10</v>
      </c>
      <c r="E3621" s="196"/>
      <c r="F3621" s="405"/>
      <c r="G3621" s="406" t="s">
        <v>1142</v>
      </c>
      <c r="H3621" s="407">
        <f>C3621*C3622</f>
        <v>0.1</v>
      </c>
      <c r="I3621" s="405" t="s">
        <v>1143</v>
      </c>
      <c r="J3621" s="405"/>
      <c r="AX3621" s="117"/>
      <c r="AY3621" s="117"/>
      <c r="AZ3621" s="117"/>
      <c r="BA3621" s="117"/>
      <c r="BB3621" s="117"/>
      <c r="BC3621" s="117"/>
      <c r="BD3621" s="117"/>
    </row>
    <row r="3622" spans="1:56" ht="15">
      <c r="A3622" s="114"/>
      <c r="B3622" s="388" t="s">
        <v>1144</v>
      </c>
      <c r="C3622" s="389">
        <v>0.25</v>
      </c>
      <c r="D3622" s="390" t="s">
        <v>10</v>
      </c>
      <c r="E3622" s="196"/>
      <c r="F3622" s="405"/>
      <c r="G3622" s="406" t="e">
        <f>TEXT(C3629,"tg 0°=")</f>
        <v>#VALUE!</v>
      </c>
      <c r="H3622" s="408">
        <f>TAN(3.14159265359*C3629/180)</f>
        <v>1.732050807569153</v>
      </c>
      <c r="I3622" s="405"/>
      <c r="J3622" s="405"/>
      <c r="AX3622" s="117"/>
      <c r="AY3622" s="117"/>
      <c r="AZ3622" s="117"/>
      <c r="BA3622" s="117"/>
      <c r="BB3622" s="117"/>
      <c r="BC3622" s="117"/>
      <c r="BD3622" s="117"/>
    </row>
    <row r="3623" spans="1:56" ht="15">
      <c r="A3623" s="114"/>
      <c r="B3623" s="388" t="s">
        <v>1145</v>
      </c>
      <c r="C3623" s="389">
        <v>1.25</v>
      </c>
      <c r="D3623" s="390" t="s">
        <v>10</v>
      </c>
      <c r="E3623" s="196"/>
      <c r="F3623" s="405"/>
      <c r="G3623" s="406"/>
      <c r="H3623" s="407"/>
      <c r="I3623" s="405"/>
      <c r="J3623" s="405"/>
      <c r="AX3623" s="117"/>
      <c r="AY3623" s="117"/>
      <c r="AZ3623" s="117"/>
      <c r="BA3623" s="117"/>
      <c r="BB3623" s="117"/>
      <c r="BC3623" s="117"/>
      <c r="BD3623" s="117"/>
    </row>
    <row r="3624" spans="1:56" ht="18">
      <c r="A3624" s="114"/>
      <c r="B3624" s="388" t="s">
        <v>1146</v>
      </c>
      <c r="C3624" s="389">
        <v>0.5</v>
      </c>
      <c r="D3624" s="390" t="s">
        <v>10</v>
      </c>
      <c r="E3624" s="196"/>
      <c r="F3624" s="405"/>
      <c r="G3624" s="406" t="s">
        <v>1142</v>
      </c>
      <c r="H3624" s="409">
        <f>(C3623+2*C3631+((C3625+C3626+0.05)/H3622)*2)*(C3624+2*C3631+((C3625+C3626+0.05)/H3622)*2)</f>
        <v>11.25749845793057</v>
      </c>
      <c r="I3624" s="405" t="s">
        <v>1143</v>
      </c>
      <c r="J3624" s="405"/>
      <c r="AX3624" s="117"/>
      <c r="AY3624" s="117"/>
      <c r="AZ3624" s="117"/>
      <c r="BA3624" s="117"/>
      <c r="BB3624" s="117"/>
      <c r="BC3624" s="117"/>
      <c r="BD3624" s="117"/>
    </row>
    <row r="3625" spans="1:56" ht="18">
      <c r="A3625" s="114"/>
      <c r="B3625" s="388" t="s">
        <v>1112</v>
      </c>
      <c r="C3625" s="389">
        <v>0.4</v>
      </c>
      <c r="D3625" s="390" t="s">
        <v>10</v>
      </c>
      <c r="E3625" s="196"/>
      <c r="F3625" s="405"/>
      <c r="G3625" s="406" t="s">
        <v>1147</v>
      </c>
      <c r="H3625" s="409">
        <f>(C3623+2*C3631)*(C3624+2*C3631)</f>
        <v>3.375</v>
      </c>
      <c r="I3625" s="405" t="s">
        <v>1143</v>
      </c>
      <c r="J3625" s="405"/>
      <c r="AX3625" s="117"/>
      <c r="AY3625" s="117"/>
      <c r="AZ3625" s="117"/>
      <c r="BA3625" s="117"/>
      <c r="BB3625" s="117"/>
      <c r="BC3625" s="117"/>
      <c r="BD3625" s="117"/>
    </row>
    <row r="3626" spans="1:56" ht="15">
      <c r="A3626" s="114"/>
      <c r="B3626" s="388" t="s">
        <v>1113</v>
      </c>
      <c r="C3626" s="389">
        <v>0.85</v>
      </c>
      <c r="D3626" s="390" t="s">
        <v>10</v>
      </c>
      <c r="E3626" s="196"/>
      <c r="F3626" s="405"/>
      <c r="G3626" s="406"/>
      <c r="H3626" s="407"/>
      <c r="I3626" s="405"/>
      <c r="J3626" s="405"/>
      <c r="AX3626" s="117"/>
      <c r="AY3626" s="117"/>
      <c r="AZ3626" s="117"/>
      <c r="BA3626" s="117"/>
      <c r="BB3626" s="117"/>
      <c r="BC3626" s="117"/>
      <c r="BD3626" s="117"/>
    </row>
    <row r="3627" spans="1:56" ht="15">
      <c r="A3627" s="114"/>
      <c r="B3627" s="388" t="s">
        <v>1117</v>
      </c>
      <c r="C3627" s="391">
        <v>6</v>
      </c>
      <c r="D3627" s="390" t="s">
        <v>1118</v>
      </c>
      <c r="E3627" s="196"/>
      <c r="F3627" s="405"/>
      <c r="G3627" s="406"/>
      <c r="H3627" s="407"/>
      <c r="I3627" s="405"/>
      <c r="J3627" s="405"/>
      <c r="AX3627" s="117"/>
      <c r="AY3627" s="117"/>
      <c r="AZ3627" s="117"/>
      <c r="BA3627" s="117"/>
      <c r="BB3627" s="117"/>
      <c r="BC3627" s="117"/>
      <c r="BD3627" s="117"/>
    </row>
    <row r="3628" spans="1:56" ht="15">
      <c r="A3628" s="114"/>
      <c r="B3628" s="196" t="s">
        <v>1148</v>
      </c>
      <c r="C3628" s="393"/>
      <c r="D3628" s="196"/>
      <c r="E3628" s="196"/>
      <c r="F3628" s="405"/>
      <c r="G3628" s="406"/>
      <c r="H3628" s="407"/>
      <c r="I3628" s="405"/>
      <c r="J3628" s="405"/>
      <c r="AX3628" s="117"/>
      <c r="AY3628" s="117"/>
      <c r="AZ3628" s="117"/>
      <c r="BA3628" s="117"/>
      <c r="BB3628" s="117"/>
      <c r="BC3628" s="117"/>
      <c r="BD3628" s="117"/>
    </row>
    <row r="3629" spans="1:56" ht="15">
      <c r="A3629" s="114"/>
      <c r="B3629" s="388" t="s">
        <v>1149</v>
      </c>
      <c r="C3629" s="389">
        <v>60</v>
      </c>
      <c r="D3629" s="390" t="s">
        <v>1150</v>
      </c>
      <c r="E3629" s="196"/>
      <c r="F3629" s="196"/>
      <c r="G3629" s="392"/>
      <c r="H3629" s="393"/>
      <c r="I3629" s="196"/>
      <c r="J3629" s="196"/>
      <c r="AX3629" s="117"/>
      <c r="AY3629" s="117"/>
      <c r="AZ3629" s="117"/>
      <c r="BA3629" s="117"/>
      <c r="BB3629" s="117"/>
      <c r="BC3629" s="117"/>
      <c r="BD3629" s="117"/>
    </row>
    <row r="3630" spans="1:56" ht="15">
      <c r="A3630" s="114"/>
      <c r="B3630" s="362"/>
      <c r="C3630" s="196"/>
      <c r="D3630" s="196"/>
      <c r="E3630" s="196"/>
      <c r="F3630" s="196"/>
      <c r="G3630" s="362"/>
      <c r="H3630" s="362"/>
      <c r="I3630" s="362"/>
      <c r="J3630" s="196"/>
      <c r="AX3630" s="117"/>
      <c r="AY3630" s="117"/>
      <c r="AZ3630" s="117"/>
      <c r="BA3630" s="117"/>
      <c r="BB3630" s="117"/>
      <c r="BC3630" s="117"/>
      <c r="BD3630" s="117"/>
    </row>
    <row r="3631" spans="1:56" ht="15">
      <c r="A3631" s="114"/>
      <c r="B3631" s="388" t="s">
        <v>1114</v>
      </c>
      <c r="C3631" s="389">
        <v>0.5</v>
      </c>
      <c r="D3631" s="390" t="s">
        <v>10</v>
      </c>
      <c r="E3631" s="288" t="s">
        <v>1120</v>
      </c>
      <c r="F3631" s="196"/>
      <c r="G3631" s="196" t="s">
        <v>1131</v>
      </c>
      <c r="H3631" s="114"/>
      <c r="I3631" s="362"/>
      <c r="J3631" s="196"/>
      <c r="AX3631" s="117"/>
      <c r="AY3631" s="117"/>
      <c r="AZ3631" s="117"/>
      <c r="BA3631" s="117"/>
      <c r="BB3631" s="117"/>
      <c r="BC3631" s="117"/>
      <c r="BD3631" s="117"/>
    </row>
    <row r="3632" spans="1:56" ht="15">
      <c r="A3632" s="114"/>
      <c r="B3632" s="388" t="s">
        <v>1114</v>
      </c>
      <c r="C3632" s="389">
        <v>0.1</v>
      </c>
      <c r="D3632" s="390" t="s">
        <v>10</v>
      </c>
      <c r="E3632" s="288" t="s">
        <v>1121</v>
      </c>
      <c r="F3632" s="196"/>
      <c r="G3632" s="196"/>
      <c r="H3632" s="196"/>
      <c r="I3632" s="196"/>
      <c r="J3632" s="196"/>
      <c r="AX3632" s="117"/>
      <c r="AY3632" s="117"/>
      <c r="AZ3632" s="117"/>
      <c r="BA3632" s="117"/>
      <c r="BB3632" s="117"/>
      <c r="BC3632" s="117"/>
      <c r="BD3632" s="117"/>
    </row>
    <row r="3633" spans="1:56" ht="15">
      <c r="A3633" s="114"/>
      <c r="B3633" s="362"/>
      <c r="C3633" s="362"/>
      <c r="D3633" s="362"/>
      <c r="E3633" s="362"/>
      <c r="F3633" s="362"/>
      <c r="G3633" s="114"/>
      <c r="H3633" s="362"/>
      <c r="I3633" s="196"/>
      <c r="J3633" s="196"/>
      <c r="AX3633" s="117"/>
      <c r="AY3633" s="117"/>
      <c r="AZ3633" s="117"/>
      <c r="BA3633" s="117"/>
      <c r="BB3633" s="117"/>
      <c r="BC3633" s="117"/>
      <c r="BD3633" s="117"/>
    </row>
    <row r="3634" spans="1:56" ht="15">
      <c r="A3634" s="114"/>
      <c r="B3634" s="303" t="s">
        <v>1122</v>
      </c>
      <c r="C3634" s="362"/>
      <c r="D3634" s="362"/>
      <c r="E3634" s="362"/>
      <c r="F3634" s="362"/>
      <c r="G3634" s="196"/>
      <c r="H3634" s="196"/>
      <c r="I3634" s="196"/>
      <c r="J3634" s="196"/>
      <c r="AX3634" s="117"/>
      <c r="AY3634" s="117"/>
      <c r="AZ3634" s="117"/>
      <c r="BA3634" s="117"/>
      <c r="BB3634" s="117"/>
      <c r="BC3634" s="117"/>
      <c r="BD3634" s="117"/>
    </row>
    <row r="3635" spans="1:56" ht="18">
      <c r="A3635" s="114"/>
      <c r="B3635" s="398" t="s">
        <v>1123</v>
      </c>
      <c r="C3635" s="172"/>
      <c r="D3635" s="173"/>
      <c r="E3635" s="397">
        <f>C3627*((H3625+H3624)/2)*(C3625+C3626+0.05)</f>
        <v>57.066743985929229</v>
      </c>
      <c r="F3635" s="390" t="s">
        <v>1124</v>
      </c>
      <c r="G3635" s="196"/>
      <c r="H3635" s="362"/>
      <c r="I3635" s="362"/>
      <c r="J3635" s="362"/>
      <c r="AX3635" s="117"/>
      <c r="AY3635" s="117"/>
      <c r="AZ3635" s="117"/>
      <c r="BA3635" s="117"/>
      <c r="BB3635" s="117"/>
      <c r="BC3635" s="117"/>
      <c r="BD3635" s="117"/>
    </row>
    <row r="3636" spans="1:56" ht="18">
      <c r="A3636" s="114"/>
      <c r="B3636" s="398" t="s">
        <v>1125</v>
      </c>
      <c r="C3636" s="172"/>
      <c r="D3636" s="173"/>
      <c r="E3636" s="400">
        <f>E3635-(E3647+E3649)</f>
        <v>53.574743985929231</v>
      </c>
      <c r="F3636" s="390" t="s">
        <v>1124</v>
      </c>
      <c r="G3636" s="196"/>
      <c r="H3636" s="196"/>
      <c r="I3636" s="196"/>
      <c r="J3636" s="196"/>
      <c r="AX3636" s="117"/>
      <c r="AY3636" s="117"/>
      <c r="AZ3636" s="117"/>
      <c r="BA3636" s="117"/>
      <c r="BB3636" s="117"/>
      <c r="BC3636" s="117"/>
      <c r="BD3636" s="117"/>
    </row>
    <row r="3637" spans="1:56" ht="15">
      <c r="A3637" s="114"/>
      <c r="B3637" s="398" t="s">
        <v>1126</v>
      </c>
      <c r="C3637" s="172"/>
      <c r="D3637" s="173"/>
      <c r="E3637" s="400">
        <f>((C3623+2*C3632)*(C3624+2*C3632))*C3627</f>
        <v>6.09</v>
      </c>
      <c r="F3637" s="390" t="s">
        <v>13</v>
      </c>
      <c r="G3637" s="362"/>
      <c r="H3637" s="362"/>
      <c r="I3637" s="362"/>
      <c r="J3637" s="362"/>
      <c r="AX3637" s="117"/>
      <c r="AY3637" s="117"/>
      <c r="AZ3637" s="117"/>
      <c r="BA3637" s="117"/>
      <c r="BB3637" s="117"/>
      <c r="BC3637" s="117"/>
      <c r="BD3637" s="117"/>
    </row>
    <row r="3638" spans="1:56" ht="15">
      <c r="A3638" s="114"/>
      <c r="B3638" s="362"/>
      <c r="C3638" s="362"/>
      <c r="D3638" s="362"/>
      <c r="E3638" s="401"/>
      <c r="F3638" s="196"/>
      <c r="G3638" s="362"/>
      <c r="H3638" s="362"/>
      <c r="I3638" s="362"/>
      <c r="J3638" s="362"/>
      <c r="AX3638" s="117"/>
      <c r="AY3638" s="117"/>
      <c r="AZ3638" s="117"/>
      <c r="BA3638" s="117"/>
      <c r="BB3638" s="117"/>
      <c r="BC3638" s="117"/>
      <c r="BD3638" s="117"/>
    </row>
    <row r="3639" spans="1:56" ht="15">
      <c r="A3639" s="114"/>
      <c r="B3639" s="303" t="s">
        <v>1162</v>
      </c>
      <c r="C3639" s="362"/>
      <c r="D3639" s="362"/>
      <c r="E3639" s="410"/>
      <c r="F3639" s="362"/>
      <c r="G3639" s="362"/>
      <c r="H3639" s="362"/>
      <c r="I3639" s="362"/>
      <c r="J3639" s="362"/>
      <c r="AX3639" s="117"/>
      <c r="AY3639" s="117"/>
      <c r="AZ3639" s="117"/>
      <c r="BA3639" s="117"/>
      <c r="BB3639" s="117"/>
      <c r="BC3639" s="117"/>
      <c r="BD3639" s="117"/>
    </row>
    <row r="3640" spans="1:56" ht="15">
      <c r="A3640" s="114"/>
      <c r="B3640" s="398" t="s">
        <v>1152</v>
      </c>
      <c r="C3640" s="398"/>
      <c r="D3640" s="366"/>
      <c r="E3640" s="411">
        <v>2</v>
      </c>
      <c r="F3640" s="390" t="s">
        <v>1153</v>
      </c>
      <c r="G3640" s="362"/>
      <c r="H3640" s="362"/>
      <c r="I3640" s="362"/>
      <c r="J3640" s="362"/>
      <c r="AX3640" s="117"/>
      <c r="AY3640" s="117"/>
      <c r="AZ3640" s="117"/>
      <c r="BA3640" s="117"/>
      <c r="BB3640" s="117"/>
      <c r="BC3640" s="117"/>
      <c r="BD3640" s="117"/>
    </row>
    <row r="3641" spans="1:56" ht="15">
      <c r="A3641" s="114"/>
      <c r="B3641" s="399" t="s">
        <v>1154</v>
      </c>
      <c r="C3641" s="31"/>
      <c r="D3641" s="32"/>
      <c r="E3641" s="412">
        <f>C3627*E3640</f>
        <v>12</v>
      </c>
      <c r="F3641" s="390" t="s">
        <v>1153</v>
      </c>
      <c r="G3641" s="362"/>
      <c r="H3641" s="362"/>
      <c r="I3641" s="362"/>
      <c r="J3641" s="362"/>
      <c r="AX3641" s="117"/>
      <c r="AY3641" s="117"/>
      <c r="AZ3641" s="117"/>
      <c r="BA3641" s="117"/>
      <c r="BB3641" s="117"/>
      <c r="BC3641" s="117"/>
      <c r="BD3641" s="117"/>
    </row>
    <row r="3642" spans="1:56" ht="15">
      <c r="A3642" s="114"/>
      <c r="B3642" s="398" t="s">
        <v>1155</v>
      </c>
      <c r="C3642" s="21"/>
      <c r="D3642" s="413"/>
      <c r="E3642" s="411">
        <v>250</v>
      </c>
      <c r="F3642" s="390" t="s">
        <v>1156</v>
      </c>
      <c r="G3642" s="362"/>
      <c r="H3642" s="414"/>
      <c r="I3642" s="362"/>
      <c r="J3642" s="415"/>
      <c r="AX3642" s="117"/>
      <c r="AY3642" s="117"/>
      <c r="AZ3642" s="117"/>
      <c r="BA3642" s="117"/>
      <c r="BB3642" s="117"/>
      <c r="BC3642" s="117"/>
      <c r="BD3642" s="117"/>
    </row>
    <row r="3643" spans="1:56" ht="15">
      <c r="A3643" s="114"/>
      <c r="B3643" s="398" t="s">
        <v>1157</v>
      </c>
      <c r="C3643" s="21"/>
      <c r="D3643" s="413"/>
      <c r="E3643" s="411">
        <v>14</v>
      </c>
      <c r="F3643" s="390" t="s">
        <v>10</v>
      </c>
      <c r="G3643" s="362"/>
      <c r="H3643" s="6"/>
      <c r="I3643" s="362"/>
      <c r="J3643" s="362"/>
      <c r="AX3643" s="117"/>
      <c r="AY3643" s="117"/>
      <c r="AZ3643" s="117"/>
      <c r="BA3643" s="117"/>
      <c r="BB3643" s="117"/>
      <c r="BC3643" s="117"/>
      <c r="BD3643" s="117"/>
    </row>
    <row r="3644" spans="1:56" ht="15">
      <c r="A3644" s="114"/>
      <c r="B3644" s="398" t="s">
        <v>1158</v>
      </c>
      <c r="C3644" s="21"/>
      <c r="D3644" s="413"/>
      <c r="E3644" s="412">
        <f>E3641*E3643</f>
        <v>168</v>
      </c>
      <c r="F3644" s="390" t="s">
        <v>10</v>
      </c>
      <c r="G3644" s="362"/>
      <c r="H3644" s="362"/>
      <c r="I3644" s="362"/>
      <c r="J3644" s="362"/>
      <c r="AX3644" s="117"/>
      <c r="AY3644" s="117"/>
      <c r="AZ3644" s="117"/>
      <c r="BA3644" s="117"/>
      <c r="BB3644" s="117"/>
      <c r="BC3644" s="117"/>
      <c r="BD3644" s="117"/>
    </row>
    <row r="3645" spans="1:56" ht="15">
      <c r="A3645" s="114"/>
      <c r="B3645" s="362"/>
      <c r="C3645" s="362"/>
      <c r="D3645" s="362"/>
      <c r="E3645" s="410"/>
      <c r="F3645" s="362"/>
      <c r="G3645" s="362"/>
      <c r="H3645" s="362"/>
      <c r="I3645" s="362"/>
      <c r="J3645" s="362"/>
      <c r="AX3645" s="117"/>
      <c r="AY3645" s="117"/>
      <c r="AZ3645" s="117"/>
      <c r="BA3645" s="117"/>
      <c r="BB3645" s="117"/>
      <c r="BC3645" s="117"/>
      <c r="BD3645" s="117"/>
    </row>
    <row r="3646" spans="1:56" ht="15">
      <c r="A3646" s="114"/>
      <c r="B3646" s="303" t="s">
        <v>1160</v>
      </c>
      <c r="C3646" s="362"/>
      <c r="D3646" s="362"/>
      <c r="E3646" s="410"/>
      <c r="F3646" s="362"/>
      <c r="G3646" s="362"/>
      <c r="H3646" s="362"/>
      <c r="I3646" s="362"/>
      <c r="J3646" s="362"/>
      <c r="AX3646" s="117"/>
      <c r="AY3646" s="117"/>
      <c r="AZ3646" s="117"/>
      <c r="BA3646" s="117"/>
      <c r="BB3646" s="117"/>
      <c r="BC3646" s="117"/>
      <c r="BD3646" s="117"/>
    </row>
    <row r="3647" spans="1:56" ht="18">
      <c r="A3647" s="114"/>
      <c r="B3647" s="398" t="s">
        <v>1128</v>
      </c>
      <c r="C3647" s="172"/>
      <c r="D3647" s="173"/>
      <c r="E3647" s="402">
        <f>E3637*0.05</f>
        <v>0.30449999999999999</v>
      </c>
      <c r="F3647" s="390" t="s">
        <v>1124</v>
      </c>
      <c r="G3647" s="362"/>
      <c r="H3647" s="362"/>
      <c r="I3647" s="362"/>
      <c r="J3647" s="362"/>
      <c r="AX3647" s="117"/>
      <c r="AY3647" s="117"/>
      <c r="AZ3647" s="117"/>
      <c r="BA3647" s="117"/>
      <c r="BB3647" s="117"/>
      <c r="BC3647" s="117"/>
      <c r="BD3647" s="117"/>
    </row>
    <row r="3648" spans="1:56" ht="15">
      <c r="A3648" s="114"/>
      <c r="B3648" s="398" t="s">
        <v>1129</v>
      </c>
      <c r="C3648" s="172"/>
      <c r="D3648" s="173"/>
      <c r="E3648" s="397">
        <f>(2*(C3623+C3624)*C3626)*C3627</f>
        <v>17.850000000000001</v>
      </c>
      <c r="F3648" s="390" t="s">
        <v>13</v>
      </c>
      <c r="G3648" s="362"/>
      <c r="H3648" s="362"/>
      <c r="I3648" s="362"/>
      <c r="J3648" s="362"/>
      <c r="AX3648" s="117"/>
      <c r="AY3648" s="117"/>
      <c r="AZ3648" s="117"/>
      <c r="BA3648" s="117"/>
      <c r="BB3648" s="117"/>
      <c r="BC3648" s="117"/>
      <c r="BD3648" s="117"/>
    </row>
    <row r="3649" spans="1:56" ht="18">
      <c r="A3649" s="114"/>
      <c r="B3649" s="398" t="s">
        <v>1130</v>
      </c>
      <c r="C3649" s="172"/>
      <c r="D3649" s="173"/>
      <c r="E3649" s="402">
        <f>(C3623*C3624*C3626)*C3627</f>
        <v>3.1875</v>
      </c>
      <c r="F3649" s="390" t="s">
        <v>1124</v>
      </c>
      <c r="G3649" s="362"/>
      <c r="H3649" s="362"/>
      <c r="I3649" s="362"/>
      <c r="J3649" s="362"/>
      <c r="AX3649" s="117"/>
      <c r="AY3649" s="117"/>
      <c r="AZ3649" s="117"/>
      <c r="BA3649" s="117"/>
      <c r="BB3649" s="117"/>
      <c r="BC3649" s="117"/>
      <c r="BD3649" s="117"/>
    </row>
    <row r="3650" spans="1:56" ht="15">
      <c r="A3650" s="114"/>
      <c r="B3650" s="196"/>
      <c r="C3650" s="196"/>
      <c r="D3650" s="196"/>
      <c r="E3650" s="196"/>
      <c r="F3650" s="196"/>
      <c r="G3650" s="196"/>
      <c r="H3650" s="196"/>
      <c r="I3650" s="196"/>
      <c r="J3650" s="114"/>
      <c r="AW3650" s="117"/>
      <c r="AX3650" s="117"/>
      <c r="AY3650" s="117"/>
      <c r="AZ3650" s="117"/>
      <c r="BA3650" s="117"/>
      <c r="BB3650" s="117"/>
      <c r="BC3650" s="117"/>
      <c r="BD3650" s="117"/>
    </row>
    <row r="3651" spans="1:56" customFormat="1" ht="13.5" thickBot="1">
      <c r="B3651" s="362"/>
      <c r="C3651" s="362"/>
      <c r="D3651" s="362"/>
      <c r="E3651" s="362"/>
      <c r="F3651" s="362"/>
      <c r="G3651" s="362"/>
      <c r="H3651" s="362"/>
      <c r="I3651" s="362"/>
      <c r="J3651" s="362"/>
    </row>
    <row r="3652" spans="1:56">
      <c r="A3652" s="114"/>
      <c r="B3652" s="702" t="s">
        <v>1189</v>
      </c>
      <c r="C3652" s="282"/>
      <c r="D3652" s="282"/>
      <c r="E3652" s="282"/>
      <c r="F3652" s="283"/>
      <c r="G3652" s="362"/>
      <c r="H3652" s="362"/>
      <c r="I3652" s="362"/>
      <c r="J3652" s="114"/>
      <c r="AU3652" s="117"/>
      <c r="AV3652" s="117"/>
      <c r="AW3652" s="117"/>
      <c r="AX3652" s="117"/>
      <c r="AY3652" s="117"/>
      <c r="AZ3652" s="117"/>
      <c r="BA3652" s="117"/>
      <c r="BB3652" s="117"/>
      <c r="BC3652" s="117"/>
      <c r="BD3652" s="117"/>
    </row>
    <row r="3653" spans="1:56" ht="15">
      <c r="A3653" s="114"/>
      <c r="B3653" s="693"/>
      <c r="C3653" s="196"/>
      <c r="D3653" s="196"/>
      <c r="E3653" s="196"/>
      <c r="F3653" s="284"/>
      <c r="G3653" s="362"/>
      <c r="H3653" s="362"/>
      <c r="I3653" s="362"/>
      <c r="J3653" s="114"/>
      <c r="AU3653" s="117"/>
      <c r="AV3653" s="117"/>
      <c r="AW3653" s="117"/>
      <c r="AX3653" s="117"/>
      <c r="AY3653" s="117"/>
      <c r="AZ3653" s="117"/>
      <c r="BA3653" s="117"/>
      <c r="BB3653" s="117"/>
      <c r="BC3653" s="117"/>
      <c r="BD3653" s="117"/>
    </row>
    <row r="3654" spans="1:56" ht="15">
      <c r="A3654" s="114"/>
      <c r="B3654" s="691" t="s">
        <v>1122</v>
      </c>
      <c r="C3654" s="410"/>
      <c r="D3654" s="1008"/>
      <c r="E3654" s="1008"/>
      <c r="F3654" s="424"/>
      <c r="G3654" s="362"/>
      <c r="H3654" s="362"/>
      <c r="I3654" s="362"/>
      <c r="J3654" s="114"/>
      <c r="AU3654" s="117"/>
      <c r="AV3654" s="117"/>
      <c r="AW3654" s="117"/>
      <c r="AX3654" s="117"/>
      <c r="AY3654" s="117"/>
      <c r="AZ3654" s="117"/>
      <c r="BA3654" s="117"/>
      <c r="BB3654" s="117"/>
      <c r="BC3654" s="117"/>
      <c r="BD3654" s="117"/>
    </row>
    <row r="3655" spans="1:56" ht="18">
      <c r="A3655" s="114"/>
      <c r="B3655" s="1011" t="s">
        <v>1123</v>
      </c>
      <c r="C3655" s="172"/>
      <c r="D3655" s="173"/>
      <c r="E3655" s="425">
        <f>E3635+E3608</f>
        <v>110.33474398592924</v>
      </c>
      <c r="F3655" s="139" t="s">
        <v>1124</v>
      </c>
      <c r="G3655" s="362"/>
      <c r="H3655" s="362"/>
      <c r="I3655" s="362"/>
      <c r="J3655" s="114"/>
      <c r="AU3655" s="117"/>
      <c r="AV3655" s="117"/>
      <c r="AW3655" s="117"/>
      <c r="AX3655" s="117"/>
      <c r="AY3655" s="117"/>
      <c r="AZ3655" s="117"/>
      <c r="BA3655" s="117"/>
      <c r="BB3655" s="117"/>
      <c r="BC3655" s="117"/>
      <c r="BD3655" s="117"/>
    </row>
    <row r="3656" spans="1:56" ht="18">
      <c r="A3656" s="114"/>
      <c r="B3656" s="1011" t="s">
        <v>1190</v>
      </c>
      <c r="C3656" s="172"/>
      <c r="D3656" s="173"/>
      <c r="E3656" s="446">
        <f>E3636+E3609</f>
        <v>100.66674398592923</v>
      </c>
      <c r="F3656" s="139" t="s">
        <v>1124</v>
      </c>
      <c r="G3656" s="362"/>
      <c r="H3656" s="362"/>
      <c r="I3656" s="362"/>
      <c r="J3656" s="114"/>
      <c r="AU3656" s="117"/>
      <c r="AV3656" s="117"/>
      <c r="AW3656" s="117"/>
      <c r="AX3656" s="117"/>
      <c r="AY3656" s="117"/>
      <c r="AZ3656" s="117"/>
      <c r="BA3656" s="117"/>
      <c r="BB3656" s="117"/>
      <c r="BC3656" s="117"/>
      <c r="BD3656" s="117"/>
    </row>
    <row r="3657" spans="1:56" ht="15">
      <c r="A3657" s="114"/>
      <c r="B3657" s="1011" t="s">
        <v>1191</v>
      </c>
      <c r="C3657" s="172"/>
      <c r="D3657" s="173"/>
      <c r="E3657" s="446">
        <f>E3637+E3610</f>
        <v>21.53</v>
      </c>
      <c r="F3657" s="139" t="s">
        <v>13</v>
      </c>
      <c r="G3657" s="362"/>
      <c r="H3657" s="362"/>
      <c r="I3657" s="362"/>
      <c r="J3657" s="114"/>
      <c r="AU3657" s="117"/>
      <c r="AV3657" s="117"/>
      <c r="AW3657" s="117"/>
      <c r="AX3657" s="117"/>
      <c r="AY3657" s="117"/>
      <c r="AZ3657" s="117"/>
      <c r="BA3657" s="117"/>
      <c r="BB3657" s="117"/>
      <c r="BC3657" s="117"/>
      <c r="BD3657" s="117"/>
    </row>
    <row r="3658" spans="1:56" ht="15">
      <c r="A3658" s="114"/>
      <c r="B3658" s="40"/>
      <c r="C3658" s="1008"/>
      <c r="D3658" s="1008"/>
      <c r="E3658" s="401"/>
      <c r="F3658" s="284"/>
      <c r="G3658" s="362"/>
      <c r="H3658" s="362"/>
      <c r="I3658" s="362"/>
      <c r="J3658" s="114"/>
      <c r="AU3658" s="117"/>
      <c r="AV3658" s="117"/>
      <c r="AW3658" s="117"/>
      <c r="AX3658" s="117"/>
      <c r="AY3658" s="117"/>
      <c r="AZ3658" s="117"/>
      <c r="BA3658" s="117"/>
      <c r="BB3658" s="117"/>
      <c r="BC3658" s="117"/>
      <c r="BD3658" s="117"/>
    </row>
    <row r="3659" spans="1:56" ht="18">
      <c r="A3659" s="114"/>
      <c r="B3659" s="1011" t="s">
        <v>317</v>
      </c>
      <c r="C3659" s="172"/>
      <c r="D3659" s="173"/>
      <c r="E3659" s="425">
        <f>E3647+E3613</f>
        <v>1.0765000000000002</v>
      </c>
      <c r="F3659" s="139" t="s">
        <v>1124</v>
      </c>
      <c r="G3659" s="196"/>
      <c r="H3659" s="196"/>
      <c r="I3659" s="196"/>
      <c r="J3659" s="114"/>
      <c r="AU3659" s="117"/>
      <c r="AV3659" s="117"/>
      <c r="AW3659" s="117"/>
      <c r="AX3659" s="117"/>
      <c r="AY3659" s="117"/>
      <c r="AZ3659" s="117"/>
      <c r="BA3659" s="117"/>
      <c r="BB3659" s="117"/>
      <c r="BC3659" s="117"/>
      <c r="BD3659" s="117"/>
    </row>
    <row r="3660" spans="1:56" ht="15">
      <c r="A3660" s="114"/>
      <c r="B3660" s="1011" t="s">
        <v>1192</v>
      </c>
      <c r="C3660" s="172"/>
      <c r="D3660" s="173"/>
      <c r="E3660" s="425">
        <f>E3648+E3614</f>
        <v>71.89</v>
      </c>
      <c r="F3660" s="139" t="s">
        <v>13</v>
      </c>
      <c r="G3660" s="196"/>
      <c r="H3660" s="196"/>
      <c r="I3660" s="196"/>
      <c r="J3660" s="114"/>
      <c r="AU3660" s="117"/>
      <c r="AV3660" s="117"/>
      <c r="AW3660" s="117"/>
      <c r="AX3660" s="117"/>
      <c r="AY3660" s="117"/>
      <c r="AZ3660" s="117"/>
      <c r="BA3660" s="117"/>
      <c r="BB3660" s="117"/>
      <c r="BC3660" s="117"/>
      <c r="BD3660" s="117"/>
    </row>
    <row r="3661" spans="1:56" ht="18">
      <c r="A3661" s="114"/>
      <c r="B3661" s="1011" t="s">
        <v>316</v>
      </c>
      <c r="C3661" s="172"/>
      <c r="D3661" s="173"/>
      <c r="E3661" s="425">
        <f>E3649+E3615</f>
        <v>8.5914999999999999</v>
      </c>
      <c r="F3661" s="139" t="s">
        <v>1124</v>
      </c>
      <c r="G3661" s="196"/>
      <c r="H3661" s="196"/>
      <c r="I3661" s="196"/>
      <c r="J3661" s="114"/>
      <c r="AU3661" s="117"/>
      <c r="AV3661" s="117"/>
      <c r="AW3661" s="117"/>
      <c r="AX3661" s="117"/>
      <c r="AY3661" s="117"/>
      <c r="AZ3661" s="117"/>
      <c r="BA3661" s="117"/>
      <c r="BB3661" s="117"/>
      <c r="BC3661" s="117"/>
      <c r="BD3661" s="117"/>
    </row>
    <row r="3662" spans="1:56">
      <c r="A3662" s="114"/>
      <c r="B3662" s="690"/>
      <c r="C3662" s="115"/>
      <c r="D3662" s="115"/>
      <c r="E3662" s="115"/>
      <c r="F3662" s="182"/>
      <c r="G3662" s="115"/>
      <c r="H3662" s="115"/>
      <c r="I3662" s="115"/>
      <c r="J3662" s="114"/>
      <c r="AW3662" s="117"/>
      <c r="AX3662" s="117"/>
      <c r="AY3662" s="117"/>
      <c r="AZ3662" s="117"/>
      <c r="BA3662" s="117"/>
      <c r="BB3662" s="117"/>
      <c r="BC3662" s="117"/>
      <c r="BD3662" s="117"/>
    </row>
    <row r="3663" spans="1:56">
      <c r="A3663" s="114"/>
      <c r="B3663" s="690"/>
      <c r="C3663" s="115"/>
      <c r="D3663" s="115"/>
      <c r="E3663" s="115"/>
      <c r="F3663" s="182"/>
      <c r="G3663" s="362"/>
      <c r="H3663" s="362"/>
      <c r="I3663" s="362"/>
      <c r="J3663" s="114"/>
      <c r="AU3663" s="117"/>
      <c r="AV3663" s="117"/>
      <c r="AW3663" s="117"/>
      <c r="AX3663" s="117"/>
      <c r="AY3663" s="117"/>
      <c r="AZ3663" s="117"/>
      <c r="BA3663" s="117"/>
      <c r="BB3663" s="117"/>
      <c r="BC3663" s="117"/>
      <c r="BD3663" s="117"/>
    </row>
    <row r="3664" spans="1:56">
      <c r="A3664" s="114"/>
      <c r="B3664" s="691" t="s">
        <v>1162</v>
      </c>
      <c r="C3664" s="1008"/>
      <c r="D3664" s="452" t="s">
        <v>1194</v>
      </c>
      <c r="E3664" s="452" t="s">
        <v>67</v>
      </c>
      <c r="F3664" s="182"/>
      <c r="G3664" s="362"/>
      <c r="H3664" s="362"/>
      <c r="I3664" s="362"/>
      <c r="J3664" s="114"/>
      <c r="AU3664" s="117"/>
      <c r="AV3664" s="117"/>
      <c r="AW3664" s="117"/>
      <c r="AX3664" s="117"/>
      <c r="AY3664" s="117"/>
      <c r="AZ3664" s="117"/>
      <c r="BA3664" s="117"/>
      <c r="BB3664" s="117"/>
      <c r="BC3664" s="117"/>
      <c r="BD3664" s="117"/>
    </row>
    <row r="3665" spans="1:56">
      <c r="A3665" s="114"/>
      <c r="B3665" s="694" t="s">
        <v>1195</v>
      </c>
      <c r="C3665" s="1008"/>
      <c r="D3665" s="291">
        <f>E3644</f>
        <v>168</v>
      </c>
      <c r="E3665" s="427">
        <f>E3641</f>
        <v>12</v>
      </c>
      <c r="F3665" s="182"/>
      <c r="G3665" s="362"/>
      <c r="H3665" s="362"/>
      <c r="I3665" s="362"/>
      <c r="J3665" s="114"/>
      <c r="AU3665" s="117"/>
      <c r="AV3665" s="117"/>
      <c r="AW3665" s="117"/>
      <c r="AX3665" s="117"/>
      <c r="AY3665" s="117"/>
      <c r="AZ3665" s="117"/>
      <c r="BA3665" s="117"/>
      <c r="BB3665" s="117"/>
      <c r="BC3665" s="117"/>
      <c r="BD3665" s="117"/>
    </row>
    <row r="3666" spans="1:56">
      <c r="A3666" s="114"/>
      <c r="B3666" s="694"/>
      <c r="C3666" s="1008"/>
      <c r="D3666" s="115"/>
      <c r="E3666" s="115"/>
      <c r="F3666" s="182"/>
      <c r="G3666" s="1008"/>
      <c r="H3666" s="1008"/>
      <c r="I3666" s="1008"/>
      <c r="J3666" s="114"/>
      <c r="AU3666" s="117"/>
      <c r="AV3666" s="117"/>
      <c r="AW3666" s="117"/>
      <c r="AX3666" s="117"/>
      <c r="AY3666" s="117"/>
      <c r="AZ3666" s="117"/>
      <c r="BA3666" s="117"/>
      <c r="BB3666" s="117"/>
      <c r="BC3666" s="117"/>
      <c r="BD3666" s="117"/>
    </row>
    <row r="3667" spans="1:56" thickBot="1">
      <c r="A3667" s="114"/>
      <c r="B3667" s="1012" t="s">
        <v>102</v>
      </c>
      <c r="C3667" s="1016">
        <v>628</v>
      </c>
      <c r="D3667" s="1022" t="s">
        <v>12</v>
      </c>
      <c r="E3667" s="1020" t="s">
        <v>1267</v>
      </c>
      <c r="F3667" s="440"/>
      <c r="G3667" s="1008"/>
      <c r="H3667" s="1008"/>
      <c r="I3667" s="1008"/>
      <c r="J3667" s="114"/>
      <c r="AU3667" s="117"/>
      <c r="AV3667" s="117"/>
      <c r="AW3667" s="117"/>
      <c r="AX3667" s="117"/>
      <c r="AY3667" s="117"/>
      <c r="AZ3667" s="117"/>
      <c r="BA3667" s="117"/>
      <c r="BB3667" s="117"/>
      <c r="BC3667" s="117"/>
      <c r="BD3667" s="117"/>
    </row>
    <row r="3668" spans="1:56">
      <c r="A3668" s="114"/>
      <c r="B3668" s="288"/>
      <c r="C3668" s="6"/>
      <c r="D3668" s="430"/>
      <c r="E3668" s="430"/>
      <c r="F3668" s="331"/>
      <c r="G3668" s="362"/>
      <c r="H3668" s="362"/>
      <c r="I3668" s="362"/>
      <c r="J3668" s="114"/>
      <c r="AU3668" s="117"/>
      <c r="AV3668" s="117"/>
      <c r="AW3668" s="117"/>
      <c r="AX3668" s="117"/>
      <c r="AY3668" s="117"/>
      <c r="AZ3668" s="117"/>
      <c r="BA3668" s="117"/>
      <c r="BB3668" s="117"/>
      <c r="BC3668" s="117"/>
      <c r="BD3668" s="117"/>
    </row>
    <row r="3669" spans="1:56" thickBot="1">
      <c r="A3669" s="114"/>
      <c r="B3669" s="196"/>
      <c r="C3669" s="196"/>
      <c r="D3669" s="196"/>
      <c r="E3669" s="196"/>
      <c r="F3669" s="196"/>
      <c r="G3669" s="196"/>
      <c r="H3669" s="196"/>
      <c r="I3669" s="196"/>
      <c r="J3669" s="114"/>
      <c r="AW3669" s="117"/>
      <c r="AX3669" s="117"/>
      <c r="AY3669" s="117"/>
      <c r="AZ3669" s="117"/>
      <c r="BA3669" s="117"/>
      <c r="BB3669" s="117"/>
      <c r="BC3669" s="117"/>
      <c r="BD3669" s="117"/>
    </row>
    <row r="3670" spans="1:56">
      <c r="A3670" s="114"/>
      <c r="B3670" s="702" t="s">
        <v>320</v>
      </c>
      <c r="C3670" s="282"/>
      <c r="D3670" s="282"/>
      <c r="E3670" s="282"/>
      <c r="F3670" s="283"/>
      <c r="G3670" s="196"/>
      <c r="H3670" s="196"/>
      <c r="I3670" s="196"/>
      <c r="J3670" s="114"/>
      <c r="AW3670" s="117"/>
      <c r="AX3670" s="117"/>
      <c r="AY3670" s="117"/>
      <c r="AZ3670" s="117"/>
      <c r="BA3670" s="117"/>
      <c r="BB3670" s="117"/>
      <c r="BC3670" s="117"/>
      <c r="BD3670" s="117"/>
    </row>
    <row r="3671" spans="1:56" ht="15">
      <c r="A3671" s="114"/>
      <c r="B3671" s="693"/>
      <c r="C3671" s="196"/>
      <c r="D3671" s="196"/>
      <c r="E3671" s="196"/>
      <c r="F3671" s="284"/>
      <c r="G3671" s="196"/>
      <c r="H3671" s="196"/>
      <c r="I3671" s="196"/>
      <c r="J3671" s="114"/>
      <c r="AW3671" s="117"/>
      <c r="AX3671" s="117"/>
      <c r="AY3671" s="117"/>
      <c r="AZ3671" s="117"/>
      <c r="BA3671" s="117"/>
      <c r="BB3671" s="117"/>
      <c r="BC3671" s="117"/>
      <c r="BD3671" s="117"/>
    </row>
    <row r="3672" spans="1:56">
      <c r="A3672" s="114"/>
      <c r="B3672" s="691" t="s">
        <v>351</v>
      </c>
      <c r="C3672" s="6"/>
      <c r="D3672" s="430"/>
      <c r="E3672" s="430"/>
      <c r="F3672" s="482"/>
      <c r="G3672" s="362"/>
      <c r="H3672" s="362"/>
      <c r="I3672" s="362"/>
      <c r="J3672" s="114"/>
      <c r="AU3672" s="117"/>
      <c r="AV3672" s="117"/>
      <c r="AW3672" s="117"/>
      <c r="AX3672" s="117"/>
      <c r="AY3672" s="117"/>
      <c r="AZ3672" s="117"/>
      <c r="BA3672" s="117"/>
      <c r="BB3672" s="117"/>
      <c r="BC3672" s="117"/>
      <c r="BD3672" s="117"/>
    </row>
    <row r="3673" spans="1:56" thickBot="1">
      <c r="A3673" s="114"/>
      <c r="B3673" s="720" t="s">
        <v>352</v>
      </c>
      <c r="C3673" s="174"/>
      <c r="D3673" s="176"/>
      <c r="E3673" s="428">
        <f>C3667</f>
        <v>628</v>
      </c>
      <c r="F3673" s="440" t="s">
        <v>12</v>
      </c>
      <c r="G3673" s="362"/>
      <c r="H3673" s="362"/>
      <c r="I3673" s="362"/>
      <c r="J3673" s="114"/>
      <c r="AU3673" s="117"/>
      <c r="AV3673" s="117"/>
      <c r="AW3673" s="117"/>
      <c r="AX3673" s="117"/>
      <c r="AY3673" s="117"/>
      <c r="AZ3673" s="117"/>
      <c r="BA3673" s="117"/>
      <c r="BB3673" s="117"/>
      <c r="BC3673" s="117"/>
      <c r="BD3673" s="117"/>
    </row>
    <row r="3674" spans="1:56">
      <c r="A3674" s="114"/>
      <c r="B3674" s="115"/>
      <c r="C3674" s="115"/>
      <c r="D3674" s="115"/>
      <c r="E3674" s="115"/>
      <c r="F3674" s="115"/>
      <c r="G3674" s="115"/>
      <c r="H3674" s="115"/>
      <c r="I3674" s="115"/>
      <c r="J3674" s="114"/>
      <c r="AW3674" s="117"/>
      <c r="AX3674" s="117"/>
      <c r="AY3674" s="117"/>
      <c r="AZ3674" s="117"/>
      <c r="BA3674" s="117"/>
      <c r="BB3674" s="117"/>
      <c r="BC3674" s="117"/>
      <c r="BD3674" s="117"/>
    </row>
    <row r="3675" spans="1:56" ht="15">
      <c r="A3675" s="114"/>
      <c r="B3675" s="760" t="s">
        <v>2279</v>
      </c>
      <c r="C3675" s="382"/>
      <c r="D3675" s="382"/>
      <c r="E3675" s="382"/>
      <c r="F3675" s="382"/>
      <c r="G3675" s="382"/>
      <c r="H3675" s="383"/>
      <c r="I3675" s="383"/>
      <c r="J3675" s="351"/>
      <c r="AW3675" s="117"/>
      <c r="AX3675" s="117"/>
      <c r="AY3675" s="117"/>
      <c r="AZ3675" s="117"/>
      <c r="BA3675" s="117"/>
      <c r="BB3675" s="117"/>
      <c r="BC3675" s="117"/>
      <c r="BD3675" s="117"/>
    </row>
    <row r="3676" spans="1:56" ht="15">
      <c r="A3676" s="114"/>
      <c r="B3676" s="386"/>
      <c r="C3676" s="386"/>
      <c r="D3676" s="386"/>
      <c r="E3676" s="386"/>
      <c r="F3676" s="386"/>
      <c r="G3676" s="386"/>
      <c r="H3676" s="386"/>
      <c r="I3676" s="386"/>
      <c r="J3676" s="114"/>
      <c r="AW3676" s="117"/>
      <c r="AX3676" s="117"/>
      <c r="AY3676" s="117"/>
      <c r="AZ3676" s="117"/>
      <c r="BA3676" s="117"/>
      <c r="BB3676" s="117"/>
      <c r="BC3676" s="117"/>
      <c r="BD3676" s="117"/>
    </row>
    <row r="3677" spans="1:56" ht="15">
      <c r="A3677" s="114"/>
      <c r="B3677" s="288" t="s">
        <v>1787</v>
      </c>
      <c r="C3677" s="230"/>
      <c r="D3677" s="230"/>
      <c r="E3677" s="384"/>
      <c r="F3677" s="196"/>
      <c r="G3677" s="196"/>
      <c r="H3677" s="196"/>
      <c r="I3677" s="196"/>
      <c r="J3677" s="114"/>
      <c r="AW3677" s="117"/>
      <c r="AX3677" s="117"/>
      <c r="AY3677" s="117"/>
      <c r="AZ3677" s="117"/>
      <c r="BA3677" s="117"/>
      <c r="BB3677" s="117"/>
      <c r="BC3677" s="117"/>
      <c r="BD3677" s="117"/>
    </row>
    <row r="3678" spans="1:56" ht="15">
      <c r="A3678" s="114"/>
      <c r="B3678" s="386"/>
      <c r="C3678" s="386"/>
      <c r="D3678" s="386"/>
      <c r="E3678" s="386"/>
      <c r="F3678" s="386"/>
      <c r="G3678" s="386"/>
      <c r="H3678" s="386"/>
      <c r="I3678" s="386"/>
      <c r="J3678" s="114"/>
      <c r="AW3678" s="117"/>
      <c r="AX3678" s="117"/>
      <c r="AY3678" s="117"/>
      <c r="AZ3678" s="117"/>
      <c r="BA3678" s="117"/>
      <c r="BB3678" s="117"/>
      <c r="BC3678" s="117"/>
      <c r="BD3678" s="117"/>
    </row>
    <row r="3679" spans="1:56" ht="15">
      <c r="A3679" s="114"/>
      <c r="B3679" s="293"/>
      <c r="C3679" s="387"/>
      <c r="D3679" s="387"/>
      <c r="E3679" s="387"/>
      <c r="F3679" s="387"/>
      <c r="G3679" s="387"/>
      <c r="H3679" s="386"/>
      <c r="I3679" s="386"/>
      <c r="J3679" s="114"/>
      <c r="AW3679" s="117"/>
      <c r="AX3679" s="117"/>
      <c r="AY3679" s="117"/>
      <c r="AZ3679" s="117"/>
      <c r="BA3679" s="117"/>
      <c r="BB3679" s="117"/>
      <c r="BC3679" s="117"/>
      <c r="BD3679" s="117"/>
    </row>
    <row r="3680" spans="1:56">
      <c r="A3680" s="114"/>
      <c r="B3680" s="385" t="s">
        <v>1268</v>
      </c>
      <c r="C3680" s="196"/>
      <c r="D3680" s="196"/>
      <c r="E3680" s="196"/>
      <c r="F3680" s="196"/>
      <c r="G3680" s="196"/>
      <c r="H3680" s="196"/>
      <c r="I3680" s="196"/>
      <c r="J3680" s="114"/>
      <c r="AW3680" s="117"/>
      <c r="AX3680" s="117"/>
      <c r="AY3680" s="117"/>
      <c r="AZ3680" s="117"/>
      <c r="BA3680" s="117"/>
      <c r="BB3680" s="117"/>
      <c r="BC3680" s="117"/>
      <c r="BD3680" s="117"/>
    </row>
    <row r="3681" spans="1:56" ht="15">
      <c r="A3681" s="114"/>
      <c r="B3681" s="196"/>
      <c r="C3681" s="196"/>
      <c r="D3681" s="196"/>
      <c r="E3681" s="196"/>
      <c r="F3681" s="196"/>
      <c r="G3681" s="196"/>
      <c r="H3681" s="196"/>
      <c r="I3681" s="196"/>
      <c r="J3681" s="114"/>
      <c r="AW3681" s="117"/>
      <c r="AX3681" s="117"/>
      <c r="AY3681" s="117"/>
      <c r="AZ3681" s="117"/>
      <c r="BA3681" s="117"/>
      <c r="BB3681" s="117"/>
      <c r="BC3681" s="117"/>
      <c r="BD3681" s="117"/>
    </row>
    <row r="3682" spans="1:56" ht="15">
      <c r="A3682" s="114"/>
      <c r="B3682" s="388" t="s">
        <v>1110</v>
      </c>
      <c r="C3682" s="389">
        <v>0.3</v>
      </c>
      <c r="D3682" s="390" t="s">
        <v>10</v>
      </c>
      <c r="E3682" s="196"/>
      <c r="F3682" s="196"/>
      <c r="G3682" s="392"/>
      <c r="H3682" s="393"/>
      <c r="I3682" s="196"/>
      <c r="J3682" s="114"/>
      <c r="AW3682" s="117"/>
      <c r="AX3682" s="117"/>
      <c r="AY3682" s="117"/>
      <c r="AZ3682" s="117"/>
      <c r="BA3682" s="117"/>
      <c r="BB3682" s="117"/>
      <c r="BC3682" s="117"/>
      <c r="BD3682" s="117"/>
    </row>
    <row r="3683" spans="1:56" ht="15">
      <c r="A3683" s="114"/>
      <c r="B3683" s="388" t="s">
        <v>1111</v>
      </c>
      <c r="C3683" s="391">
        <f>4.58*2</f>
        <v>9.16</v>
      </c>
      <c r="D3683" s="390" t="s">
        <v>10</v>
      </c>
      <c r="E3683" s="196"/>
      <c r="F3683" s="196"/>
      <c r="G3683" s="392"/>
      <c r="H3683" s="393"/>
      <c r="I3683" s="196"/>
      <c r="J3683" s="114"/>
      <c r="AW3683" s="117"/>
      <c r="AX3683" s="117"/>
      <c r="AY3683" s="117"/>
      <c r="AZ3683" s="117"/>
      <c r="BA3683" s="117"/>
      <c r="BB3683" s="117"/>
      <c r="BC3683" s="117"/>
      <c r="BD3683" s="117"/>
    </row>
    <row r="3684" spans="1:56" ht="15">
      <c r="A3684" s="114"/>
      <c r="B3684" s="388" t="s">
        <v>1112</v>
      </c>
      <c r="C3684" s="389">
        <v>0</v>
      </c>
      <c r="D3684" s="390" t="s">
        <v>10</v>
      </c>
      <c r="E3684" s="196"/>
      <c r="F3684" s="196"/>
      <c r="G3684" s="392"/>
      <c r="H3684" s="393"/>
      <c r="I3684" s="196"/>
      <c r="J3684" s="114"/>
      <c r="AW3684" s="117"/>
      <c r="AX3684" s="117"/>
      <c r="AY3684" s="117"/>
      <c r="AZ3684" s="117"/>
      <c r="BA3684" s="117"/>
      <c r="BB3684" s="117"/>
      <c r="BC3684" s="117"/>
      <c r="BD3684" s="117"/>
    </row>
    <row r="3685" spans="1:56" ht="15">
      <c r="A3685" s="114"/>
      <c r="B3685" s="388" t="s">
        <v>1113</v>
      </c>
      <c r="C3685" s="389">
        <v>1.1000000000000001</v>
      </c>
      <c r="D3685" s="390" t="s">
        <v>10</v>
      </c>
      <c r="E3685" s="196"/>
      <c r="F3685" s="196"/>
      <c r="G3685" s="392"/>
      <c r="H3685" s="394"/>
      <c r="I3685" s="196"/>
      <c r="J3685" s="114"/>
      <c r="AW3685" s="117"/>
      <c r="AX3685" s="117"/>
      <c r="AY3685" s="117"/>
      <c r="AZ3685" s="117"/>
      <c r="BA3685" s="117"/>
      <c r="BB3685" s="117"/>
      <c r="BC3685" s="117"/>
      <c r="BD3685" s="117"/>
    </row>
    <row r="3686" spans="1:56" ht="15">
      <c r="A3686" s="114"/>
      <c r="B3686" s="388" t="s">
        <v>1117</v>
      </c>
      <c r="C3686" s="389">
        <v>1</v>
      </c>
      <c r="D3686" s="390" t="s">
        <v>1118</v>
      </c>
      <c r="E3686" s="196"/>
      <c r="F3686" s="196"/>
      <c r="G3686" s="392"/>
      <c r="H3686" s="393"/>
      <c r="I3686" s="196"/>
      <c r="J3686" s="114"/>
      <c r="AW3686" s="117"/>
      <c r="AX3686" s="117"/>
      <c r="AY3686" s="117"/>
      <c r="AZ3686" s="117"/>
      <c r="BA3686" s="117"/>
      <c r="BB3686" s="117"/>
      <c r="BC3686" s="117"/>
      <c r="BD3686" s="117"/>
    </row>
    <row r="3687" spans="1:56" ht="15">
      <c r="A3687" s="114"/>
      <c r="B3687" s="392"/>
      <c r="C3687" s="393"/>
      <c r="D3687" s="196"/>
      <c r="E3687" s="196"/>
      <c r="F3687" s="196"/>
      <c r="G3687" s="392"/>
      <c r="H3687" s="393"/>
      <c r="I3687" s="196"/>
      <c r="J3687" s="114"/>
      <c r="AW3687" s="117"/>
      <c r="AX3687" s="117"/>
      <c r="AY3687" s="117"/>
      <c r="AZ3687" s="117"/>
      <c r="BA3687" s="117"/>
      <c r="BB3687" s="117"/>
      <c r="BC3687" s="117"/>
      <c r="BD3687" s="117"/>
    </row>
    <row r="3688" spans="1:56" ht="15">
      <c r="A3688" s="114"/>
      <c r="B3688" s="388" t="s">
        <v>1114</v>
      </c>
      <c r="C3688" s="389">
        <v>0.6</v>
      </c>
      <c r="D3688" s="390" t="s">
        <v>10</v>
      </c>
      <c r="E3688" s="288" t="s">
        <v>1120</v>
      </c>
      <c r="F3688" s="288"/>
      <c r="G3688" s="230"/>
      <c r="H3688" s="395"/>
      <c r="I3688" s="196"/>
      <c r="J3688" s="114"/>
      <c r="AW3688" s="117"/>
      <c r="AX3688" s="117"/>
      <c r="AY3688" s="117"/>
      <c r="AZ3688" s="117"/>
      <c r="BA3688" s="117"/>
      <c r="BB3688" s="117"/>
      <c r="BC3688" s="117"/>
      <c r="BD3688" s="117"/>
    </row>
    <row r="3689" spans="1:56" ht="15">
      <c r="A3689" s="114"/>
      <c r="B3689" s="388" t="s">
        <v>1114</v>
      </c>
      <c r="C3689" s="389">
        <v>0.2</v>
      </c>
      <c r="D3689" s="390" t="s">
        <v>10</v>
      </c>
      <c r="E3689" s="288" t="s">
        <v>1121</v>
      </c>
      <c r="F3689" s="288"/>
      <c r="G3689" s="230"/>
      <c r="H3689" s="395"/>
      <c r="I3689" s="196"/>
      <c r="J3689" s="114"/>
      <c r="AW3689" s="117"/>
      <c r="AX3689" s="117"/>
      <c r="AY3689" s="117"/>
      <c r="AZ3689" s="117"/>
      <c r="BA3689" s="117"/>
      <c r="BB3689" s="117"/>
      <c r="BC3689" s="117"/>
      <c r="BD3689" s="117"/>
    </row>
    <row r="3690" spans="1:56" ht="15">
      <c r="A3690" s="114"/>
      <c r="B3690" s="196"/>
      <c r="C3690" s="196"/>
      <c r="D3690" s="196"/>
      <c r="E3690" s="196"/>
      <c r="F3690" s="196"/>
      <c r="G3690" s="196"/>
      <c r="H3690" s="196"/>
      <c r="I3690" s="196"/>
      <c r="J3690" s="114"/>
      <c r="AW3690" s="117"/>
      <c r="AX3690" s="117"/>
      <c r="AY3690" s="117"/>
      <c r="AZ3690" s="117"/>
      <c r="BA3690" s="117"/>
      <c r="BB3690" s="117"/>
      <c r="BC3690" s="117"/>
      <c r="BD3690" s="117"/>
    </row>
    <row r="3691" spans="1:56" ht="15">
      <c r="A3691" s="114"/>
      <c r="B3691" s="303" t="s">
        <v>1122</v>
      </c>
      <c r="C3691" s="362"/>
      <c r="D3691" s="362"/>
      <c r="E3691" s="196"/>
      <c r="F3691" s="196"/>
      <c r="G3691" s="196"/>
      <c r="H3691" s="196"/>
      <c r="I3691" s="196"/>
      <c r="J3691" s="114"/>
      <c r="AW3691" s="117"/>
      <c r="AX3691" s="117"/>
      <c r="AY3691" s="117"/>
      <c r="AZ3691" s="117"/>
      <c r="BA3691" s="117"/>
      <c r="BB3691" s="117"/>
      <c r="BC3691" s="117"/>
      <c r="BD3691" s="117"/>
    </row>
    <row r="3692" spans="1:56" ht="18">
      <c r="A3692" s="114"/>
      <c r="B3692" s="396" t="s">
        <v>1123</v>
      </c>
      <c r="C3692" s="289"/>
      <c r="D3692" s="290"/>
      <c r="E3692" s="397">
        <f>C3686*(C3688*2*(0.05+C3685+C3684)*C3683)</f>
        <v>12.6408</v>
      </c>
      <c r="F3692" s="390" t="s">
        <v>1124</v>
      </c>
      <c r="G3692" s="196"/>
      <c r="H3692" s="196"/>
      <c r="I3692" s="196"/>
      <c r="J3692" s="114"/>
      <c r="AW3692" s="117"/>
      <c r="AX3692" s="117"/>
      <c r="AY3692" s="117"/>
      <c r="AZ3692" s="117"/>
      <c r="BA3692" s="117"/>
      <c r="BB3692" s="117"/>
      <c r="BC3692" s="117"/>
      <c r="BD3692" s="117"/>
    </row>
    <row r="3693" spans="1:56" ht="18">
      <c r="A3693" s="114"/>
      <c r="B3693" s="398" t="s">
        <v>1125</v>
      </c>
      <c r="C3693" s="172"/>
      <c r="D3693" s="173"/>
      <c r="E3693" s="397">
        <f>E3692-(E3697+E3699)</f>
        <v>9.4347999999999992</v>
      </c>
      <c r="F3693" s="390" t="s">
        <v>1124</v>
      </c>
      <c r="G3693" s="196"/>
      <c r="H3693" s="196"/>
      <c r="I3693" s="196"/>
      <c r="J3693" s="114"/>
      <c r="AW3693" s="117"/>
      <c r="AX3693" s="117"/>
      <c r="AY3693" s="117"/>
      <c r="AZ3693" s="117"/>
      <c r="BA3693" s="117"/>
      <c r="BB3693" s="117"/>
      <c r="BC3693" s="117"/>
      <c r="BD3693" s="117"/>
    </row>
    <row r="3694" spans="1:56" ht="15">
      <c r="A3694" s="114"/>
      <c r="B3694" s="399" t="s">
        <v>1126</v>
      </c>
      <c r="C3694" s="317"/>
      <c r="D3694" s="318"/>
      <c r="E3694" s="400">
        <f>(2*C3689)*C3683</f>
        <v>3.6640000000000001</v>
      </c>
      <c r="F3694" s="390" t="s">
        <v>13</v>
      </c>
      <c r="G3694" s="196"/>
      <c r="H3694" s="196"/>
      <c r="I3694" s="196"/>
      <c r="J3694" s="114"/>
      <c r="AW3694" s="117"/>
      <c r="AX3694" s="117"/>
      <c r="AY3694" s="117"/>
      <c r="AZ3694" s="117"/>
      <c r="BA3694" s="117"/>
      <c r="BB3694" s="117"/>
      <c r="BC3694" s="117"/>
      <c r="BD3694" s="117"/>
    </row>
    <row r="3695" spans="1:56" ht="15">
      <c r="A3695" s="114"/>
      <c r="B3695" s="196"/>
      <c r="C3695" s="196"/>
      <c r="D3695" s="196"/>
      <c r="E3695" s="401"/>
      <c r="F3695" s="196"/>
      <c r="G3695" s="196"/>
      <c r="H3695" s="196"/>
      <c r="I3695" s="196"/>
      <c r="J3695" s="114"/>
      <c r="AW3695" s="117"/>
      <c r="AX3695" s="117"/>
      <c r="AY3695" s="117"/>
      <c r="AZ3695" s="117"/>
      <c r="BA3695" s="117"/>
      <c r="BB3695" s="117"/>
      <c r="BC3695" s="117"/>
      <c r="BD3695" s="117"/>
    </row>
    <row r="3696" spans="1:56" ht="15">
      <c r="A3696" s="114"/>
      <c r="B3696" s="303" t="s">
        <v>1127</v>
      </c>
      <c r="C3696" s="196"/>
      <c r="D3696" s="196"/>
      <c r="E3696" s="401"/>
      <c r="F3696" s="196"/>
      <c r="G3696" s="196"/>
      <c r="H3696" s="196"/>
      <c r="I3696" s="196"/>
      <c r="J3696" s="114"/>
      <c r="AW3696" s="117"/>
      <c r="AX3696" s="117"/>
      <c r="AY3696" s="117"/>
      <c r="AZ3696" s="117"/>
      <c r="BA3696" s="117"/>
      <c r="BB3696" s="117"/>
      <c r="BC3696" s="117"/>
      <c r="BD3696" s="117"/>
    </row>
    <row r="3697" spans="1:56" ht="18">
      <c r="A3697" s="114"/>
      <c r="B3697" s="398" t="s">
        <v>1128</v>
      </c>
      <c r="C3697" s="172"/>
      <c r="D3697" s="173"/>
      <c r="E3697" s="402">
        <f>E3694*0.05</f>
        <v>0.18320000000000003</v>
      </c>
      <c r="F3697" s="390" t="s">
        <v>1124</v>
      </c>
      <c r="G3697" s="196"/>
      <c r="H3697" s="196"/>
      <c r="I3697" s="196"/>
      <c r="J3697" s="114"/>
      <c r="AW3697" s="117"/>
      <c r="AX3697" s="117"/>
      <c r="AY3697" s="117"/>
      <c r="AZ3697" s="117"/>
      <c r="BA3697" s="117"/>
      <c r="BB3697" s="117"/>
      <c r="BC3697" s="117"/>
      <c r="BD3697" s="117"/>
    </row>
    <row r="3698" spans="1:56" ht="15">
      <c r="A3698" s="114"/>
      <c r="B3698" s="398" t="s">
        <v>1129</v>
      </c>
      <c r="C3698" s="172"/>
      <c r="D3698" s="173"/>
      <c r="E3698" s="397">
        <f>C3685*2*C3683</f>
        <v>20.152000000000001</v>
      </c>
      <c r="F3698" s="390" t="s">
        <v>13</v>
      </c>
      <c r="G3698" s="393" t="s">
        <v>1108</v>
      </c>
      <c r="H3698" s="196" t="s">
        <v>1131</v>
      </c>
      <c r="I3698" s="393"/>
      <c r="J3698" s="114"/>
      <c r="AW3698" s="117"/>
      <c r="AX3698" s="117"/>
      <c r="AY3698" s="117"/>
      <c r="AZ3698" s="117"/>
      <c r="BA3698" s="117"/>
      <c r="BB3698" s="117"/>
      <c r="BC3698" s="117"/>
      <c r="BD3698" s="117"/>
    </row>
    <row r="3699" spans="1:56" ht="18">
      <c r="A3699" s="114"/>
      <c r="B3699" s="398" t="s">
        <v>1130</v>
      </c>
      <c r="C3699" s="172"/>
      <c r="D3699" s="173"/>
      <c r="E3699" s="402">
        <f>C3682*C3683*C3685</f>
        <v>3.0228000000000002</v>
      </c>
      <c r="F3699" s="390" t="s">
        <v>1124</v>
      </c>
      <c r="G3699" s="196"/>
      <c r="H3699" s="196"/>
      <c r="I3699" s="196"/>
      <c r="J3699" s="114"/>
      <c r="AW3699" s="117"/>
      <c r="AX3699" s="117"/>
      <c r="AY3699" s="117"/>
      <c r="AZ3699" s="117"/>
      <c r="BA3699" s="117"/>
      <c r="BB3699" s="117"/>
      <c r="BC3699" s="117"/>
      <c r="BD3699" s="117"/>
    </row>
    <row r="3700" spans="1:56" ht="15">
      <c r="A3700" s="114"/>
      <c r="B3700" s="288"/>
      <c r="C3700" s="230"/>
      <c r="D3700" s="230"/>
      <c r="E3700" s="384"/>
      <c r="F3700" s="196"/>
      <c r="G3700" s="196"/>
      <c r="H3700" s="196"/>
      <c r="I3700" s="196"/>
      <c r="J3700" s="114"/>
      <c r="AW3700" s="117"/>
      <c r="AX3700" s="117"/>
      <c r="AY3700" s="117"/>
      <c r="AZ3700" s="117"/>
      <c r="BA3700" s="117"/>
      <c r="BB3700" s="117"/>
      <c r="BC3700" s="117"/>
      <c r="BD3700" s="117"/>
    </row>
    <row r="3701" spans="1:56" ht="15">
      <c r="A3701" s="114"/>
      <c r="B3701" s="386"/>
      <c r="C3701" s="386"/>
      <c r="D3701" s="386"/>
      <c r="E3701" s="386"/>
      <c r="F3701" s="386"/>
      <c r="G3701" s="386"/>
      <c r="H3701" s="386"/>
      <c r="I3701" s="386"/>
      <c r="J3701" s="114"/>
      <c r="AW3701" s="117"/>
      <c r="AX3701" s="117"/>
      <c r="AY3701" s="117"/>
      <c r="AZ3701" s="117"/>
      <c r="BA3701" s="117"/>
      <c r="BB3701" s="117"/>
      <c r="BC3701" s="117"/>
      <c r="BD3701" s="117"/>
    </row>
    <row r="3702" spans="1:56" ht="15">
      <c r="A3702" s="114"/>
      <c r="B3702" s="293"/>
      <c r="C3702" s="387"/>
      <c r="D3702" s="387"/>
      <c r="E3702" s="387"/>
      <c r="F3702" s="387"/>
      <c r="G3702" s="387"/>
      <c r="H3702" s="386"/>
      <c r="I3702" s="386"/>
      <c r="J3702" s="114"/>
      <c r="AW3702" s="117"/>
      <c r="AX3702" s="117"/>
      <c r="AY3702" s="117"/>
      <c r="AZ3702" s="117"/>
      <c r="BA3702" s="117"/>
      <c r="BB3702" s="117"/>
      <c r="BC3702" s="117"/>
      <c r="BD3702" s="117"/>
    </row>
    <row r="3703" spans="1:56">
      <c r="A3703" s="114"/>
      <c r="B3703" s="385" t="s">
        <v>2219</v>
      </c>
      <c r="C3703" s="196"/>
      <c r="D3703" s="196"/>
      <c r="E3703" s="196"/>
      <c r="F3703" s="196"/>
      <c r="G3703" s="196"/>
      <c r="H3703" s="196"/>
      <c r="I3703" s="196"/>
      <c r="J3703" s="114"/>
      <c r="AW3703" s="117"/>
      <c r="AX3703" s="117"/>
      <c r="AY3703" s="117"/>
      <c r="AZ3703" s="117"/>
      <c r="BA3703" s="117"/>
      <c r="BB3703" s="117"/>
      <c r="BC3703" s="117"/>
      <c r="BD3703" s="117"/>
    </row>
    <row r="3704" spans="1:56" ht="15">
      <c r="A3704" s="114"/>
      <c r="B3704" s="196"/>
      <c r="C3704" s="196"/>
      <c r="D3704" s="196"/>
      <c r="E3704" s="196"/>
      <c r="F3704" s="196"/>
      <c r="G3704" s="196"/>
      <c r="H3704" s="196"/>
      <c r="I3704" s="196"/>
      <c r="J3704" s="114"/>
      <c r="AW3704" s="117"/>
      <c r="AX3704" s="117"/>
      <c r="AY3704" s="117"/>
      <c r="AZ3704" s="117"/>
      <c r="BA3704" s="117"/>
      <c r="BB3704" s="117"/>
      <c r="BC3704" s="117"/>
      <c r="BD3704" s="117"/>
    </row>
    <row r="3705" spans="1:56" ht="15">
      <c r="A3705" s="114"/>
      <c r="B3705" s="388" t="s">
        <v>1110</v>
      </c>
      <c r="C3705" s="389">
        <v>0.25</v>
      </c>
      <c r="D3705" s="390" t="s">
        <v>10</v>
      </c>
      <c r="E3705" s="196"/>
      <c r="F3705" s="196"/>
      <c r="G3705" s="392"/>
      <c r="H3705" s="393"/>
      <c r="I3705" s="196"/>
      <c r="J3705" s="114"/>
      <c r="AW3705" s="117"/>
      <c r="AX3705" s="117"/>
      <c r="AY3705" s="117"/>
      <c r="AZ3705" s="117"/>
      <c r="BA3705" s="117"/>
      <c r="BB3705" s="117"/>
      <c r="BC3705" s="117"/>
      <c r="BD3705" s="117"/>
    </row>
    <row r="3706" spans="1:56" ht="15">
      <c r="A3706" s="114"/>
      <c r="B3706" s="388" t="s">
        <v>1111</v>
      </c>
      <c r="C3706" s="391">
        <v>17.25</v>
      </c>
      <c r="D3706" s="390" t="s">
        <v>10</v>
      </c>
      <c r="E3706" s="196"/>
      <c r="F3706" s="196"/>
      <c r="G3706" s="392"/>
      <c r="H3706" s="393"/>
      <c r="I3706" s="196"/>
      <c r="J3706" s="114"/>
      <c r="AW3706" s="117"/>
      <c r="AX3706" s="117"/>
      <c r="AY3706" s="117"/>
      <c r="AZ3706" s="117"/>
      <c r="BA3706" s="117"/>
      <c r="BB3706" s="117"/>
      <c r="BC3706" s="117"/>
      <c r="BD3706" s="117"/>
    </row>
    <row r="3707" spans="1:56" ht="15">
      <c r="A3707" s="114"/>
      <c r="B3707" s="388" t="s">
        <v>1112</v>
      </c>
      <c r="C3707" s="389">
        <v>0.4</v>
      </c>
      <c r="D3707" s="390" t="s">
        <v>10</v>
      </c>
      <c r="E3707" s="196"/>
      <c r="F3707" s="196"/>
      <c r="G3707" s="392"/>
      <c r="H3707" s="393"/>
      <c r="I3707" s="196"/>
      <c r="J3707" s="114"/>
      <c r="AW3707" s="117"/>
      <c r="AX3707" s="117"/>
      <c r="AY3707" s="117"/>
      <c r="AZ3707" s="117"/>
      <c r="BA3707" s="117"/>
      <c r="BB3707" s="117"/>
      <c r="BC3707" s="117"/>
      <c r="BD3707" s="117"/>
    </row>
    <row r="3708" spans="1:56" ht="15">
      <c r="A3708" s="114"/>
      <c r="B3708" s="388" t="s">
        <v>1113</v>
      </c>
      <c r="C3708" s="389">
        <v>0.6</v>
      </c>
      <c r="D3708" s="390" t="s">
        <v>10</v>
      </c>
      <c r="E3708" s="196"/>
      <c r="F3708" s="196"/>
      <c r="G3708" s="392"/>
      <c r="H3708" s="394"/>
      <c r="I3708" s="196"/>
      <c r="J3708" s="114"/>
      <c r="AW3708" s="117"/>
      <c r="AX3708" s="117"/>
      <c r="AY3708" s="117"/>
      <c r="AZ3708" s="117"/>
      <c r="BA3708" s="117"/>
      <c r="BB3708" s="117"/>
      <c r="BC3708" s="117"/>
      <c r="BD3708" s="117"/>
    </row>
    <row r="3709" spans="1:56" ht="15">
      <c r="A3709" s="114"/>
      <c r="B3709" s="388" t="s">
        <v>1117</v>
      </c>
      <c r="C3709" s="389">
        <v>1</v>
      </c>
      <c r="D3709" s="390" t="s">
        <v>1118</v>
      </c>
      <c r="E3709" s="196"/>
      <c r="F3709" s="196"/>
      <c r="G3709" s="392"/>
      <c r="H3709" s="393"/>
      <c r="I3709" s="196"/>
      <c r="J3709" s="114"/>
      <c r="AW3709" s="117"/>
      <c r="AX3709" s="117"/>
      <c r="AY3709" s="117"/>
      <c r="AZ3709" s="117"/>
      <c r="BA3709" s="117"/>
      <c r="BB3709" s="117"/>
      <c r="BC3709" s="117"/>
      <c r="BD3709" s="117"/>
    </row>
    <row r="3710" spans="1:56" ht="15">
      <c r="A3710" s="114"/>
      <c r="B3710" s="392"/>
      <c r="C3710" s="393"/>
      <c r="D3710" s="196"/>
      <c r="E3710" s="196"/>
      <c r="F3710" s="196"/>
      <c r="G3710" s="392"/>
      <c r="H3710" s="393"/>
      <c r="I3710" s="196"/>
      <c r="J3710" s="114"/>
      <c r="AW3710" s="117"/>
      <c r="AX3710" s="117"/>
      <c r="AY3710" s="117"/>
      <c r="AZ3710" s="117"/>
      <c r="BA3710" s="117"/>
      <c r="BB3710" s="117"/>
      <c r="BC3710" s="117"/>
      <c r="BD3710" s="117"/>
    </row>
    <row r="3711" spans="1:56" ht="15">
      <c r="A3711" s="114"/>
      <c r="B3711" s="388" t="s">
        <v>1114</v>
      </c>
      <c r="C3711" s="389">
        <v>0.6</v>
      </c>
      <c r="D3711" s="390" t="s">
        <v>10</v>
      </c>
      <c r="E3711" s="288" t="s">
        <v>1120</v>
      </c>
      <c r="F3711" s="288"/>
      <c r="G3711" s="230"/>
      <c r="H3711" s="395"/>
      <c r="I3711" s="196"/>
      <c r="J3711" s="114"/>
      <c r="AW3711" s="117"/>
      <c r="AX3711" s="117"/>
      <c r="AY3711" s="117"/>
      <c r="AZ3711" s="117"/>
      <c r="BA3711" s="117"/>
      <c r="BB3711" s="117"/>
      <c r="BC3711" s="117"/>
      <c r="BD3711" s="117"/>
    </row>
    <row r="3712" spans="1:56" ht="15">
      <c r="A3712" s="114"/>
      <c r="B3712" s="388" t="s">
        <v>1114</v>
      </c>
      <c r="C3712" s="389">
        <v>0.2</v>
      </c>
      <c r="D3712" s="390" t="s">
        <v>10</v>
      </c>
      <c r="E3712" s="288" t="s">
        <v>1121</v>
      </c>
      <c r="F3712" s="288"/>
      <c r="G3712" s="230"/>
      <c r="H3712" s="395"/>
      <c r="I3712" s="196"/>
      <c r="J3712" s="114"/>
      <c r="AW3712" s="117"/>
      <c r="AX3712" s="117"/>
      <c r="AY3712" s="117"/>
      <c r="AZ3712" s="117"/>
      <c r="BA3712" s="117"/>
      <c r="BB3712" s="117"/>
      <c r="BC3712" s="117"/>
      <c r="BD3712" s="117"/>
    </row>
    <row r="3713" spans="1:56" ht="15">
      <c r="A3713" s="114"/>
      <c r="B3713" s="196"/>
      <c r="C3713" s="196"/>
      <c r="D3713" s="196"/>
      <c r="E3713" s="196"/>
      <c r="F3713" s="196"/>
      <c r="G3713" s="196"/>
      <c r="H3713" s="196"/>
      <c r="I3713" s="196"/>
      <c r="J3713" s="114"/>
      <c r="AW3713" s="117"/>
      <c r="AX3713" s="117"/>
      <c r="AY3713" s="117"/>
      <c r="AZ3713" s="117"/>
      <c r="BA3713" s="117"/>
      <c r="BB3713" s="117"/>
      <c r="BC3713" s="117"/>
      <c r="BD3713" s="117"/>
    </row>
    <row r="3714" spans="1:56" ht="15">
      <c r="A3714" s="114"/>
      <c r="B3714" s="303" t="s">
        <v>1122</v>
      </c>
      <c r="C3714" s="362"/>
      <c r="D3714" s="362"/>
      <c r="E3714" s="196"/>
      <c r="F3714" s="196"/>
      <c r="G3714" s="196"/>
      <c r="H3714" s="196"/>
      <c r="I3714" s="196"/>
      <c r="J3714" s="114"/>
      <c r="AW3714" s="117"/>
      <c r="AX3714" s="117"/>
      <c r="AY3714" s="117"/>
      <c r="AZ3714" s="117"/>
      <c r="BA3714" s="117"/>
      <c r="BB3714" s="117"/>
      <c r="BC3714" s="117"/>
      <c r="BD3714" s="117"/>
    </row>
    <row r="3715" spans="1:56" ht="18">
      <c r="A3715" s="114"/>
      <c r="B3715" s="396" t="s">
        <v>1123</v>
      </c>
      <c r="C3715" s="289"/>
      <c r="D3715" s="290"/>
      <c r="E3715" s="397">
        <f>C3709*(C3711*2*(0.05+C3708+C3707)*C3706)</f>
        <v>21.734999999999999</v>
      </c>
      <c r="F3715" s="390" t="s">
        <v>1124</v>
      </c>
      <c r="G3715" s="196"/>
      <c r="H3715" s="196"/>
      <c r="I3715" s="196"/>
      <c r="J3715" s="114"/>
      <c r="AW3715" s="117"/>
      <c r="AX3715" s="117"/>
      <c r="AY3715" s="117"/>
      <c r="AZ3715" s="117"/>
      <c r="BA3715" s="117"/>
      <c r="BB3715" s="117"/>
      <c r="BC3715" s="117"/>
      <c r="BD3715" s="117"/>
    </row>
    <row r="3716" spans="1:56" ht="18">
      <c r="A3716" s="114"/>
      <c r="B3716" s="398" t="s">
        <v>1125</v>
      </c>
      <c r="C3716" s="172"/>
      <c r="D3716" s="173"/>
      <c r="E3716" s="397">
        <f>E3715-(E3720+E3722)</f>
        <v>18.802499999999998</v>
      </c>
      <c r="F3716" s="390" t="s">
        <v>1124</v>
      </c>
      <c r="G3716" s="196"/>
      <c r="H3716" s="196"/>
      <c r="I3716" s="196"/>
      <c r="J3716" s="114"/>
      <c r="AW3716" s="117"/>
      <c r="AX3716" s="117"/>
      <c r="AY3716" s="117"/>
      <c r="AZ3716" s="117"/>
      <c r="BA3716" s="117"/>
      <c r="BB3716" s="117"/>
      <c r="BC3716" s="117"/>
      <c r="BD3716" s="117"/>
    </row>
    <row r="3717" spans="1:56" ht="15">
      <c r="A3717" s="114"/>
      <c r="B3717" s="399" t="s">
        <v>1126</v>
      </c>
      <c r="C3717" s="317"/>
      <c r="D3717" s="318"/>
      <c r="E3717" s="400">
        <f>(2*C3712)*C3706</f>
        <v>6.9</v>
      </c>
      <c r="F3717" s="390" t="s">
        <v>13</v>
      </c>
      <c r="G3717" s="196"/>
      <c r="H3717" s="196"/>
      <c r="I3717" s="196"/>
      <c r="J3717" s="114"/>
      <c r="AW3717" s="117"/>
      <c r="AX3717" s="117"/>
      <c r="AY3717" s="117"/>
      <c r="AZ3717" s="117"/>
      <c r="BA3717" s="117"/>
      <c r="BB3717" s="117"/>
      <c r="BC3717" s="117"/>
      <c r="BD3717" s="117"/>
    </row>
    <row r="3718" spans="1:56" ht="15">
      <c r="A3718" s="114"/>
      <c r="B3718" s="196"/>
      <c r="C3718" s="196"/>
      <c r="D3718" s="196"/>
      <c r="E3718" s="401"/>
      <c r="F3718" s="196"/>
      <c r="G3718" s="196"/>
      <c r="H3718" s="196"/>
      <c r="I3718" s="196"/>
      <c r="J3718" s="114"/>
      <c r="AW3718" s="117"/>
      <c r="AX3718" s="117"/>
      <c r="AY3718" s="117"/>
      <c r="AZ3718" s="117"/>
      <c r="BA3718" s="117"/>
      <c r="BB3718" s="117"/>
      <c r="BC3718" s="117"/>
      <c r="BD3718" s="117"/>
    </row>
    <row r="3719" spans="1:56" ht="15">
      <c r="A3719" s="114"/>
      <c r="B3719" s="303" t="s">
        <v>1127</v>
      </c>
      <c r="C3719" s="196"/>
      <c r="D3719" s="196"/>
      <c r="E3719" s="401"/>
      <c r="F3719" s="196"/>
      <c r="G3719" s="196"/>
      <c r="H3719" s="196"/>
      <c r="I3719" s="196"/>
      <c r="J3719" s="114"/>
      <c r="AW3719" s="117"/>
      <c r="AX3719" s="117"/>
      <c r="AY3719" s="117"/>
      <c r="AZ3719" s="117"/>
      <c r="BA3719" s="117"/>
      <c r="BB3719" s="117"/>
      <c r="BC3719" s="117"/>
      <c r="BD3719" s="117"/>
    </row>
    <row r="3720" spans="1:56" ht="18">
      <c r="A3720" s="114"/>
      <c r="B3720" s="398" t="s">
        <v>1128</v>
      </c>
      <c r="C3720" s="172"/>
      <c r="D3720" s="173"/>
      <c r="E3720" s="402">
        <f>E3717*0.05</f>
        <v>0.34500000000000003</v>
      </c>
      <c r="F3720" s="390" t="s">
        <v>1124</v>
      </c>
      <c r="G3720" s="196"/>
      <c r="H3720" s="196"/>
      <c r="I3720" s="196"/>
      <c r="J3720" s="114"/>
      <c r="AW3720" s="117"/>
      <c r="AX3720" s="117"/>
      <c r="AY3720" s="117"/>
      <c r="AZ3720" s="117"/>
      <c r="BA3720" s="117"/>
      <c r="BB3720" s="117"/>
      <c r="BC3720" s="117"/>
      <c r="BD3720" s="117"/>
    </row>
    <row r="3721" spans="1:56" ht="15">
      <c r="A3721" s="114"/>
      <c r="B3721" s="398" t="s">
        <v>1129</v>
      </c>
      <c r="C3721" s="172"/>
      <c r="D3721" s="173"/>
      <c r="E3721" s="397">
        <f>C3708*2*C3706</f>
        <v>20.7</v>
      </c>
      <c r="F3721" s="390" t="s">
        <v>13</v>
      </c>
      <c r="G3721" s="393" t="s">
        <v>1108</v>
      </c>
      <c r="H3721" s="196" t="s">
        <v>1131</v>
      </c>
      <c r="I3721" s="393"/>
      <c r="J3721" s="114"/>
      <c r="AW3721" s="117"/>
      <c r="AX3721" s="117"/>
      <c r="AY3721" s="117"/>
      <c r="AZ3721" s="117"/>
      <c r="BA3721" s="117"/>
      <c r="BB3721" s="117"/>
      <c r="BC3721" s="117"/>
      <c r="BD3721" s="117"/>
    </row>
    <row r="3722" spans="1:56" ht="18">
      <c r="A3722" s="114"/>
      <c r="B3722" s="398" t="s">
        <v>1130</v>
      </c>
      <c r="C3722" s="172"/>
      <c r="D3722" s="173"/>
      <c r="E3722" s="402">
        <f>C3705*C3706*C3708</f>
        <v>2.5874999999999999</v>
      </c>
      <c r="F3722" s="390" t="s">
        <v>1124</v>
      </c>
      <c r="G3722" s="196"/>
      <c r="H3722" s="196"/>
      <c r="I3722" s="196"/>
      <c r="J3722" s="114"/>
      <c r="AW3722" s="117"/>
      <c r="AX3722" s="117"/>
      <c r="AY3722" s="117"/>
      <c r="AZ3722" s="117"/>
      <c r="BA3722" s="117"/>
      <c r="BB3722" s="117"/>
      <c r="BC3722" s="117"/>
      <c r="BD3722" s="117"/>
    </row>
    <row r="3723" spans="1:56" ht="15">
      <c r="A3723" s="114"/>
      <c r="B3723" s="288"/>
      <c r="C3723" s="230"/>
      <c r="D3723" s="230"/>
      <c r="E3723" s="384"/>
      <c r="F3723" s="196"/>
      <c r="G3723" s="196"/>
      <c r="H3723" s="196"/>
      <c r="I3723" s="196"/>
      <c r="J3723" s="114"/>
      <c r="AW3723" s="117"/>
      <c r="AX3723" s="117"/>
      <c r="AY3723" s="117"/>
      <c r="AZ3723" s="117"/>
      <c r="BA3723" s="117"/>
      <c r="BB3723" s="117"/>
      <c r="BC3723" s="117"/>
      <c r="BD3723" s="117"/>
    </row>
    <row r="3724" spans="1:56" ht="15">
      <c r="A3724" s="114"/>
      <c r="B3724" s="386"/>
      <c r="C3724" s="386"/>
      <c r="D3724" s="386"/>
      <c r="E3724" s="386"/>
      <c r="F3724" s="386"/>
      <c r="G3724" s="386"/>
      <c r="H3724" s="386"/>
      <c r="I3724" s="386"/>
      <c r="J3724" s="114"/>
      <c r="AW3724" s="117"/>
      <c r="AX3724" s="117"/>
      <c r="AY3724" s="117"/>
      <c r="AZ3724" s="117"/>
      <c r="BA3724" s="117"/>
      <c r="BB3724" s="117"/>
      <c r="BC3724" s="117"/>
      <c r="BD3724" s="117"/>
    </row>
    <row r="3725" spans="1:56" ht="15">
      <c r="A3725" s="114"/>
      <c r="B3725" s="293"/>
      <c r="C3725" s="387"/>
      <c r="D3725" s="387"/>
      <c r="E3725" s="387"/>
      <c r="F3725" s="387"/>
      <c r="G3725" s="387"/>
      <c r="H3725" s="386"/>
      <c r="I3725" s="386"/>
      <c r="J3725" s="114"/>
      <c r="AW3725" s="117"/>
      <c r="AX3725" s="117"/>
      <c r="AY3725" s="117"/>
      <c r="AZ3725" s="117"/>
      <c r="BA3725" s="117"/>
      <c r="BB3725" s="117"/>
      <c r="BC3725" s="117"/>
      <c r="BD3725" s="117"/>
    </row>
    <row r="3726" spans="1:56">
      <c r="A3726" s="114"/>
      <c r="B3726" s="385" t="s">
        <v>2220</v>
      </c>
      <c r="C3726" s="196"/>
      <c r="D3726" s="196"/>
      <c r="E3726" s="196"/>
      <c r="F3726" s="196"/>
      <c r="G3726" s="196"/>
      <c r="H3726" s="196"/>
      <c r="I3726" s="196"/>
      <c r="J3726" s="114"/>
      <c r="AW3726" s="117"/>
      <c r="AX3726" s="117"/>
      <c r="AY3726" s="117"/>
      <c r="AZ3726" s="117"/>
      <c r="BA3726" s="117"/>
      <c r="BB3726" s="117"/>
      <c r="BC3726" s="117"/>
      <c r="BD3726" s="117"/>
    </row>
    <row r="3727" spans="1:56" ht="15">
      <c r="A3727" s="114"/>
      <c r="B3727" s="196"/>
      <c r="C3727" s="196"/>
      <c r="D3727" s="196"/>
      <c r="E3727" s="196"/>
      <c r="F3727" s="196"/>
      <c r="G3727" s="196"/>
      <c r="H3727" s="196"/>
      <c r="I3727" s="196"/>
      <c r="J3727" s="114"/>
      <c r="AW3727" s="117"/>
      <c r="AX3727" s="117"/>
      <c r="AY3727" s="117"/>
      <c r="AZ3727" s="117"/>
      <c r="BA3727" s="117"/>
      <c r="BB3727" s="117"/>
      <c r="BC3727" s="117"/>
      <c r="BD3727" s="117"/>
    </row>
    <row r="3728" spans="1:56" ht="15">
      <c r="A3728" s="114"/>
      <c r="B3728" s="388" t="s">
        <v>1110</v>
      </c>
      <c r="C3728" s="389">
        <v>0.25</v>
      </c>
      <c r="D3728" s="390" t="s">
        <v>10</v>
      </c>
      <c r="E3728" s="196"/>
      <c r="F3728" s="196"/>
      <c r="G3728" s="392"/>
      <c r="H3728" s="944"/>
      <c r="I3728" s="196"/>
      <c r="J3728" s="114"/>
      <c r="AW3728" s="117"/>
      <c r="AX3728" s="117"/>
      <c r="AY3728" s="117"/>
      <c r="AZ3728" s="117"/>
      <c r="BA3728" s="117"/>
      <c r="BB3728" s="117"/>
      <c r="BC3728" s="117"/>
      <c r="BD3728" s="117"/>
    </row>
    <row r="3729" spans="1:56" ht="15">
      <c r="A3729" s="114"/>
      <c r="B3729" s="388" t="s">
        <v>1111</v>
      </c>
      <c r="C3729" s="391">
        <v>2.48</v>
      </c>
      <c r="D3729" s="390" t="s">
        <v>10</v>
      </c>
      <c r="E3729" s="196"/>
      <c r="F3729" s="196"/>
      <c r="G3729" s="392"/>
      <c r="H3729" s="944"/>
      <c r="I3729" s="196"/>
      <c r="J3729" s="114"/>
      <c r="AW3729" s="117"/>
      <c r="AX3729" s="117"/>
      <c r="AY3729" s="117"/>
      <c r="AZ3729" s="117"/>
      <c r="BA3729" s="117"/>
      <c r="BB3729" s="117"/>
      <c r="BC3729" s="117"/>
      <c r="BD3729" s="117"/>
    </row>
    <row r="3730" spans="1:56" ht="15">
      <c r="A3730" s="114"/>
      <c r="B3730" s="388" t="s">
        <v>1112</v>
      </c>
      <c r="C3730" s="389">
        <v>0.4</v>
      </c>
      <c r="D3730" s="390" t="s">
        <v>10</v>
      </c>
      <c r="E3730" s="196"/>
      <c r="F3730" s="196"/>
      <c r="G3730" s="392"/>
      <c r="H3730" s="944"/>
      <c r="I3730" s="196"/>
      <c r="J3730" s="114"/>
      <c r="AW3730" s="117"/>
      <c r="AX3730" s="117"/>
      <c r="AY3730" s="117"/>
      <c r="AZ3730" s="117"/>
      <c r="BA3730" s="117"/>
      <c r="BB3730" s="117"/>
      <c r="BC3730" s="117"/>
      <c r="BD3730" s="117"/>
    </row>
    <row r="3731" spans="1:56" ht="15">
      <c r="A3731" s="114"/>
      <c r="B3731" s="388" t="s">
        <v>1113</v>
      </c>
      <c r="C3731" s="389">
        <v>0.7</v>
      </c>
      <c r="D3731" s="390" t="s">
        <v>10</v>
      </c>
      <c r="E3731" s="196"/>
      <c r="F3731" s="196"/>
      <c r="G3731" s="392"/>
      <c r="H3731" s="394"/>
      <c r="I3731" s="196"/>
      <c r="J3731" s="114"/>
      <c r="AW3731" s="117"/>
      <c r="AX3731" s="117"/>
      <c r="AY3731" s="117"/>
      <c r="AZ3731" s="117"/>
      <c r="BA3731" s="117"/>
      <c r="BB3731" s="117"/>
      <c r="BC3731" s="117"/>
      <c r="BD3731" s="117"/>
    </row>
    <row r="3732" spans="1:56" ht="15">
      <c r="A3732" s="114"/>
      <c r="B3732" s="388" t="s">
        <v>1117</v>
      </c>
      <c r="C3732" s="389">
        <v>1</v>
      </c>
      <c r="D3732" s="390" t="s">
        <v>1118</v>
      </c>
      <c r="E3732" s="196"/>
      <c r="F3732" s="196"/>
      <c r="G3732" s="392"/>
      <c r="H3732" s="944"/>
      <c r="I3732" s="196"/>
      <c r="J3732" s="114"/>
      <c r="AW3732" s="117"/>
      <c r="AX3732" s="117"/>
      <c r="AY3732" s="117"/>
      <c r="AZ3732" s="117"/>
      <c r="BA3732" s="117"/>
      <c r="BB3732" s="117"/>
      <c r="BC3732" s="117"/>
      <c r="BD3732" s="117"/>
    </row>
    <row r="3733" spans="1:56" ht="15">
      <c r="A3733" s="114"/>
      <c r="B3733" s="392"/>
      <c r="C3733" s="944"/>
      <c r="D3733" s="196"/>
      <c r="E3733" s="196"/>
      <c r="F3733" s="196"/>
      <c r="G3733" s="392"/>
      <c r="H3733" s="944"/>
      <c r="I3733" s="196"/>
      <c r="J3733" s="114"/>
      <c r="AW3733" s="117"/>
      <c r="AX3733" s="117"/>
      <c r="AY3733" s="117"/>
      <c r="AZ3733" s="117"/>
      <c r="BA3733" s="117"/>
      <c r="BB3733" s="117"/>
      <c r="BC3733" s="117"/>
      <c r="BD3733" s="117"/>
    </row>
    <row r="3734" spans="1:56" ht="15">
      <c r="A3734" s="114"/>
      <c r="B3734" s="388" t="s">
        <v>1114</v>
      </c>
      <c r="C3734" s="389">
        <v>0.6</v>
      </c>
      <c r="D3734" s="390" t="s">
        <v>10</v>
      </c>
      <c r="E3734" s="288" t="s">
        <v>1120</v>
      </c>
      <c r="F3734" s="288"/>
      <c r="G3734" s="230"/>
      <c r="H3734" s="395"/>
      <c r="I3734" s="196"/>
      <c r="J3734" s="114"/>
      <c r="AW3734" s="117"/>
      <c r="AX3734" s="117"/>
      <c r="AY3734" s="117"/>
      <c r="AZ3734" s="117"/>
      <c r="BA3734" s="117"/>
      <c r="BB3734" s="117"/>
      <c r="BC3734" s="117"/>
      <c r="BD3734" s="117"/>
    </row>
    <row r="3735" spans="1:56" ht="15">
      <c r="A3735" s="114"/>
      <c r="B3735" s="388" t="s">
        <v>1114</v>
      </c>
      <c r="C3735" s="389">
        <v>0.2</v>
      </c>
      <c r="D3735" s="390" t="s">
        <v>10</v>
      </c>
      <c r="E3735" s="288" t="s">
        <v>1121</v>
      </c>
      <c r="F3735" s="288"/>
      <c r="G3735" s="230"/>
      <c r="H3735" s="395"/>
      <c r="I3735" s="196"/>
      <c r="J3735" s="114"/>
      <c r="AW3735" s="117"/>
      <c r="AX3735" s="117"/>
      <c r="AY3735" s="117"/>
      <c r="AZ3735" s="117"/>
      <c r="BA3735" s="117"/>
      <c r="BB3735" s="117"/>
      <c r="BC3735" s="117"/>
      <c r="BD3735" s="117"/>
    </row>
    <row r="3736" spans="1:56" ht="15">
      <c r="A3736" s="114"/>
      <c r="B3736" s="196"/>
      <c r="C3736" s="196"/>
      <c r="D3736" s="196"/>
      <c r="E3736" s="196"/>
      <c r="F3736" s="196"/>
      <c r="G3736" s="196"/>
      <c r="H3736" s="196"/>
      <c r="I3736" s="196"/>
      <c r="J3736" s="114"/>
      <c r="AW3736" s="117"/>
      <c r="AX3736" s="117"/>
      <c r="AY3736" s="117"/>
      <c r="AZ3736" s="117"/>
      <c r="BA3736" s="117"/>
      <c r="BB3736" s="117"/>
      <c r="BC3736" s="117"/>
      <c r="BD3736" s="117"/>
    </row>
    <row r="3737" spans="1:56" ht="15">
      <c r="A3737" s="114"/>
      <c r="B3737" s="303" t="s">
        <v>1122</v>
      </c>
      <c r="C3737" s="943"/>
      <c r="D3737" s="943"/>
      <c r="E3737" s="196"/>
      <c r="F3737" s="196"/>
      <c r="G3737" s="196"/>
      <c r="H3737" s="196"/>
      <c r="I3737" s="196"/>
      <c r="J3737" s="114"/>
      <c r="AW3737" s="117"/>
      <c r="AX3737" s="117"/>
      <c r="AY3737" s="117"/>
      <c r="AZ3737" s="117"/>
      <c r="BA3737" s="117"/>
      <c r="BB3737" s="117"/>
      <c r="BC3737" s="117"/>
      <c r="BD3737" s="117"/>
    </row>
    <row r="3738" spans="1:56" ht="18">
      <c r="A3738" s="114"/>
      <c r="B3738" s="396" t="s">
        <v>1123</v>
      </c>
      <c r="C3738" s="289"/>
      <c r="D3738" s="290"/>
      <c r="E3738" s="397">
        <f>C3732*(C3734*2*(0.05+C3731+C3730)*C3729)</f>
        <v>3.4223999999999997</v>
      </c>
      <c r="F3738" s="390" t="s">
        <v>1124</v>
      </c>
      <c r="G3738" s="196"/>
      <c r="H3738" s="196"/>
      <c r="I3738" s="196"/>
      <c r="J3738" s="114"/>
      <c r="AW3738" s="117"/>
      <c r="AX3738" s="117"/>
      <c r="AY3738" s="117"/>
      <c r="AZ3738" s="117"/>
      <c r="BA3738" s="117"/>
      <c r="BB3738" s="117"/>
      <c r="BC3738" s="117"/>
      <c r="BD3738" s="117"/>
    </row>
    <row r="3739" spans="1:56" ht="18">
      <c r="A3739" s="114"/>
      <c r="B3739" s="947" t="s">
        <v>1125</v>
      </c>
      <c r="C3739" s="172"/>
      <c r="D3739" s="173"/>
      <c r="E3739" s="397">
        <f>E3738-(E3743+E3745)</f>
        <v>2.9387999999999996</v>
      </c>
      <c r="F3739" s="390" t="s">
        <v>1124</v>
      </c>
      <c r="G3739" s="196"/>
      <c r="H3739" s="196"/>
      <c r="I3739" s="196"/>
      <c r="J3739" s="114"/>
      <c r="AW3739" s="117"/>
      <c r="AX3739" s="117"/>
      <c r="AY3739" s="117"/>
      <c r="AZ3739" s="117"/>
      <c r="BA3739" s="117"/>
      <c r="BB3739" s="117"/>
      <c r="BC3739" s="117"/>
      <c r="BD3739" s="117"/>
    </row>
    <row r="3740" spans="1:56" ht="15">
      <c r="A3740" s="114"/>
      <c r="B3740" s="399" t="s">
        <v>1126</v>
      </c>
      <c r="C3740" s="317"/>
      <c r="D3740" s="318"/>
      <c r="E3740" s="400">
        <f>(2*C3735)*C3729</f>
        <v>0.99199999999999999</v>
      </c>
      <c r="F3740" s="390" t="s">
        <v>13</v>
      </c>
      <c r="G3740" s="196"/>
      <c r="H3740" s="196"/>
      <c r="I3740" s="196"/>
      <c r="J3740" s="114"/>
      <c r="AW3740" s="117"/>
      <c r="AX3740" s="117"/>
      <c r="AY3740" s="117"/>
      <c r="AZ3740" s="117"/>
      <c r="BA3740" s="117"/>
      <c r="BB3740" s="117"/>
      <c r="BC3740" s="117"/>
      <c r="BD3740" s="117"/>
    </row>
    <row r="3741" spans="1:56" ht="15">
      <c r="A3741" s="114"/>
      <c r="B3741" s="196"/>
      <c r="C3741" s="196"/>
      <c r="D3741" s="196"/>
      <c r="E3741" s="401"/>
      <c r="F3741" s="196"/>
      <c r="G3741" s="196"/>
      <c r="H3741" s="196"/>
      <c r="I3741" s="196"/>
      <c r="J3741" s="114"/>
      <c r="AW3741" s="117"/>
      <c r="AX3741" s="117"/>
      <c r="AY3741" s="117"/>
      <c r="AZ3741" s="117"/>
      <c r="BA3741" s="117"/>
      <c r="BB3741" s="117"/>
      <c r="BC3741" s="117"/>
      <c r="BD3741" s="117"/>
    </row>
    <row r="3742" spans="1:56" ht="15">
      <c r="A3742" s="114"/>
      <c r="B3742" s="303" t="s">
        <v>1127</v>
      </c>
      <c r="C3742" s="196"/>
      <c r="D3742" s="196"/>
      <c r="E3742" s="401"/>
      <c r="F3742" s="196"/>
      <c r="G3742" s="196"/>
      <c r="H3742" s="196"/>
      <c r="I3742" s="196"/>
      <c r="J3742" s="114"/>
      <c r="AW3742" s="117"/>
      <c r="AX3742" s="117"/>
      <c r="AY3742" s="117"/>
      <c r="AZ3742" s="117"/>
      <c r="BA3742" s="117"/>
      <c r="BB3742" s="117"/>
      <c r="BC3742" s="117"/>
      <c r="BD3742" s="117"/>
    </row>
    <row r="3743" spans="1:56" ht="18">
      <c r="A3743" s="114"/>
      <c r="B3743" s="947" t="s">
        <v>1128</v>
      </c>
      <c r="C3743" s="172"/>
      <c r="D3743" s="173"/>
      <c r="E3743" s="402">
        <f>E3740*0.05</f>
        <v>4.9600000000000005E-2</v>
      </c>
      <c r="F3743" s="390" t="s">
        <v>1124</v>
      </c>
      <c r="G3743" s="196"/>
      <c r="H3743" s="196"/>
      <c r="I3743" s="196"/>
      <c r="J3743" s="114"/>
      <c r="AW3743" s="117"/>
      <c r="AX3743" s="117"/>
      <c r="AY3743" s="117"/>
      <c r="AZ3743" s="117"/>
      <c r="BA3743" s="117"/>
      <c r="BB3743" s="117"/>
      <c r="BC3743" s="117"/>
      <c r="BD3743" s="117"/>
    </row>
    <row r="3744" spans="1:56" ht="15">
      <c r="A3744" s="114"/>
      <c r="B3744" s="947" t="s">
        <v>1129</v>
      </c>
      <c r="C3744" s="172"/>
      <c r="D3744" s="173"/>
      <c r="E3744" s="397">
        <f>C3731*2*C3729</f>
        <v>3.472</v>
      </c>
      <c r="F3744" s="390" t="s">
        <v>13</v>
      </c>
      <c r="G3744" s="944" t="s">
        <v>1108</v>
      </c>
      <c r="H3744" s="196" t="s">
        <v>1131</v>
      </c>
      <c r="I3744" s="944"/>
      <c r="J3744" s="114"/>
      <c r="AW3744" s="117"/>
      <c r="AX3744" s="117"/>
      <c r="AY3744" s="117"/>
      <c r="AZ3744" s="117"/>
      <c r="BA3744" s="117"/>
      <c r="BB3744" s="117"/>
      <c r="BC3744" s="117"/>
      <c r="BD3744" s="117"/>
    </row>
    <row r="3745" spans="1:56" ht="18">
      <c r="A3745" s="114"/>
      <c r="B3745" s="947" t="s">
        <v>1130</v>
      </c>
      <c r="C3745" s="172"/>
      <c r="D3745" s="173"/>
      <c r="E3745" s="402">
        <f>C3728*C3729*C3731</f>
        <v>0.434</v>
      </c>
      <c r="F3745" s="390" t="s">
        <v>1124</v>
      </c>
      <c r="G3745" s="196"/>
      <c r="H3745" s="196"/>
      <c r="I3745" s="196"/>
      <c r="J3745" s="114"/>
      <c r="AW3745" s="117"/>
      <c r="AX3745" s="117"/>
      <c r="AY3745" s="117"/>
      <c r="AZ3745" s="117"/>
      <c r="BA3745" s="117"/>
      <c r="BB3745" s="117"/>
      <c r="BC3745" s="117"/>
      <c r="BD3745" s="117"/>
    </row>
    <row r="3746" spans="1:56" ht="15">
      <c r="A3746" s="114"/>
      <c r="B3746" s="288"/>
      <c r="C3746" s="230"/>
      <c r="D3746" s="230"/>
      <c r="E3746" s="384"/>
      <c r="F3746" s="196"/>
      <c r="G3746" s="196"/>
      <c r="H3746" s="196"/>
      <c r="I3746" s="196"/>
      <c r="J3746" s="114"/>
      <c r="AW3746" s="117"/>
      <c r="AX3746" s="117"/>
      <c r="AY3746" s="117"/>
      <c r="AZ3746" s="117"/>
      <c r="BA3746" s="117"/>
      <c r="BB3746" s="117"/>
      <c r="BC3746" s="117"/>
      <c r="BD3746" s="117"/>
    </row>
    <row r="3747" spans="1:56" ht="15">
      <c r="A3747" s="114"/>
      <c r="B3747" s="293"/>
      <c r="C3747" s="387"/>
      <c r="D3747" s="387"/>
      <c r="E3747" s="387"/>
      <c r="F3747" s="387"/>
      <c r="G3747" s="387"/>
      <c r="H3747" s="386"/>
      <c r="I3747" s="386"/>
      <c r="J3747" s="114"/>
      <c r="AW3747" s="117"/>
      <c r="AX3747" s="117"/>
      <c r="AY3747" s="117"/>
      <c r="AZ3747" s="117"/>
      <c r="BA3747" s="117"/>
      <c r="BB3747" s="117"/>
      <c r="BC3747" s="117"/>
      <c r="BD3747" s="117"/>
    </row>
    <row r="3748" spans="1:56">
      <c r="A3748" s="114"/>
      <c r="B3748" s="385" t="s">
        <v>1269</v>
      </c>
      <c r="C3748" s="196"/>
      <c r="D3748" s="196"/>
      <c r="E3748" s="196"/>
      <c r="F3748" s="196"/>
      <c r="G3748" s="196"/>
      <c r="H3748" s="196"/>
      <c r="I3748" s="196"/>
      <c r="J3748" s="114"/>
      <c r="AW3748" s="117"/>
      <c r="AX3748" s="117"/>
      <c r="AY3748" s="117"/>
      <c r="AZ3748" s="117"/>
      <c r="BA3748" s="117"/>
      <c r="BB3748" s="117"/>
      <c r="BC3748" s="117"/>
      <c r="BD3748" s="117"/>
    </row>
    <row r="3749" spans="1:56" ht="15">
      <c r="A3749" s="114"/>
      <c r="B3749" s="196"/>
      <c r="C3749" s="196"/>
      <c r="D3749" s="196"/>
      <c r="E3749" s="196"/>
      <c r="F3749" s="196"/>
      <c r="G3749" s="196"/>
      <c r="H3749" s="196"/>
      <c r="I3749" s="196"/>
      <c r="J3749" s="114"/>
      <c r="AW3749" s="117"/>
      <c r="AX3749" s="117"/>
      <c r="AY3749" s="117"/>
      <c r="AZ3749" s="117"/>
      <c r="BA3749" s="117"/>
      <c r="BB3749" s="117"/>
      <c r="BC3749" s="117"/>
      <c r="BD3749" s="117"/>
    </row>
    <row r="3750" spans="1:56" ht="15">
      <c r="A3750" s="114"/>
      <c r="B3750" s="388" t="s">
        <v>1110</v>
      </c>
      <c r="C3750" s="389">
        <v>0.25</v>
      </c>
      <c r="D3750" s="390" t="s">
        <v>10</v>
      </c>
      <c r="E3750" s="196"/>
      <c r="F3750" s="196"/>
      <c r="G3750" s="392"/>
      <c r="H3750" s="393"/>
      <c r="I3750" s="196"/>
      <c r="J3750" s="114"/>
      <c r="AW3750" s="117"/>
      <c r="AX3750" s="117"/>
      <c r="AY3750" s="117"/>
      <c r="AZ3750" s="117"/>
      <c r="BA3750" s="117"/>
      <c r="BB3750" s="117"/>
      <c r="BC3750" s="117"/>
      <c r="BD3750" s="117"/>
    </row>
    <row r="3751" spans="1:56" ht="15">
      <c r="A3751" s="114"/>
      <c r="B3751" s="388" t="s">
        <v>1111</v>
      </c>
      <c r="C3751" s="391">
        <v>12.65</v>
      </c>
      <c r="D3751" s="390" t="s">
        <v>10</v>
      </c>
      <c r="E3751" s="196"/>
      <c r="F3751" s="196"/>
      <c r="G3751" s="392"/>
      <c r="H3751" s="393"/>
      <c r="I3751" s="196"/>
      <c r="J3751" s="114"/>
      <c r="AW3751" s="117"/>
      <c r="AX3751" s="117"/>
      <c r="AY3751" s="117"/>
      <c r="AZ3751" s="117"/>
      <c r="BA3751" s="117"/>
      <c r="BB3751" s="117"/>
      <c r="BC3751" s="117"/>
      <c r="BD3751" s="117"/>
    </row>
    <row r="3752" spans="1:56" ht="15">
      <c r="A3752" s="114"/>
      <c r="B3752" s="388" t="s">
        <v>1112</v>
      </c>
      <c r="C3752" s="389">
        <v>0</v>
      </c>
      <c r="D3752" s="390" t="s">
        <v>10</v>
      </c>
      <c r="E3752" s="196"/>
      <c r="F3752" s="196"/>
      <c r="G3752" s="392"/>
      <c r="H3752" s="393"/>
      <c r="I3752" s="196"/>
      <c r="J3752" s="114"/>
      <c r="AW3752" s="117"/>
      <c r="AX3752" s="117"/>
      <c r="AY3752" s="117"/>
      <c r="AZ3752" s="117"/>
      <c r="BA3752" s="117"/>
      <c r="BB3752" s="117"/>
      <c r="BC3752" s="117"/>
      <c r="BD3752" s="117"/>
    </row>
    <row r="3753" spans="1:56" ht="15">
      <c r="A3753" s="114"/>
      <c r="B3753" s="388" t="s">
        <v>1113</v>
      </c>
      <c r="C3753" s="389">
        <v>1.1000000000000001</v>
      </c>
      <c r="D3753" s="390" t="s">
        <v>10</v>
      </c>
      <c r="E3753" s="196"/>
      <c r="F3753" s="196"/>
      <c r="G3753" s="392"/>
      <c r="H3753" s="394"/>
      <c r="I3753" s="196"/>
      <c r="J3753" s="114"/>
      <c r="AW3753" s="117"/>
      <c r="AX3753" s="117"/>
      <c r="AY3753" s="117"/>
      <c r="AZ3753" s="117"/>
      <c r="BA3753" s="117"/>
      <c r="BB3753" s="117"/>
      <c r="BC3753" s="117"/>
      <c r="BD3753" s="117"/>
    </row>
    <row r="3754" spans="1:56" ht="15">
      <c r="A3754" s="114"/>
      <c r="B3754" s="388" t="s">
        <v>1117</v>
      </c>
      <c r="C3754" s="389">
        <v>2</v>
      </c>
      <c r="D3754" s="390" t="s">
        <v>1118</v>
      </c>
      <c r="E3754" s="196"/>
      <c r="F3754" s="196"/>
      <c r="G3754" s="392"/>
      <c r="H3754" s="393"/>
      <c r="I3754" s="196"/>
      <c r="J3754" s="114"/>
      <c r="AW3754" s="117"/>
      <c r="AX3754" s="117"/>
      <c r="AY3754" s="117"/>
      <c r="AZ3754" s="117"/>
      <c r="BA3754" s="117"/>
      <c r="BB3754" s="117"/>
      <c r="BC3754" s="117"/>
      <c r="BD3754" s="117"/>
    </row>
    <row r="3755" spans="1:56" ht="15">
      <c r="A3755" s="114"/>
      <c r="B3755" s="392"/>
      <c r="C3755" s="393"/>
      <c r="D3755" s="196"/>
      <c r="E3755" s="196"/>
      <c r="F3755" s="196"/>
      <c r="G3755" s="392"/>
      <c r="H3755" s="393"/>
      <c r="I3755" s="196"/>
      <c r="J3755" s="114"/>
      <c r="AW3755" s="117"/>
      <c r="AX3755" s="117"/>
      <c r="AY3755" s="117"/>
      <c r="AZ3755" s="117"/>
      <c r="BA3755" s="117"/>
      <c r="BB3755" s="117"/>
      <c r="BC3755" s="117"/>
      <c r="BD3755" s="117"/>
    </row>
    <row r="3756" spans="1:56" ht="15">
      <c r="A3756" s="114"/>
      <c r="B3756" s="388" t="s">
        <v>1114</v>
      </c>
      <c r="C3756" s="389">
        <v>0.6</v>
      </c>
      <c r="D3756" s="390" t="s">
        <v>10</v>
      </c>
      <c r="E3756" s="288" t="s">
        <v>1120</v>
      </c>
      <c r="F3756" s="288"/>
      <c r="G3756" s="230"/>
      <c r="H3756" s="395"/>
      <c r="I3756" s="196"/>
      <c r="J3756" s="114"/>
      <c r="AW3756" s="117"/>
      <c r="AX3756" s="117"/>
      <c r="AY3756" s="117"/>
      <c r="AZ3756" s="117"/>
      <c r="BA3756" s="117"/>
      <c r="BB3756" s="117"/>
      <c r="BC3756" s="117"/>
      <c r="BD3756" s="117"/>
    </row>
    <row r="3757" spans="1:56" ht="15">
      <c r="A3757" s="114"/>
      <c r="B3757" s="388" t="s">
        <v>1114</v>
      </c>
      <c r="C3757" s="389">
        <v>0.2</v>
      </c>
      <c r="D3757" s="390" t="s">
        <v>10</v>
      </c>
      <c r="E3757" s="288" t="s">
        <v>1121</v>
      </c>
      <c r="F3757" s="288"/>
      <c r="G3757" s="230"/>
      <c r="H3757" s="395"/>
      <c r="I3757" s="196"/>
      <c r="J3757" s="114"/>
      <c r="AW3757" s="117"/>
      <c r="AX3757" s="117"/>
      <c r="AY3757" s="117"/>
      <c r="AZ3757" s="117"/>
      <c r="BA3757" s="117"/>
      <c r="BB3757" s="117"/>
      <c r="BC3757" s="117"/>
      <c r="BD3757" s="117"/>
    </row>
    <row r="3758" spans="1:56" ht="15">
      <c r="A3758" s="114"/>
      <c r="B3758" s="196"/>
      <c r="C3758" s="196"/>
      <c r="D3758" s="196"/>
      <c r="E3758" s="196"/>
      <c r="F3758" s="196"/>
      <c r="G3758" s="196"/>
      <c r="H3758" s="196"/>
      <c r="I3758" s="196"/>
      <c r="J3758" s="114"/>
      <c r="AW3758" s="117"/>
      <c r="AX3758" s="117"/>
      <c r="AY3758" s="117"/>
      <c r="AZ3758" s="117"/>
      <c r="BA3758" s="117"/>
      <c r="BB3758" s="117"/>
      <c r="BC3758" s="117"/>
      <c r="BD3758" s="117"/>
    </row>
    <row r="3759" spans="1:56" ht="15">
      <c r="A3759" s="114"/>
      <c r="B3759" s="303" t="s">
        <v>1122</v>
      </c>
      <c r="C3759" s="362"/>
      <c r="D3759" s="362"/>
      <c r="E3759" s="196"/>
      <c r="F3759" s="196"/>
      <c r="G3759" s="196"/>
      <c r="H3759" s="196"/>
      <c r="I3759" s="196"/>
      <c r="J3759" s="114"/>
      <c r="AW3759" s="117"/>
      <c r="AX3759" s="117"/>
      <c r="AY3759" s="117"/>
      <c r="AZ3759" s="117"/>
      <c r="BA3759" s="117"/>
      <c r="BB3759" s="117"/>
      <c r="BC3759" s="117"/>
      <c r="BD3759" s="117"/>
    </row>
    <row r="3760" spans="1:56" ht="18">
      <c r="A3760" s="114"/>
      <c r="B3760" s="396" t="s">
        <v>1123</v>
      </c>
      <c r="C3760" s="289"/>
      <c r="D3760" s="290"/>
      <c r="E3760" s="397">
        <f>C3754*(C3756*2*(0.05+C3753+C3752)*C3751)</f>
        <v>34.914000000000001</v>
      </c>
      <c r="F3760" s="390" t="s">
        <v>1124</v>
      </c>
      <c r="G3760" s="196"/>
      <c r="H3760" s="196"/>
      <c r="I3760" s="196"/>
      <c r="J3760" s="114"/>
      <c r="AW3760" s="117"/>
      <c r="AX3760" s="117"/>
      <c r="AY3760" s="117"/>
      <c r="AZ3760" s="117"/>
      <c r="BA3760" s="117"/>
      <c r="BB3760" s="117"/>
      <c r="BC3760" s="117"/>
      <c r="BD3760" s="117"/>
    </row>
    <row r="3761" spans="1:56" ht="18">
      <c r="A3761" s="114"/>
      <c r="B3761" s="398" t="s">
        <v>1125</v>
      </c>
      <c r="C3761" s="172"/>
      <c r="D3761" s="173"/>
      <c r="E3761" s="397">
        <f>E3760-(E3765+E3767)</f>
        <v>31.18225</v>
      </c>
      <c r="F3761" s="390" t="s">
        <v>1124</v>
      </c>
      <c r="G3761" s="196"/>
      <c r="H3761" s="196"/>
      <c r="I3761" s="196"/>
      <c r="J3761" s="114"/>
      <c r="AW3761" s="117"/>
      <c r="AX3761" s="117"/>
      <c r="AY3761" s="117"/>
      <c r="AZ3761" s="117"/>
      <c r="BA3761" s="117"/>
      <c r="BB3761" s="117"/>
      <c r="BC3761" s="117"/>
      <c r="BD3761" s="117"/>
    </row>
    <row r="3762" spans="1:56" ht="15">
      <c r="A3762" s="114"/>
      <c r="B3762" s="399" t="s">
        <v>1126</v>
      </c>
      <c r="C3762" s="317"/>
      <c r="D3762" s="318"/>
      <c r="E3762" s="400">
        <f>(2*C3757)*C3751</f>
        <v>5.0600000000000005</v>
      </c>
      <c r="F3762" s="390" t="s">
        <v>13</v>
      </c>
      <c r="G3762" s="196"/>
      <c r="H3762" s="196"/>
      <c r="I3762" s="196"/>
      <c r="J3762" s="114"/>
      <c r="AW3762" s="117"/>
      <c r="AX3762" s="117"/>
      <c r="AY3762" s="117"/>
      <c r="AZ3762" s="117"/>
      <c r="BA3762" s="117"/>
      <c r="BB3762" s="117"/>
      <c r="BC3762" s="117"/>
      <c r="BD3762" s="117"/>
    </row>
    <row r="3763" spans="1:56" ht="15">
      <c r="A3763" s="114"/>
      <c r="B3763" s="196"/>
      <c r="C3763" s="196"/>
      <c r="D3763" s="196"/>
      <c r="E3763" s="401"/>
      <c r="F3763" s="196"/>
      <c r="G3763" s="196"/>
      <c r="H3763" s="196"/>
      <c r="I3763" s="196"/>
      <c r="J3763" s="114"/>
      <c r="AW3763" s="117"/>
      <c r="AX3763" s="117"/>
      <c r="AY3763" s="117"/>
      <c r="AZ3763" s="117"/>
      <c r="BA3763" s="117"/>
      <c r="BB3763" s="117"/>
      <c r="BC3763" s="117"/>
      <c r="BD3763" s="117"/>
    </row>
    <row r="3764" spans="1:56" ht="15">
      <c r="A3764" s="114"/>
      <c r="B3764" s="303" t="s">
        <v>1127</v>
      </c>
      <c r="C3764" s="196"/>
      <c r="D3764" s="196"/>
      <c r="E3764" s="401"/>
      <c r="F3764" s="196"/>
      <c r="G3764" s="196"/>
      <c r="H3764" s="196"/>
      <c r="I3764" s="196"/>
      <c r="J3764" s="114"/>
      <c r="AW3764" s="117"/>
      <c r="AX3764" s="117"/>
      <c r="AY3764" s="117"/>
      <c r="AZ3764" s="117"/>
      <c r="BA3764" s="117"/>
      <c r="BB3764" s="117"/>
      <c r="BC3764" s="117"/>
      <c r="BD3764" s="117"/>
    </row>
    <row r="3765" spans="1:56" ht="18">
      <c r="A3765" s="114"/>
      <c r="B3765" s="398" t="s">
        <v>1128</v>
      </c>
      <c r="C3765" s="172"/>
      <c r="D3765" s="173"/>
      <c r="E3765" s="402">
        <f>E3762*0.05</f>
        <v>0.25300000000000006</v>
      </c>
      <c r="F3765" s="390" t="s">
        <v>1124</v>
      </c>
      <c r="G3765" s="196"/>
      <c r="H3765" s="196"/>
      <c r="I3765" s="196"/>
      <c r="J3765" s="114"/>
      <c r="AW3765" s="117"/>
      <c r="AX3765" s="117"/>
      <c r="AY3765" s="117"/>
      <c r="AZ3765" s="117"/>
      <c r="BA3765" s="117"/>
      <c r="BB3765" s="117"/>
      <c r="BC3765" s="117"/>
      <c r="BD3765" s="117"/>
    </row>
    <row r="3766" spans="1:56" ht="15">
      <c r="A3766" s="114"/>
      <c r="B3766" s="398" t="s">
        <v>1129</v>
      </c>
      <c r="C3766" s="172"/>
      <c r="D3766" s="173"/>
      <c r="E3766" s="397">
        <f>C3753*2*C3751</f>
        <v>27.830000000000002</v>
      </c>
      <c r="F3766" s="390" t="s">
        <v>13</v>
      </c>
      <c r="G3766" s="393" t="s">
        <v>1108</v>
      </c>
      <c r="H3766" s="196" t="s">
        <v>1131</v>
      </c>
      <c r="I3766" s="393"/>
      <c r="J3766" s="114"/>
      <c r="AW3766" s="117"/>
      <c r="AX3766" s="117"/>
      <c r="AY3766" s="117"/>
      <c r="AZ3766" s="117"/>
      <c r="BA3766" s="117"/>
      <c r="BB3766" s="117"/>
      <c r="BC3766" s="117"/>
      <c r="BD3766" s="117"/>
    </row>
    <row r="3767" spans="1:56" ht="18">
      <c r="A3767" s="114"/>
      <c r="B3767" s="398" t="s">
        <v>1130</v>
      </c>
      <c r="C3767" s="172"/>
      <c r="D3767" s="173"/>
      <c r="E3767" s="402">
        <f>C3750*C3751*C3753</f>
        <v>3.4787500000000002</v>
      </c>
      <c r="F3767" s="390" t="s">
        <v>1124</v>
      </c>
      <c r="G3767" s="196"/>
      <c r="H3767" s="196"/>
      <c r="I3767" s="196"/>
      <c r="J3767" s="114"/>
      <c r="AW3767" s="117"/>
      <c r="AX3767" s="117"/>
      <c r="AY3767" s="117"/>
      <c r="AZ3767" s="117"/>
      <c r="BA3767" s="117"/>
      <c r="BB3767" s="117"/>
      <c r="BC3767" s="117"/>
      <c r="BD3767" s="117"/>
    </row>
    <row r="3768" spans="1:56" ht="15">
      <c r="A3768" s="114"/>
      <c r="B3768" s="288"/>
      <c r="C3768" s="230"/>
      <c r="D3768" s="230"/>
      <c r="E3768" s="384"/>
      <c r="F3768" s="196"/>
      <c r="G3768" s="196"/>
      <c r="H3768" s="196"/>
      <c r="I3768" s="196"/>
      <c r="J3768" s="114"/>
      <c r="AW3768" s="117"/>
      <c r="AX3768" s="117"/>
      <c r="AY3768" s="117"/>
      <c r="AZ3768" s="117"/>
      <c r="BA3768" s="117"/>
      <c r="BB3768" s="117"/>
      <c r="BC3768" s="117"/>
      <c r="BD3768" s="117"/>
    </row>
    <row r="3769" spans="1:56" ht="15">
      <c r="A3769" s="114"/>
      <c r="B3769" s="386"/>
      <c r="C3769" s="386"/>
      <c r="D3769" s="386"/>
      <c r="E3769" s="386"/>
      <c r="F3769" s="386"/>
      <c r="G3769" s="386"/>
      <c r="H3769" s="386"/>
      <c r="I3769" s="386"/>
      <c r="J3769" s="114"/>
      <c r="AW3769" s="117"/>
      <c r="AX3769" s="117"/>
      <c r="AY3769" s="117"/>
      <c r="AZ3769" s="117"/>
      <c r="BA3769" s="117"/>
      <c r="BB3769" s="117"/>
      <c r="BC3769" s="117"/>
      <c r="BD3769" s="117"/>
    </row>
    <row r="3770" spans="1:56" ht="15">
      <c r="A3770" s="114"/>
      <c r="B3770" s="293"/>
      <c r="C3770" s="387"/>
      <c r="D3770" s="387"/>
      <c r="E3770" s="387"/>
      <c r="F3770" s="387"/>
      <c r="G3770" s="387"/>
      <c r="H3770" s="386"/>
      <c r="I3770" s="386"/>
      <c r="J3770" s="114"/>
      <c r="AW3770" s="117"/>
      <c r="AX3770" s="117"/>
      <c r="AY3770" s="117"/>
      <c r="AZ3770" s="117"/>
      <c r="BA3770" s="117"/>
      <c r="BB3770" s="117"/>
      <c r="BC3770" s="117"/>
      <c r="BD3770" s="117"/>
    </row>
    <row r="3771" spans="1:56">
      <c r="A3771" s="114"/>
      <c r="B3771" s="385" t="s">
        <v>1270</v>
      </c>
      <c r="C3771" s="196"/>
      <c r="D3771" s="196"/>
      <c r="E3771" s="196"/>
      <c r="F3771" s="196"/>
      <c r="G3771" s="196"/>
      <c r="H3771" s="196"/>
      <c r="I3771" s="196"/>
      <c r="J3771" s="114"/>
      <c r="AW3771" s="117"/>
      <c r="AX3771" s="117"/>
      <c r="AY3771" s="117"/>
      <c r="AZ3771" s="117"/>
      <c r="BA3771" s="117"/>
      <c r="BB3771" s="117"/>
      <c r="BC3771" s="117"/>
      <c r="BD3771" s="117"/>
    </row>
    <row r="3772" spans="1:56" ht="15">
      <c r="A3772" s="114"/>
      <c r="B3772" s="196"/>
      <c r="C3772" s="196"/>
      <c r="D3772" s="196"/>
      <c r="E3772" s="196"/>
      <c r="F3772" s="196"/>
      <c r="G3772" s="196"/>
      <c r="H3772" s="196"/>
      <c r="I3772" s="196"/>
      <c r="J3772" s="114"/>
      <c r="AW3772" s="117"/>
      <c r="AX3772" s="117"/>
      <c r="AY3772" s="117"/>
      <c r="AZ3772" s="117"/>
      <c r="BA3772" s="117"/>
      <c r="BB3772" s="117"/>
      <c r="BC3772" s="117"/>
      <c r="BD3772" s="117"/>
    </row>
    <row r="3773" spans="1:56" ht="15">
      <c r="A3773" s="114"/>
      <c r="B3773" s="388" t="s">
        <v>1110</v>
      </c>
      <c r="C3773" s="389">
        <v>0.25</v>
      </c>
      <c r="D3773" s="390" t="s">
        <v>10</v>
      </c>
      <c r="E3773" s="196"/>
      <c r="F3773" s="196"/>
      <c r="G3773" s="392"/>
      <c r="H3773" s="393"/>
      <c r="I3773" s="196"/>
      <c r="J3773" s="114"/>
      <c r="AW3773" s="117"/>
      <c r="AX3773" s="117"/>
      <c r="AY3773" s="117"/>
      <c r="AZ3773" s="117"/>
      <c r="BA3773" s="117"/>
      <c r="BB3773" s="117"/>
      <c r="BC3773" s="117"/>
      <c r="BD3773" s="117"/>
    </row>
    <row r="3774" spans="1:56" ht="15">
      <c r="A3774" s="114"/>
      <c r="B3774" s="388" t="s">
        <v>1111</v>
      </c>
      <c r="C3774" s="391">
        <v>6.5</v>
      </c>
      <c r="D3774" s="390" t="s">
        <v>10</v>
      </c>
      <c r="E3774" s="196"/>
      <c r="F3774" s="196"/>
      <c r="G3774" s="392"/>
      <c r="H3774" s="393"/>
      <c r="I3774" s="196"/>
      <c r="J3774" s="114"/>
      <c r="AW3774" s="117"/>
      <c r="AX3774" s="117"/>
      <c r="AY3774" s="117"/>
      <c r="AZ3774" s="117"/>
      <c r="BA3774" s="117"/>
      <c r="BB3774" s="117"/>
      <c r="BC3774" s="117"/>
      <c r="BD3774" s="117"/>
    </row>
    <row r="3775" spans="1:56" ht="15">
      <c r="A3775" s="114"/>
      <c r="B3775" s="388" t="s">
        <v>1112</v>
      </c>
      <c r="C3775" s="389">
        <v>0</v>
      </c>
      <c r="D3775" s="390" t="s">
        <v>10</v>
      </c>
      <c r="E3775" s="196"/>
      <c r="F3775" s="196"/>
      <c r="G3775" s="392"/>
      <c r="H3775" s="393"/>
      <c r="I3775" s="196"/>
      <c r="J3775" s="114"/>
      <c r="AW3775" s="117"/>
      <c r="AX3775" s="117"/>
      <c r="AY3775" s="117"/>
      <c r="AZ3775" s="117"/>
      <c r="BA3775" s="117"/>
      <c r="BB3775" s="117"/>
      <c r="BC3775" s="117"/>
      <c r="BD3775" s="117"/>
    </row>
    <row r="3776" spans="1:56" ht="15">
      <c r="A3776" s="114"/>
      <c r="B3776" s="388" t="s">
        <v>1113</v>
      </c>
      <c r="C3776" s="389">
        <v>1.1000000000000001</v>
      </c>
      <c r="D3776" s="390" t="s">
        <v>10</v>
      </c>
      <c r="E3776" s="196"/>
      <c r="F3776" s="196"/>
      <c r="G3776" s="392"/>
      <c r="H3776" s="394"/>
      <c r="I3776" s="196"/>
      <c r="J3776" s="114"/>
      <c r="AW3776" s="117"/>
      <c r="AX3776" s="117"/>
      <c r="AY3776" s="117"/>
      <c r="AZ3776" s="117"/>
      <c r="BA3776" s="117"/>
      <c r="BB3776" s="117"/>
      <c r="BC3776" s="117"/>
      <c r="BD3776" s="117"/>
    </row>
    <row r="3777" spans="1:56" ht="15">
      <c r="A3777" s="114"/>
      <c r="B3777" s="388" t="s">
        <v>1117</v>
      </c>
      <c r="C3777" s="389">
        <v>3</v>
      </c>
      <c r="D3777" s="390" t="s">
        <v>1118</v>
      </c>
      <c r="E3777" s="196"/>
      <c r="F3777" s="196"/>
      <c r="G3777" s="392"/>
      <c r="H3777" s="393"/>
      <c r="I3777" s="196"/>
      <c r="J3777" s="114"/>
      <c r="AW3777" s="117"/>
      <c r="AX3777" s="117"/>
      <c r="AY3777" s="117"/>
      <c r="AZ3777" s="117"/>
      <c r="BA3777" s="117"/>
      <c r="BB3777" s="117"/>
      <c r="BC3777" s="117"/>
      <c r="BD3777" s="117"/>
    </row>
    <row r="3778" spans="1:56" ht="15">
      <c r="A3778" s="114"/>
      <c r="B3778" s="392"/>
      <c r="C3778" s="393"/>
      <c r="D3778" s="196"/>
      <c r="E3778" s="196"/>
      <c r="F3778" s="196"/>
      <c r="G3778" s="392"/>
      <c r="H3778" s="393"/>
      <c r="I3778" s="196"/>
      <c r="J3778" s="114"/>
      <c r="AW3778" s="117"/>
      <c r="AX3778" s="117"/>
      <c r="AY3778" s="117"/>
      <c r="AZ3778" s="117"/>
      <c r="BA3778" s="117"/>
      <c r="BB3778" s="117"/>
      <c r="BC3778" s="117"/>
      <c r="BD3778" s="117"/>
    </row>
    <row r="3779" spans="1:56" ht="15">
      <c r="A3779" s="114"/>
      <c r="B3779" s="388" t="s">
        <v>1114</v>
      </c>
      <c r="C3779" s="389">
        <v>0.6</v>
      </c>
      <c r="D3779" s="390" t="s">
        <v>10</v>
      </c>
      <c r="E3779" s="288" t="s">
        <v>1120</v>
      </c>
      <c r="F3779" s="288"/>
      <c r="G3779" s="230"/>
      <c r="H3779" s="395"/>
      <c r="I3779" s="196"/>
      <c r="J3779" s="114"/>
      <c r="AW3779" s="117"/>
      <c r="AX3779" s="117"/>
      <c r="AY3779" s="117"/>
      <c r="AZ3779" s="117"/>
      <c r="BA3779" s="117"/>
      <c r="BB3779" s="117"/>
      <c r="BC3779" s="117"/>
      <c r="BD3779" s="117"/>
    </row>
    <row r="3780" spans="1:56" ht="15">
      <c r="A3780" s="114"/>
      <c r="B3780" s="388" t="s">
        <v>1114</v>
      </c>
      <c r="C3780" s="389">
        <v>0.2</v>
      </c>
      <c r="D3780" s="390" t="s">
        <v>10</v>
      </c>
      <c r="E3780" s="288" t="s">
        <v>1121</v>
      </c>
      <c r="F3780" s="288"/>
      <c r="G3780" s="230"/>
      <c r="H3780" s="395"/>
      <c r="I3780" s="196"/>
      <c r="J3780" s="114"/>
      <c r="AW3780" s="117"/>
      <c r="AX3780" s="117"/>
      <c r="AY3780" s="117"/>
      <c r="AZ3780" s="117"/>
      <c r="BA3780" s="117"/>
      <c r="BB3780" s="117"/>
      <c r="BC3780" s="117"/>
      <c r="BD3780" s="117"/>
    </row>
    <row r="3781" spans="1:56" ht="15">
      <c r="A3781" s="114"/>
      <c r="B3781" s="196"/>
      <c r="C3781" s="196"/>
      <c r="D3781" s="196"/>
      <c r="E3781" s="196"/>
      <c r="F3781" s="196"/>
      <c r="G3781" s="196"/>
      <c r="H3781" s="196"/>
      <c r="I3781" s="196"/>
      <c r="J3781" s="114"/>
      <c r="AW3781" s="117"/>
      <c r="AX3781" s="117"/>
      <c r="AY3781" s="117"/>
      <c r="AZ3781" s="117"/>
      <c r="BA3781" s="117"/>
      <c r="BB3781" s="117"/>
      <c r="BC3781" s="117"/>
      <c r="BD3781" s="117"/>
    </row>
    <row r="3782" spans="1:56" ht="15">
      <c r="A3782" s="114"/>
      <c r="B3782" s="303" t="s">
        <v>1122</v>
      </c>
      <c r="C3782" s="362"/>
      <c r="D3782" s="362"/>
      <c r="E3782" s="196"/>
      <c r="F3782" s="196"/>
      <c r="G3782" s="196"/>
      <c r="H3782" s="196"/>
      <c r="I3782" s="196"/>
      <c r="J3782" s="114"/>
      <c r="AW3782" s="117"/>
      <c r="AX3782" s="117"/>
      <c r="AY3782" s="117"/>
      <c r="AZ3782" s="117"/>
      <c r="BA3782" s="117"/>
      <c r="BB3782" s="117"/>
      <c r="BC3782" s="117"/>
      <c r="BD3782" s="117"/>
    </row>
    <row r="3783" spans="1:56" ht="18">
      <c r="A3783" s="114"/>
      <c r="B3783" s="396" t="s">
        <v>1123</v>
      </c>
      <c r="C3783" s="289"/>
      <c r="D3783" s="290"/>
      <c r="E3783" s="397">
        <f>C3777*(C3779*2*(0.05+C3776+C3775)*C3774)</f>
        <v>26.910000000000004</v>
      </c>
      <c r="F3783" s="390" t="s">
        <v>1124</v>
      </c>
      <c r="G3783" s="196"/>
      <c r="H3783" s="196"/>
      <c r="I3783" s="196"/>
      <c r="J3783" s="114"/>
      <c r="AW3783" s="117"/>
      <c r="AX3783" s="117"/>
      <c r="AY3783" s="117"/>
      <c r="AZ3783" s="117"/>
      <c r="BA3783" s="117"/>
      <c r="BB3783" s="117"/>
      <c r="BC3783" s="117"/>
      <c r="BD3783" s="117"/>
    </row>
    <row r="3784" spans="1:56" ht="18">
      <c r="A3784" s="114"/>
      <c r="B3784" s="398" t="s">
        <v>1125</v>
      </c>
      <c r="C3784" s="172"/>
      <c r="D3784" s="173"/>
      <c r="E3784" s="397">
        <f>E3783-(E3788+E3790)</f>
        <v>24.992500000000003</v>
      </c>
      <c r="F3784" s="390" t="s">
        <v>1124</v>
      </c>
      <c r="G3784" s="196"/>
      <c r="H3784" s="196"/>
      <c r="I3784" s="196"/>
      <c r="J3784" s="114"/>
      <c r="AW3784" s="117"/>
      <c r="AX3784" s="117"/>
      <c r="AY3784" s="117"/>
      <c r="AZ3784" s="117"/>
      <c r="BA3784" s="117"/>
      <c r="BB3784" s="117"/>
      <c r="BC3784" s="117"/>
      <c r="BD3784" s="117"/>
    </row>
    <row r="3785" spans="1:56" ht="15">
      <c r="A3785" s="114"/>
      <c r="B3785" s="399" t="s">
        <v>1126</v>
      </c>
      <c r="C3785" s="317"/>
      <c r="D3785" s="318"/>
      <c r="E3785" s="400">
        <f>(2*C3780)*C3774</f>
        <v>2.6</v>
      </c>
      <c r="F3785" s="390" t="s">
        <v>13</v>
      </c>
      <c r="G3785" s="196"/>
      <c r="H3785" s="196"/>
      <c r="I3785" s="196"/>
      <c r="J3785" s="114"/>
      <c r="AW3785" s="117"/>
      <c r="AX3785" s="117"/>
      <c r="AY3785" s="117"/>
      <c r="AZ3785" s="117"/>
      <c r="BA3785" s="117"/>
      <c r="BB3785" s="117"/>
      <c r="BC3785" s="117"/>
      <c r="BD3785" s="117"/>
    </row>
    <row r="3786" spans="1:56" ht="15">
      <c r="A3786" s="114"/>
      <c r="B3786" s="196"/>
      <c r="C3786" s="196"/>
      <c r="D3786" s="196"/>
      <c r="E3786" s="401"/>
      <c r="F3786" s="196"/>
      <c r="G3786" s="196"/>
      <c r="H3786" s="196"/>
      <c r="I3786" s="196"/>
      <c r="J3786" s="114"/>
      <c r="AW3786" s="117"/>
      <c r="AX3786" s="117"/>
      <c r="AY3786" s="117"/>
      <c r="AZ3786" s="117"/>
      <c r="BA3786" s="117"/>
      <c r="BB3786" s="117"/>
      <c r="BC3786" s="117"/>
      <c r="BD3786" s="117"/>
    </row>
    <row r="3787" spans="1:56" ht="15">
      <c r="A3787" s="114"/>
      <c r="B3787" s="303" t="s">
        <v>1127</v>
      </c>
      <c r="C3787" s="196"/>
      <c r="D3787" s="196"/>
      <c r="E3787" s="401"/>
      <c r="F3787" s="196"/>
      <c r="G3787" s="196"/>
      <c r="H3787" s="196"/>
      <c r="I3787" s="196"/>
      <c r="J3787" s="114"/>
      <c r="AW3787" s="117"/>
      <c r="AX3787" s="117"/>
      <c r="AY3787" s="117"/>
      <c r="AZ3787" s="117"/>
      <c r="BA3787" s="117"/>
      <c r="BB3787" s="117"/>
      <c r="BC3787" s="117"/>
      <c r="BD3787" s="117"/>
    </row>
    <row r="3788" spans="1:56" ht="18">
      <c r="A3788" s="114"/>
      <c r="B3788" s="398" t="s">
        <v>1128</v>
      </c>
      <c r="C3788" s="172"/>
      <c r="D3788" s="173"/>
      <c r="E3788" s="402">
        <f>E3785*0.05</f>
        <v>0.13</v>
      </c>
      <c r="F3788" s="390" t="s">
        <v>1124</v>
      </c>
      <c r="G3788" s="196"/>
      <c r="H3788" s="196"/>
      <c r="I3788" s="196"/>
      <c r="J3788" s="114"/>
      <c r="AW3788" s="117"/>
      <c r="AX3788" s="117"/>
      <c r="AY3788" s="117"/>
      <c r="AZ3788" s="117"/>
      <c r="BA3788" s="117"/>
      <c r="BB3788" s="117"/>
      <c r="BC3788" s="117"/>
      <c r="BD3788" s="117"/>
    </row>
    <row r="3789" spans="1:56" ht="15">
      <c r="A3789" s="114"/>
      <c r="B3789" s="398" t="s">
        <v>1129</v>
      </c>
      <c r="C3789" s="172"/>
      <c r="D3789" s="173"/>
      <c r="E3789" s="397">
        <f>C3776*2*C3774</f>
        <v>14.3</v>
      </c>
      <c r="F3789" s="390" t="s">
        <v>13</v>
      </c>
      <c r="G3789" s="393" t="s">
        <v>1108</v>
      </c>
      <c r="H3789" s="196" t="s">
        <v>1131</v>
      </c>
      <c r="I3789" s="393"/>
      <c r="J3789" s="114"/>
      <c r="AW3789" s="117"/>
      <c r="AX3789" s="117"/>
      <c r="AY3789" s="117"/>
      <c r="AZ3789" s="117"/>
      <c r="BA3789" s="117"/>
      <c r="BB3789" s="117"/>
      <c r="BC3789" s="117"/>
      <c r="BD3789" s="117"/>
    </row>
    <row r="3790" spans="1:56" ht="18">
      <c r="A3790" s="114"/>
      <c r="B3790" s="398" t="s">
        <v>1130</v>
      </c>
      <c r="C3790" s="172"/>
      <c r="D3790" s="173"/>
      <c r="E3790" s="402">
        <f>C3773*C3774*C3776</f>
        <v>1.7875000000000001</v>
      </c>
      <c r="F3790" s="390" t="s">
        <v>1124</v>
      </c>
      <c r="G3790" s="196"/>
      <c r="H3790" s="196"/>
      <c r="I3790" s="196"/>
      <c r="J3790" s="114"/>
      <c r="AW3790" s="117"/>
      <c r="AX3790" s="117"/>
      <c r="AY3790" s="117"/>
      <c r="AZ3790" s="117"/>
      <c r="BA3790" s="117"/>
      <c r="BB3790" s="117"/>
      <c r="BC3790" s="117"/>
      <c r="BD3790" s="117"/>
    </row>
    <row r="3791" spans="1:56" ht="15">
      <c r="A3791" s="114"/>
      <c r="B3791" s="288"/>
      <c r="C3791" s="230"/>
      <c r="D3791" s="230"/>
      <c r="E3791" s="384"/>
      <c r="F3791" s="196"/>
      <c r="G3791" s="196"/>
      <c r="H3791" s="196"/>
      <c r="I3791" s="196"/>
      <c r="J3791" s="114"/>
      <c r="AW3791" s="117"/>
      <c r="AX3791" s="117"/>
      <c r="AY3791" s="117"/>
      <c r="AZ3791" s="117"/>
      <c r="BA3791" s="117"/>
      <c r="BB3791" s="117"/>
      <c r="BC3791" s="117"/>
      <c r="BD3791" s="117"/>
    </row>
    <row r="3792" spans="1:56" ht="15">
      <c r="A3792" s="114"/>
      <c r="B3792" s="293"/>
      <c r="C3792" s="387"/>
      <c r="D3792" s="387"/>
      <c r="E3792" s="387"/>
      <c r="F3792" s="387"/>
      <c r="G3792" s="387"/>
      <c r="H3792" s="386"/>
      <c r="I3792" s="386"/>
      <c r="J3792" s="114"/>
      <c r="AW3792" s="117"/>
      <c r="AX3792" s="117"/>
      <c r="AY3792" s="117"/>
      <c r="AZ3792" s="117"/>
      <c r="BA3792" s="117"/>
      <c r="BB3792" s="117"/>
      <c r="BC3792" s="117"/>
      <c r="BD3792" s="117"/>
    </row>
    <row r="3793" spans="1:56">
      <c r="A3793" s="114"/>
      <c r="B3793" s="385" t="s">
        <v>2197</v>
      </c>
      <c r="C3793" s="196"/>
      <c r="D3793" s="196"/>
      <c r="E3793" s="196"/>
      <c r="F3793" s="196"/>
      <c r="G3793" s="196"/>
      <c r="H3793" s="196"/>
      <c r="I3793" s="196"/>
      <c r="J3793" s="114"/>
      <c r="AW3793" s="117"/>
      <c r="AX3793" s="117"/>
      <c r="AY3793" s="117"/>
      <c r="AZ3793" s="117"/>
      <c r="BA3793" s="117"/>
      <c r="BB3793" s="117"/>
      <c r="BC3793" s="117"/>
      <c r="BD3793" s="117"/>
    </row>
    <row r="3794" spans="1:56" ht="15">
      <c r="A3794" s="114"/>
      <c r="B3794" s="196"/>
      <c r="C3794" s="196"/>
      <c r="D3794" s="196"/>
      <c r="E3794" s="196"/>
      <c r="F3794" s="196"/>
      <c r="G3794" s="196"/>
      <c r="H3794" s="196"/>
      <c r="I3794" s="196"/>
      <c r="J3794" s="114"/>
      <c r="AW3794" s="117"/>
      <c r="AX3794" s="117"/>
      <c r="AY3794" s="117"/>
      <c r="AZ3794" s="117"/>
      <c r="BA3794" s="117"/>
      <c r="BB3794" s="117"/>
      <c r="BC3794" s="117"/>
      <c r="BD3794" s="117"/>
    </row>
    <row r="3795" spans="1:56" ht="15">
      <c r="A3795" s="114"/>
      <c r="B3795" s="388" t="s">
        <v>1110</v>
      </c>
      <c r="C3795" s="389">
        <v>0.25</v>
      </c>
      <c r="D3795" s="390" t="s">
        <v>10</v>
      </c>
      <c r="E3795" s="196"/>
      <c r="F3795" s="196"/>
      <c r="G3795" s="392"/>
      <c r="H3795" s="925"/>
      <c r="I3795" s="196"/>
      <c r="J3795" s="114"/>
      <c r="AW3795" s="117"/>
      <c r="AX3795" s="117"/>
      <c r="AY3795" s="117"/>
      <c r="AZ3795" s="117"/>
      <c r="BA3795" s="117"/>
      <c r="BB3795" s="117"/>
      <c r="BC3795" s="117"/>
      <c r="BD3795" s="117"/>
    </row>
    <row r="3796" spans="1:56" ht="15">
      <c r="A3796" s="114"/>
      <c r="B3796" s="388" t="s">
        <v>1111</v>
      </c>
      <c r="C3796" s="391">
        <f>1.705*2+0.5+1.05*2</f>
        <v>6.01</v>
      </c>
      <c r="D3796" s="390" t="s">
        <v>10</v>
      </c>
      <c r="E3796" s="196"/>
      <c r="F3796" s="196"/>
      <c r="G3796" s="392"/>
      <c r="H3796" s="925"/>
      <c r="I3796" s="196"/>
      <c r="J3796" s="114"/>
      <c r="AW3796" s="117"/>
      <c r="AX3796" s="117"/>
      <c r="AY3796" s="117"/>
      <c r="AZ3796" s="117"/>
      <c r="BA3796" s="117"/>
      <c r="BB3796" s="117"/>
      <c r="BC3796" s="117"/>
      <c r="BD3796" s="117"/>
    </row>
    <row r="3797" spans="1:56" ht="15">
      <c r="A3797" s="114"/>
      <c r="B3797" s="388" t="s">
        <v>1112</v>
      </c>
      <c r="C3797" s="389">
        <v>0</v>
      </c>
      <c r="D3797" s="390" t="s">
        <v>10</v>
      </c>
      <c r="E3797" s="196"/>
      <c r="F3797" s="196"/>
      <c r="G3797" s="392"/>
      <c r="H3797" s="925"/>
      <c r="I3797" s="196"/>
      <c r="J3797" s="114"/>
      <c r="AW3797" s="117"/>
      <c r="AX3797" s="117"/>
      <c r="AY3797" s="117"/>
      <c r="AZ3797" s="117"/>
      <c r="BA3797" s="117"/>
      <c r="BB3797" s="117"/>
      <c r="BC3797" s="117"/>
      <c r="BD3797" s="117"/>
    </row>
    <row r="3798" spans="1:56" ht="15">
      <c r="A3798" s="114"/>
      <c r="B3798" s="388" t="s">
        <v>1113</v>
      </c>
      <c r="C3798" s="389">
        <v>1.1000000000000001</v>
      </c>
      <c r="D3798" s="390" t="s">
        <v>10</v>
      </c>
      <c r="E3798" s="196"/>
      <c r="F3798" s="196"/>
      <c r="G3798" s="392"/>
      <c r="H3798" s="394"/>
      <c r="I3798" s="196"/>
      <c r="J3798" s="114"/>
      <c r="AW3798" s="117"/>
      <c r="AX3798" s="117"/>
      <c r="AY3798" s="117"/>
      <c r="AZ3798" s="117"/>
      <c r="BA3798" s="117"/>
      <c r="BB3798" s="117"/>
      <c r="BC3798" s="117"/>
      <c r="BD3798" s="117"/>
    </row>
    <row r="3799" spans="1:56" ht="15">
      <c r="A3799" s="114"/>
      <c r="B3799" s="388" t="s">
        <v>1117</v>
      </c>
      <c r="C3799" s="389">
        <v>1</v>
      </c>
      <c r="D3799" s="390" t="s">
        <v>1118</v>
      </c>
      <c r="E3799" s="196"/>
      <c r="F3799" s="196"/>
      <c r="G3799" s="392"/>
      <c r="H3799" s="925"/>
      <c r="I3799" s="196"/>
      <c r="J3799" s="114"/>
      <c r="AW3799" s="117"/>
      <c r="AX3799" s="117"/>
      <c r="AY3799" s="117"/>
      <c r="AZ3799" s="117"/>
      <c r="BA3799" s="117"/>
      <c r="BB3799" s="117"/>
      <c r="BC3799" s="117"/>
      <c r="BD3799" s="117"/>
    </row>
    <row r="3800" spans="1:56" ht="15">
      <c r="A3800" s="114"/>
      <c r="B3800" s="392"/>
      <c r="C3800" s="925"/>
      <c r="D3800" s="196"/>
      <c r="E3800" s="196"/>
      <c r="F3800" s="196"/>
      <c r="G3800" s="392"/>
      <c r="H3800" s="925"/>
      <c r="I3800" s="196"/>
      <c r="J3800" s="114"/>
      <c r="AW3800" s="117"/>
      <c r="AX3800" s="117"/>
      <c r="AY3800" s="117"/>
      <c r="AZ3800" s="117"/>
      <c r="BA3800" s="117"/>
      <c r="BB3800" s="117"/>
      <c r="BC3800" s="117"/>
      <c r="BD3800" s="117"/>
    </row>
    <row r="3801" spans="1:56" ht="15">
      <c r="A3801" s="114"/>
      <c r="B3801" s="388" t="s">
        <v>1114</v>
      </c>
      <c r="C3801" s="389">
        <v>0.6</v>
      </c>
      <c r="D3801" s="390" t="s">
        <v>10</v>
      </c>
      <c r="E3801" s="288" t="s">
        <v>1120</v>
      </c>
      <c r="F3801" s="288"/>
      <c r="G3801" s="230"/>
      <c r="H3801" s="395"/>
      <c r="I3801" s="196"/>
      <c r="J3801" s="114"/>
      <c r="AW3801" s="117"/>
      <c r="AX3801" s="117"/>
      <c r="AY3801" s="117"/>
      <c r="AZ3801" s="117"/>
      <c r="BA3801" s="117"/>
      <c r="BB3801" s="117"/>
      <c r="BC3801" s="117"/>
      <c r="BD3801" s="117"/>
    </row>
    <row r="3802" spans="1:56" ht="15">
      <c r="A3802" s="114"/>
      <c r="B3802" s="388" t="s">
        <v>1114</v>
      </c>
      <c r="C3802" s="389">
        <v>0.2</v>
      </c>
      <c r="D3802" s="390" t="s">
        <v>10</v>
      </c>
      <c r="E3802" s="288" t="s">
        <v>1121</v>
      </c>
      <c r="F3802" s="288"/>
      <c r="G3802" s="230"/>
      <c r="H3802" s="395"/>
      <c r="I3802" s="196"/>
      <c r="J3802" s="114"/>
      <c r="AW3802" s="117"/>
      <c r="AX3802" s="117"/>
      <c r="AY3802" s="117"/>
      <c r="AZ3802" s="117"/>
      <c r="BA3802" s="117"/>
      <c r="BB3802" s="117"/>
      <c r="BC3802" s="117"/>
      <c r="BD3802" s="117"/>
    </row>
    <row r="3803" spans="1:56" ht="15">
      <c r="A3803" s="114"/>
      <c r="B3803" s="196"/>
      <c r="C3803" s="196"/>
      <c r="D3803" s="196"/>
      <c r="E3803" s="196"/>
      <c r="F3803" s="196"/>
      <c r="G3803" s="196"/>
      <c r="H3803" s="196"/>
      <c r="I3803" s="196"/>
      <c r="J3803" s="114"/>
      <c r="AW3803" s="117"/>
      <c r="AX3803" s="117"/>
      <c r="AY3803" s="117"/>
      <c r="AZ3803" s="117"/>
      <c r="BA3803" s="117"/>
      <c r="BB3803" s="117"/>
      <c r="BC3803" s="117"/>
      <c r="BD3803" s="117"/>
    </row>
    <row r="3804" spans="1:56" ht="15">
      <c r="A3804" s="114"/>
      <c r="B3804" s="303" t="s">
        <v>1122</v>
      </c>
      <c r="C3804" s="924"/>
      <c r="D3804" s="924"/>
      <c r="E3804" s="196"/>
      <c r="F3804" s="196"/>
      <c r="G3804" s="196"/>
      <c r="H3804" s="196"/>
      <c r="I3804" s="196"/>
      <c r="J3804" s="114"/>
      <c r="AW3804" s="117"/>
      <c r="AX3804" s="117"/>
      <c r="AY3804" s="117"/>
      <c r="AZ3804" s="117"/>
      <c r="BA3804" s="117"/>
      <c r="BB3804" s="117"/>
      <c r="BC3804" s="117"/>
      <c r="BD3804" s="117"/>
    </row>
    <row r="3805" spans="1:56" ht="18">
      <c r="A3805" s="114"/>
      <c r="B3805" s="396" t="s">
        <v>1123</v>
      </c>
      <c r="C3805" s="289"/>
      <c r="D3805" s="290"/>
      <c r="E3805" s="397">
        <f>C3799*(C3801*2*(0.05+C3798+C3797)*C3796)</f>
        <v>8.2938000000000009</v>
      </c>
      <c r="F3805" s="390" t="s">
        <v>1124</v>
      </c>
      <c r="G3805" s="196"/>
      <c r="H3805" s="196"/>
      <c r="I3805" s="196"/>
      <c r="J3805" s="114"/>
      <c r="AW3805" s="117"/>
      <c r="AX3805" s="117"/>
      <c r="AY3805" s="117"/>
      <c r="AZ3805" s="117"/>
      <c r="BA3805" s="117"/>
      <c r="BB3805" s="117"/>
      <c r="BC3805" s="117"/>
      <c r="BD3805" s="117"/>
    </row>
    <row r="3806" spans="1:56" ht="18">
      <c r="A3806" s="114"/>
      <c r="B3806" s="926" t="s">
        <v>1125</v>
      </c>
      <c r="C3806" s="172"/>
      <c r="D3806" s="173"/>
      <c r="E3806" s="397">
        <f>E3805-(E3810+E3812)</f>
        <v>6.5208500000000011</v>
      </c>
      <c r="F3806" s="390" t="s">
        <v>1124</v>
      </c>
      <c r="G3806" s="196"/>
      <c r="H3806" s="196"/>
      <c r="I3806" s="196"/>
      <c r="J3806" s="114"/>
      <c r="AW3806" s="117"/>
      <c r="AX3806" s="117"/>
      <c r="AY3806" s="117"/>
      <c r="AZ3806" s="117"/>
      <c r="BA3806" s="117"/>
      <c r="BB3806" s="117"/>
      <c r="BC3806" s="117"/>
      <c r="BD3806" s="117"/>
    </row>
    <row r="3807" spans="1:56" ht="15">
      <c r="A3807" s="114"/>
      <c r="B3807" s="399" t="s">
        <v>1126</v>
      </c>
      <c r="C3807" s="317"/>
      <c r="D3807" s="318"/>
      <c r="E3807" s="400">
        <f>(2*C3802)*C3796</f>
        <v>2.4039999999999999</v>
      </c>
      <c r="F3807" s="390" t="s">
        <v>13</v>
      </c>
      <c r="G3807" s="196"/>
      <c r="H3807" s="196"/>
      <c r="I3807" s="196"/>
      <c r="J3807" s="114"/>
      <c r="AW3807" s="117"/>
      <c r="AX3807" s="117"/>
      <c r="AY3807" s="117"/>
      <c r="AZ3807" s="117"/>
      <c r="BA3807" s="117"/>
      <c r="BB3807" s="117"/>
      <c r="BC3807" s="117"/>
      <c r="BD3807" s="117"/>
    </row>
    <row r="3808" spans="1:56" ht="15">
      <c r="A3808" s="114"/>
      <c r="B3808" s="196"/>
      <c r="C3808" s="196"/>
      <c r="D3808" s="196"/>
      <c r="E3808" s="401"/>
      <c r="F3808" s="196"/>
      <c r="G3808" s="196"/>
      <c r="H3808" s="196"/>
      <c r="I3808" s="196"/>
      <c r="J3808" s="114"/>
      <c r="AW3808" s="117"/>
      <c r="AX3808" s="117"/>
      <c r="AY3808" s="117"/>
      <c r="AZ3808" s="117"/>
      <c r="BA3808" s="117"/>
      <c r="BB3808" s="117"/>
      <c r="BC3808" s="117"/>
      <c r="BD3808" s="117"/>
    </row>
    <row r="3809" spans="1:56" ht="15">
      <c r="A3809" s="114"/>
      <c r="B3809" s="303" t="s">
        <v>1127</v>
      </c>
      <c r="C3809" s="196"/>
      <c r="D3809" s="196"/>
      <c r="E3809" s="401"/>
      <c r="F3809" s="196"/>
      <c r="G3809" s="196"/>
      <c r="H3809" s="196"/>
      <c r="I3809" s="196"/>
      <c r="J3809" s="114"/>
      <c r="AW3809" s="117"/>
      <c r="AX3809" s="117"/>
      <c r="AY3809" s="117"/>
      <c r="AZ3809" s="117"/>
      <c r="BA3809" s="117"/>
      <c r="BB3809" s="117"/>
      <c r="BC3809" s="117"/>
      <c r="BD3809" s="117"/>
    </row>
    <row r="3810" spans="1:56" ht="18">
      <c r="A3810" s="114"/>
      <c r="B3810" s="926" t="s">
        <v>1128</v>
      </c>
      <c r="C3810" s="172"/>
      <c r="D3810" s="173"/>
      <c r="E3810" s="402">
        <f>E3807*0.05</f>
        <v>0.1202</v>
      </c>
      <c r="F3810" s="390" t="s">
        <v>1124</v>
      </c>
      <c r="G3810" s="196"/>
      <c r="H3810" s="196"/>
      <c r="I3810" s="196"/>
      <c r="J3810" s="114"/>
      <c r="AW3810" s="117"/>
      <c r="AX3810" s="117"/>
      <c r="AY3810" s="117"/>
      <c r="AZ3810" s="117"/>
      <c r="BA3810" s="117"/>
      <c r="BB3810" s="117"/>
      <c r="BC3810" s="117"/>
      <c r="BD3810" s="117"/>
    </row>
    <row r="3811" spans="1:56" ht="15">
      <c r="A3811" s="114"/>
      <c r="B3811" s="926" t="s">
        <v>1129</v>
      </c>
      <c r="C3811" s="172"/>
      <c r="D3811" s="173"/>
      <c r="E3811" s="397">
        <f>C3798*2*C3796</f>
        <v>13.222000000000001</v>
      </c>
      <c r="F3811" s="390" t="s">
        <v>13</v>
      </c>
      <c r="G3811" s="925" t="s">
        <v>1108</v>
      </c>
      <c r="H3811" s="196" t="s">
        <v>1131</v>
      </c>
      <c r="I3811" s="925"/>
      <c r="J3811" s="114"/>
      <c r="AW3811" s="117"/>
      <c r="AX3811" s="117"/>
      <c r="AY3811" s="117"/>
      <c r="AZ3811" s="117"/>
      <c r="BA3811" s="117"/>
      <c r="BB3811" s="117"/>
      <c r="BC3811" s="117"/>
      <c r="BD3811" s="117"/>
    </row>
    <row r="3812" spans="1:56" ht="18">
      <c r="A3812" s="114"/>
      <c r="B3812" s="926" t="s">
        <v>1130</v>
      </c>
      <c r="C3812" s="172"/>
      <c r="D3812" s="173"/>
      <c r="E3812" s="402">
        <f>C3795*C3796*C3798</f>
        <v>1.6527500000000002</v>
      </c>
      <c r="F3812" s="390" t="s">
        <v>1124</v>
      </c>
      <c r="G3812" s="196"/>
      <c r="H3812" s="196"/>
      <c r="I3812" s="196"/>
      <c r="J3812" s="114"/>
      <c r="AW3812" s="117"/>
      <c r="AX3812" s="117"/>
      <c r="AY3812" s="117"/>
      <c r="AZ3812" s="117"/>
      <c r="BA3812" s="117"/>
      <c r="BB3812" s="117"/>
      <c r="BC3812" s="117"/>
      <c r="BD3812" s="117"/>
    </row>
    <row r="3813" spans="1:56" ht="15">
      <c r="A3813" s="114"/>
      <c r="B3813" s="288"/>
      <c r="C3813" s="230"/>
      <c r="D3813" s="230"/>
      <c r="E3813" s="384"/>
      <c r="F3813" s="196"/>
      <c r="G3813" s="196"/>
      <c r="H3813" s="196"/>
      <c r="I3813" s="196"/>
      <c r="J3813" s="114"/>
      <c r="AW3813" s="117"/>
      <c r="AX3813" s="117"/>
      <c r="AY3813" s="117"/>
      <c r="AZ3813" s="117"/>
      <c r="BA3813" s="117"/>
      <c r="BB3813" s="117"/>
      <c r="BC3813" s="117"/>
      <c r="BD3813" s="117"/>
    </row>
    <row r="3814" spans="1:56" ht="15">
      <c r="A3814" s="114"/>
      <c r="B3814" s="293"/>
      <c r="C3814" s="387"/>
      <c r="D3814" s="387"/>
      <c r="E3814" s="387"/>
      <c r="F3814" s="387"/>
      <c r="G3814" s="387"/>
      <c r="H3814" s="386"/>
      <c r="I3814" s="386"/>
      <c r="J3814" s="114"/>
      <c r="AW3814" s="117"/>
      <c r="AX3814" s="117"/>
      <c r="AY3814" s="117"/>
      <c r="AZ3814" s="117"/>
      <c r="BA3814" s="117"/>
      <c r="BB3814" s="117"/>
      <c r="BC3814" s="117"/>
      <c r="BD3814" s="117"/>
    </row>
    <row r="3815" spans="1:56">
      <c r="A3815" s="114"/>
      <c r="B3815" s="385" t="s">
        <v>2198</v>
      </c>
      <c r="C3815" s="196"/>
      <c r="D3815" s="196"/>
      <c r="E3815" s="196"/>
      <c r="F3815" s="196"/>
      <c r="G3815" s="196"/>
      <c r="H3815" s="196"/>
      <c r="I3815" s="196"/>
      <c r="J3815" s="114"/>
      <c r="AW3815" s="117"/>
      <c r="AX3815" s="117"/>
      <c r="AY3815" s="117"/>
      <c r="AZ3815" s="117"/>
      <c r="BA3815" s="117"/>
      <c r="BB3815" s="117"/>
      <c r="BC3815" s="117"/>
      <c r="BD3815" s="117"/>
    </row>
    <row r="3816" spans="1:56" ht="15">
      <c r="A3816" s="114"/>
      <c r="B3816" s="196"/>
      <c r="C3816" s="196"/>
      <c r="D3816" s="196"/>
      <c r="E3816" s="196"/>
      <c r="F3816" s="196"/>
      <c r="G3816" s="196"/>
      <c r="H3816" s="196"/>
      <c r="I3816" s="196"/>
      <c r="J3816" s="114"/>
      <c r="AW3816" s="117"/>
      <c r="AX3816" s="117"/>
      <c r="AY3816" s="117"/>
      <c r="AZ3816" s="117"/>
      <c r="BA3816" s="117"/>
      <c r="BB3816" s="117"/>
      <c r="BC3816" s="117"/>
      <c r="BD3816" s="117"/>
    </row>
    <row r="3817" spans="1:56" ht="15">
      <c r="A3817" s="114"/>
      <c r="B3817" s="388" t="s">
        <v>1110</v>
      </c>
      <c r="C3817" s="389">
        <v>0.25</v>
      </c>
      <c r="D3817" s="390" t="s">
        <v>10</v>
      </c>
      <c r="E3817" s="196"/>
      <c r="F3817" s="196"/>
      <c r="G3817" s="392"/>
      <c r="H3817" s="925"/>
      <c r="I3817" s="196"/>
      <c r="J3817" s="114"/>
      <c r="AW3817" s="117"/>
      <c r="AX3817" s="117"/>
      <c r="AY3817" s="117"/>
      <c r="AZ3817" s="117"/>
      <c r="BA3817" s="117"/>
      <c r="BB3817" s="117"/>
      <c r="BC3817" s="117"/>
      <c r="BD3817" s="117"/>
    </row>
    <row r="3818" spans="1:56" ht="15">
      <c r="A3818" s="114"/>
      <c r="B3818" s="388" t="s">
        <v>1111</v>
      </c>
      <c r="C3818" s="391">
        <f>2.6*2</f>
        <v>5.2</v>
      </c>
      <c r="D3818" s="390" t="s">
        <v>10</v>
      </c>
      <c r="E3818" s="196"/>
      <c r="F3818" s="196"/>
      <c r="G3818" s="392"/>
      <c r="H3818" s="925"/>
      <c r="I3818" s="196"/>
      <c r="J3818" s="114"/>
      <c r="AW3818" s="117"/>
      <c r="AX3818" s="117"/>
      <c r="AY3818" s="117"/>
      <c r="AZ3818" s="117"/>
      <c r="BA3818" s="117"/>
      <c r="BB3818" s="117"/>
      <c r="BC3818" s="117"/>
      <c r="BD3818" s="117"/>
    </row>
    <row r="3819" spans="1:56" ht="15">
      <c r="A3819" s="114"/>
      <c r="B3819" s="388" t="s">
        <v>1112</v>
      </c>
      <c r="C3819" s="389">
        <v>0.4</v>
      </c>
      <c r="D3819" s="390" t="s">
        <v>10</v>
      </c>
      <c r="E3819" s="196"/>
      <c r="F3819" s="196"/>
      <c r="G3819" s="392"/>
      <c r="H3819" s="925"/>
      <c r="I3819" s="196"/>
      <c r="J3819" s="114"/>
      <c r="AW3819" s="117"/>
      <c r="AX3819" s="117"/>
      <c r="AY3819" s="117"/>
      <c r="AZ3819" s="117"/>
      <c r="BA3819" s="117"/>
      <c r="BB3819" s="117"/>
      <c r="BC3819" s="117"/>
      <c r="BD3819" s="117"/>
    </row>
    <row r="3820" spans="1:56" ht="15">
      <c r="A3820" s="114"/>
      <c r="B3820" s="388" t="s">
        <v>1113</v>
      </c>
      <c r="C3820" s="389">
        <v>0.6</v>
      </c>
      <c r="D3820" s="390" t="s">
        <v>10</v>
      </c>
      <c r="E3820" s="196"/>
      <c r="F3820" s="196"/>
      <c r="G3820" s="392"/>
      <c r="H3820" s="394"/>
      <c r="I3820" s="196"/>
      <c r="J3820" s="114"/>
      <c r="AW3820" s="117"/>
      <c r="AX3820" s="117"/>
      <c r="AY3820" s="117"/>
      <c r="AZ3820" s="117"/>
      <c r="BA3820" s="117"/>
      <c r="BB3820" s="117"/>
      <c r="BC3820" s="117"/>
      <c r="BD3820" s="117"/>
    </row>
    <row r="3821" spans="1:56" ht="15">
      <c r="A3821" s="114"/>
      <c r="B3821" s="388" t="s">
        <v>1117</v>
      </c>
      <c r="C3821" s="389">
        <v>1</v>
      </c>
      <c r="D3821" s="390" t="s">
        <v>1118</v>
      </c>
      <c r="E3821" s="196"/>
      <c r="F3821" s="196"/>
      <c r="G3821" s="392"/>
      <c r="H3821" s="925"/>
      <c r="I3821" s="196"/>
      <c r="J3821" s="114"/>
      <c r="AW3821" s="117"/>
      <c r="AX3821" s="117"/>
      <c r="AY3821" s="117"/>
      <c r="AZ3821" s="117"/>
      <c r="BA3821" s="117"/>
      <c r="BB3821" s="117"/>
      <c r="BC3821" s="117"/>
      <c r="BD3821" s="117"/>
    </row>
    <row r="3822" spans="1:56" ht="15">
      <c r="A3822" s="114"/>
      <c r="B3822" s="392"/>
      <c r="C3822" s="925"/>
      <c r="D3822" s="196"/>
      <c r="E3822" s="196"/>
      <c r="F3822" s="196"/>
      <c r="G3822" s="392"/>
      <c r="H3822" s="925"/>
      <c r="I3822" s="196"/>
      <c r="J3822" s="114"/>
      <c r="AW3822" s="117"/>
      <c r="AX3822" s="117"/>
      <c r="AY3822" s="117"/>
      <c r="AZ3822" s="117"/>
      <c r="BA3822" s="117"/>
      <c r="BB3822" s="117"/>
      <c r="BC3822" s="117"/>
      <c r="BD3822" s="117"/>
    </row>
    <row r="3823" spans="1:56" ht="15">
      <c r="A3823" s="114"/>
      <c r="B3823" s="388" t="s">
        <v>1114</v>
      </c>
      <c r="C3823" s="389">
        <v>0.6</v>
      </c>
      <c r="D3823" s="390" t="s">
        <v>10</v>
      </c>
      <c r="E3823" s="288" t="s">
        <v>1120</v>
      </c>
      <c r="F3823" s="288"/>
      <c r="G3823" s="230"/>
      <c r="H3823" s="395"/>
      <c r="I3823" s="196"/>
      <c r="J3823" s="114"/>
      <c r="AW3823" s="117"/>
      <c r="AX3823" s="117"/>
      <c r="AY3823" s="117"/>
      <c r="AZ3823" s="117"/>
      <c r="BA3823" s="117"/>
      <c r="BB3823" s="117"/>
      <c r="BC3823" s="117"/>
      <c r="BD3823" s="117"/>
    </row>
    <row r="3824" spans="1:56" ht="15">
      <c r="A3824" s="114"/>
      <c r="B3824" s="388" t="s">
        <v>1114</v>
      </c>
      <c r="C3824" s="389">
        <v>0.2</v>
      </c>
      <c r="D3824" s="390" t="s">
        <v>10</v>
      </c>
      <c r="E3824" s="288" t="s">
        <v>1121</v>
      </c>
      <c r="F3824" s="288"/>
      <c r="G3824" s="230"/>
      <c r="H3824" s="395"/>
      <c r="I3824" s="196"/>
      <c r="J3824" s="114"/>
      <c r="AW3824" s="117"/>
      <c r="AX3824" s="117"/>
      <c r="AY3824" s="117"/>
      <c r="AZ3824" s="117"/>
      <c r="BA3824" s="117"/>
      <c r="BB3824" s="117"/>
      <c r="BC3824" s="117"/>
      <c r="BD3824" s="117"/>
    </row>
    <row r="3825" spans="1:56" ht="15">
      <c r="A3825" s="114"/>
      <c r="B3825" s="196"/>
      <c r="C3825" s="196"/>
      <c r="D3825" s="196"/>
      <c r="E3825" s="196"/>
      <c r="F3825" s="196"/>
      <c r="G3825" s="196"/>
      <c r="H3825" s="196"/>
      <c r="I3825" s="196"/>
      <c r="J3825" s="114"/>
      <c r="AW3825" s="117"/>
      <c r="AX3825" s="117"/>
      <c r="AY3825" s="117"/>
      <c r="AZ3825" s="117"/>
      <c r="BA3825" s="117"/>
      <c r="BB3825" s="117"/>
      <c r="BC3825" s="117"/>
      <c r="BD3825" s="117"/>
    </row>
    <row r="3826" spans="1:56" ht="15">
      <c r="A3826" s="114"/>
      <c r="B3826" s="303" t="s">
        <v>1122</v>
      </c>
      <c r="C3826" s="924"/>
      <c r="D3826" s="924"/>
      <c r="E3826" s="196"/>
      <c r="F3826" s="196"/>
      <c r="G3826" s="196"/>
      <c r="H3826" s="196"/>
      <c r="I3826" s="196"/>
      <c r="J3826" s="114"/>
      <c r="AW3826" s="117"/>
      <c r="AX3826" s="117"/>
      <c r="AY3826" s="117"/>
      <c r="AZ3826" s="117"/>
      <c r="BA3826" s="117"/>
      <c r="BB3826" s="117"/>
      <c r="BC3826" s="117"/>
      <c r="BD3826" s="117"/>
    </row>
    <row r="3827" spans="1:56" ht="18">
      <c r="A3827" s="114"/>
      <c r="B3827" s="396" t="s">
        <v>1123</v>
      </c>
      <c r="C3827" s="289"/>
      <c r="D3827" s="290"/>
      <c r="E3827" s="397">
        <f>C3821*(C3823*2*(0.05+C3820+C3819)*C3818)</f>
        <v>6.5520000000000005</v>
      </c>
      <c r="F3827" s="390" t="s">
        <v>1124</v>
      </c>
      <c r="G3827" s="196"/>
      <c r="H3827" s="196"/>
      <c r="I3827" s="196"/>
      <c r="J3827" s="114"/>
      <c r="AW3827" s="117"/>
      <c r="AX3827" s="117"/>
      <c r="AY3827" s="117"/>
      <c r="AZ3827" s="117"/>
      <c r="BA3827" s="117"/>
      <c r="BB3827" s="117"/>
      <c r="BC3827" s="117"/>
      <c r="BD3827" s="117"/>
    </row>
    <row r="3828" spans="1:56" ht="18">
      <c r="A3828" s="114"/>
      <c r="B3828" s="926" t="s">
        <v>1125</v>
      </c>
      <c r="C3828" s="172"/>
      <c r="D3828" s="173"/>
      <c r="E3828" s="397">
        <f>E3827-(E3832+E3834)</f>
        <v>5.6680000000000001</v>
      </c>
      <c r="F3828" s="390" t="s">
        <v>1124</v>
      </c>
      <c r="G3828" s="196"/>
      <c r="H3828" s="196"/>
      <c r="I3828" s="196"/>
      <c r="J3828" s="114"/>
      <c r="AW3828" s="117"/>
      <c r="AX3828" s="117"/>
      <c r="AY3828" s="117"/>
      <c r="AZ3828" s="117"/>
      <c r="BA3828" s="117"/>
      <c r="BB3828" s="117"/>
      <c r="BC3828" s="117"/>
      <c r="BD3828" s="117"/>
    </row>
    <row r="3829" spans="1:56" ht="15">
      <c r="A3829" s="114"/>
      <c r="B3829" s="399" t="s">
        <v>1126</v>
      </c>
      <c r="C3829" s="317"/>
      <c r="D3829" s="318"/>
      <c r="E3829" s="400">
        <f>(2*C3824)*C3818</f>
        <v>2.08</v>
      </c>
      <c r="F3829" s="390" t="s">
        <v>13</v>
      </c>
      <c r="G3829" s="196"/>
      <c r="H3829" s="196"/>
      <c r="I3829" s="196"/>
      <c r="J3829" s="114"/>
      <c r="AW3829" s="117"/>
      <c r="AX3829" s="117"/>
      <c r="AY3829" s="117"/>
      <c r="AZ3829" s="117"/>
      <c r="BA3829" s="117"/>
      <c r="BB3829" s="117"/>
      <c r="BC3829" s="117"/>
      <c r="BD3829" s="117"/>
    </row>
    <row r="3830" spans="1:56" ht="15">
      <c r="A3830" s="114"/>
      <c r="B3830" s="196"/>
      <c r="C3830" s="196"/>
      <c r="D3830" s="196"/>
      <c r="E3830" s="401"/>
      <c r="F3830" s="196"/>
      <c r="G3830" s="196"/>
      <c r="H3830" s="196"/>
      <c r="I3830" s="196"/>
      <c r="J3830" s="114"/>
      <c r="AW3830" s="117"/>
      <c r="AX3830" s="117"/>
      <c r="AY3830" s="117"/>
      <c r="AZ3830" s="117"/>
      <c r="BA3830" s="117"/>
      <c r="BB3830" s="117"/>
      <c r="BC3830" s="117"/>
      <c r="BD3830" s="117"/>
    </row>
    <row r="3831" spans="1:56" ht="15">
      <c r="A3831" s="114"/>
      <c r="B3831" s="303" t="s">
        <v>1127</v>
      </c>
      <c r="C3831" s="196"/>
      <c r="D3831" s="196"/>
      <c r="E3831" s="401"/>
      <c r="F3831" s="196"/>
      <c r="G3831" s="196"/>
      <c r="H3831" s="196"/>
      <c r="I3831" s="196"/>
      <c r="J3831" s="114"/>
      <c r="AW3831" s="117"/>
      <c r="AX3831" s="117"/>
      <c r="AY3831" s="117"/>
      <c r="AZ3831" s="117"/>
      <c r="BA3831" s="117"/>
      <c r="BB3831" s="117"/>
      <c r="BC3831" s="117"/>
      <c r="BD3831" s="117"/>
    </row>
    <row r="3832" spans="1:56" ht="18">
      <c r="A3832" s="114"/>
      <c r="B3832" s="926" t="s">
        <v>1128</v>
      </c>
      <c r="C3832" s="172"/>
      <c r="D3832" s="173"/>
      <c r="E3832" s="402">
        <f>E3829*0.05</f>
        <v>0.10400000000000001</v>
      </c>
      <c r="F3832" s="390" t="s">
        <v>1124</v>
      </c>
      <c r="G3832" s="196"/>
      <c r="H3832" s="196"/>
      <c r="I3832" s="196"/>
      <c r="J3832" s="114"/>
      <c r="AW3832" s="117"/>
      <c r="AX3832" s="117"/>
      <c r="AY3832" s="117"/>
      <c r="AZ3832" s="117"/>
      <c r="BA3832" s="117"/>
      <c r="BB3832" s="117"/>
      <c r="BC3832" s="117"/>
      <c r="BD3832" s="117"/>
    </row>
    <row r="3833" spans="1:56" ht="15">
      <c r="A3833" s="114"/>
      <c r="B3833" s="926" t="s">
        <v>1129</v>
      </c>
      <c r="C3833" s="172"/>
      <c r="D3833" s="173"/>
      <c r="E3833" s="397">
        <f>C3820*2*C3818</f>
        <v>6.24</v>
      </c>
      <c r="F3833" s="390" t="s">
        <v>13</v>
      </c>
      <c r="G3833" s="925" t="s">
        <v>1108</v>
      </c>
      <c r="H3833" s="196" t="s">
        <v>1131</v>
      </c>
      <c r="I3833" s="925"/>
      <c r="J3833" s="114"/>
      <c r="AW3833" s="117"/>
      <c r="AX3833" s="117"/>
      <c r="AY3833" s="117"/>
      <c r="AZ3833" s="117"/>
      <c r="BA3833" s="117"/>
      <c r="BB3833" s="117"/>
      <c r="BC3833" s="117"/>
      <c r="BD3833" s="117"/>
    </row>
    <row r="3834" spans="1:56" ht="18">
      <c r="A3834" s="114"/>
      <c r="B3834" s="926" t="s">
        <v>1130</v>
      </c>
      <c r="C3834" s="172"/>
      <c r="D3834" s="173"/>
      <c r="E3834" s="402">
        <f>C3817*C3818*C3820</f>
        <v>0.78</v>
      </c>
      <c r="F3834" s="390" t="s">
        <v>1124</v>
      </c>
      <c r="G3834" s="196"/>
      <c r="H3834" s="196"/>
      <c r="I3834" s="196"/>
      <c r="J3834" s="114"/>
      <c r="AW3834" s="117"/>
      <c r="AX3834" s="117"/>
      <c r="AY3834" s="117"/>
      <c r="AZ3834" s="117"/>
      <c r="BA3834" s="117"/>
      <c r="BB3834" s="117"/>
      <c r="BC3834" s="117"/>
      <c r="BD3834" s="117"/>
    </row>
    <row r="3835" spans="1:56" ht="15">
      <c r="A3835" s="114"/>
      <c r="B3835" s="288"/>
      <c r="C3835" s="230"/>
      <c r="D3835" s="230"/>
      <c r="E3835" s="384"/>
      <c r="F3835" s="196"/>
      <c r="G3835" s="196"/>
      <c r="H3835" s="196"/>
      <c r="I3835" s="196"/>
      <c r="J3835" s="114"/>
      <c r="AW3835" s="117"/>
      <c r="AX3835" s="117"/>
      <c r="AY3835" s="117"/>
      <c r="AZ3835" s="117"/>
      <c r="BA3835" s="117"/>
      <c r="BB3835" s="117"/>
      <c r="BC3835" s="117"/>
      <c r="BD3835" s="117"/>
    </row>
    <row r="3836" spans="1:56" ht="15">
      <c r="A3836" s="114"/>
      <c r="B3836" s="293"/>
      <c r="C3836" s="387"/>
      <c r="D3836" s="387"/>
      <c r="E3836" s="387"/>
      <c r="F3836" s="387"/>
      <c r="G3836" s="387"/>
      <c r="H3836" s="386"/>
      <c r="I3836" s="386"/>
      <c r="J3836" s="114"/>
      <c r="AW3836" s="117"/>
      <c r="AX3836" s="117"/>
      <c r="AY3836" s="117"/>
      <c r="AZ3836" s="117"/>
      <c r="BA3836" s="117"/>
      <c r="BB3836" s="117"/>
      <c r="BC3836" s="117"/>
      <c r="BD3836" s="117"/>
    </row>
    <row r="3837" spans="1:56">
      <c r="A3837" s="114"/>
      <c r="B3837" s="385" t="s">
        <v>2199</v>
      </c>
      <c r="C3837" s="196"/>
      <c r="D3837" s="196"/>
      <c r="E3837" s="196"/>
      <c r="F3837" s="196"/>
      <c r="G3837" s="196"/>
      <c r="H3837" s="196"/>
      <c r="I3837" s="196"/>
      <c r="J3837" s="114"/>
      <c r="AW3837" s="117"/>
      <c r="AX3837" s="117"/>
      <c r="AY3837" s="117"/>
      <c r="AZ3837" s="117"/>
      <c r="BA3837" s="117"/>
      <c r="BB3837" s="117"/>
      <c r="BC3837" s="117"/>
      <c r="BD3837" s="117"/>
    </row>
    <row r="3838" spans="1:56" ht="15">
      <c r="A3838" s="114"/>
      <c r="B3838" s="196"/>
      <c r="C3838" s="196"/>
      <c r="D3838" s="196"/>
      <c r="E3838" s="196"/>
      <c r="F3838" s="196"/>
      <c r="G3838" s="196"/>
      <c r="H3838" s="196"/>
      <c r="I3838" s="196"/>
      <c r="J3838" s="114"/>
      <c r="AW3838" s="117"/>
      <c r="AX3838" s="117"/>
      <c r="AY3838" s="117"/>
      <c r="AZ3838" s="117"/>
      <c r="BA3838" s="117"/>
      <c r="BB3838" s="117"/>
      <c r="BC3838" s="117"/>
      <c r="BD3838" s="117"/>
    </row>
    <row r="3839" spans="1:56" ht="15">
      <c r="A3839" s="114"/>
      <c r="B3839" s="388" t="s">
        <v>1110</v>
      </c>
      <c r="C3839" s="389">
        <v>0.25</v>
      </c>
      <c r="D3839" s="390" t="s">
        <v>10</v>
      </c>
      <c r="E3839" s="196"/>
      <c r="F3839" s="196"/>
      <c r="G3839" s="392"/>
      <c r="H3839" s="925"/>
      <c r="I3839" s="196"/>
      <c r="J3839" s="114"/>
      <c r="AW3839" s="117"/>
      <c r="AX3839" s="117"/>
      <c r="AY3839" s="117"/>
      <c r="AZ3839" s="117"/>
      <c r="BA3839" s="117"/>
      <c r="BB3839" s="117"/>
      <c r="BC3839" s="117"/>
      <c r="BD3839" s="117"/>
    </row>
    <row r="3840" spans="1:56" ht="15">
      <c r="A3840" s="114"/>
      <c r="B3840" s="388" t="s">
        <v>1111</v>
      </c>
      <c r="C3840" s="391">
        <f>1.05*2+2.625*2+0.25</f>
        <v>7.6</v>
      </c>
      <c r="D3840" s="390" t="s">
        <v>10</v>
      </c>
      <c r="E3840" s="196"/>
      <c r="F3840" s="196"/>
      <c r="G3840" s="392"/>
      <c r="H3840" s="925"/>
      <c r="I3840" s="196"/>
      <c r="J3840" s="114"/>
      <c r="AW3840" s="117"/>
      <c r="AX3840" s="117"/>
      <c r="AY3840" s="117"/>
      <c r="AZ3840" s="117"/>
      <c r="BA3840" s="117"/>
      <c r="BB3840" s="117"/>
      <c r="BC3840" s="117"/>
      <c r="BD3840" s="117"/>
    </row>
    <row r="3841" spans="1:56" ht="15">
      <c r="A3841" s="114"/>
      <c r="B3841" s="388" t="s">
        <v>1112</v>
      </c>
      <c r="C3841" s="389">
        <v>0.4</v>
      </c>
      <c r="D3841" s="390" t="s">
        <v>10</v>
      </c>
      <c r="E3841" s="196"/>
      <c r="F3841" s="196"/>
      <c r="G3841" s="392"/>
      <c r="H3841" s="925"/>
      <c r="I3841" s="196"/>
      <c r="J3841" s="114"/>
      <c r="AW3841" s="117"/>
      <c r="AX3841" s="117"/>
      <c r="AY3841" s="117"/>
      <c r="AZ3841" s="117"/>
      <c r="BA3841" s="117"/>
      <c r="BB3841" s="117"/>
      <c r="BC3841" s="117"/>
      <c r="BD3841" s="117"/>
    </row>
    <row r="3842" spans="1:56" ht="15">
      <c r="A3842" s="114"/>
      <c r="B3842" s="388" t="s">
        <v>1113</v>
      </c>
      <c r="C3842" s="389">
        <v>0.7</v>
      </c>
      <c r="D3842" s="390" t="s">
        <v>10</v>
      </c>
      <c r="E3842" s="196"/>
      <c r="F3842" s="196"/>
      <c r="G3842" s="392"/>
      <c r="H3842" s="394"/>
      <c r="I3842" s="196"/>
      <c r="J3842" s="114"/>
      <c r="AW3842" s="117"/>
      <c r="AX3842" s="117"/>
      <c r="AY3842" s="117"/>
      <c r="AZ3842" s="117"/>
      <c r="BA3842" s="117"/>
      <c r="BB3842" s="117"/>
      <c r="BC3842" s="117"/>
      <c r="BD3842" s="117"/>
    </row>
    <row r="3843" spans="1:56" ht="15">
      <c r="A3843" s="114"/>
      <c r="B3843" s="388" t="s">
        <v>1117</v>
      </c>
      <c r="C3843" s="389">
        <v>1</v>
      </c>
      <c r="D3843" s="390" t="s">
        <v>1118</v>
      </c>
      <c r="E3843" s="196"/>
      <c r="F3843" s="196"/>
      <c r="G3843" s="392"/>
      <c r="H3843" s="925"/>
      <c r="I3843" s="196"/>
      <c r="J3843" s="114"/>
      <c r="AW3843" s="117"/>
      <c r="AX3843" s="117"/>
      <c r="AY3843" s="117"/>
      <c r="AZ3843" s="117"/>
      <c r="BA3843" s="117"/>
      <c r="BB3843" s="117"/>
      <c r="BC3843" s="117"/>
      <c r="BD3843" s="117"/>
    </row>
    <row r="3844" spans="1:56" ht="15">
      <c r="A3844" s="114"/>
      <c r="B3844" s="392"/>
      <c r="C3844" s="925"/>
      <c r="D3844" s="196"/>
      <c r="E3844" s="196"/>
      <c r="F3844" s="196"/>
      <c r="G3844" s="392"/>
      <c r="H3844" s="925"/>
      <c r="I3844" s="196"/>
      <c r="J3844" s="114"/>
      <c r="AW3844" s="117"/>
      <c r="AX3844" s="117"/>
      <c r="AY3844" s="117"/>
      <c r="AZ3844" s="117"/>
      <c r="BA3844" s="117"/>
      <c r="BB3844" s="117"/>
      <c r="BC3844" s="117"/>
      <c r="BD3844" s="117"/>
    </row>
    <row r="3845" spans="1:56" ht="15">
      <c r="A3845" s="114"/>
      <c r="B3845" s="388" t="s">
        <v>1114</v>
      </c>
      <c r="C3845" s="389">
        <v>0.6</v>
      </c>
      <c r="D3845" s="390" t="s">
        <v>10</v>
      </c>
      <c r="E3845" s="288" t="s">
        <v>1120</v>
      </c>
      <c r="F3845" s="288"/>
      <c r="G3845" s="230"/>
      <c r="H3845" s="395"/>
      <c r="I3845" s="196"/>
      <c r="J3845" s="114"/>
      <c r="AW3845" s="117"/>
      <c r="AX3845" s="117"/>
      <c r="AY3845" s="117"/>
      <c r="AZ3845" s="117"/>
      <c r="BA3845" s="117"/>
      <c r="BB3845" s="117"/>
      <c r="BC3845" s="117"/>
      <c r="BD3845" s="117"/>
    </row>
    <row r="3846" spans="1:56" ht="15">
      <c r="A3846" s="114"/>
      <c r="B3846" s="388" t="s">
        <v>1114</v>
      </c>
      <c r="C3846" s="389">
        <v>0.2</v>
      </c>
      <c r="D3846" s="390" t="s">
        <v>10</v>
      </c>
      <c r="E3846" s="288" t="s">
        <v>1121</v>
      </c>
      <c r="F3846" s="288"/>
      <c r="G3846" s="230"/>
      <c r="H3846" s="395"/>
      <c r="I3846" s="196"/>
      <c r="J3846" s="114"/>
      <c r="AW3846" s="117"/>
      <c r="AX3846" s="117"/>
      <c r="AY3846" s="117"/>
      <c r="AZ3846" s="117"/>
      <c r="BA3846" s="117"/>
      <c r="BB3846" s="117"/>
      <c r="BC3846" s="117"/>
      <c r="BD3846" s="117"/>
    </row>
    <row r="3847" spans="1:56" ht="15">
      <c r="A3847" s="114"/>
      <c r="B3847" s="196"/>
      <c r="C3847" s="196"/>
      <c r="D3847" s="196"/>
      <c r="E3847" s="196"/>
      <c r="F3847" s="196"/>
      <c r="G3847" s="196"/>
      <c r="H3847" s="196"/>
      <c r="I3847" s="196"/>
      <c r="J3847" s="114"/>
      <c r="AW3847" s="117"/>
      <c r="AX3847" s="117"/>
      <c r="AY3847" s="117"/>
      <c r="AZ3847" s="117"/>
      <c r="BA3847" s="117"/>
      <c r="BB3847" s="117"/>
      <c r="BC3847" s="117"/>
      <c r="BD3847" s="117"/>
    </row>
    <row r="3848" spans="1:56" ht="15">
      <c r="A3848" s="114"/>
      <c r="B3848" s="303" t="s">
        <v>1122</v>
      </c>
      <c r="C3848" s="924"/>
      <c r="D3848" s="924"/>
      <c r="E3848" s="196"/>
      <c r="F3848" s="196"/>
      <c r="G3848" s="196"/>
      <c r="H3848" s="196"/>
      <c r="I3848" s="196"/>
      <c r="J3848" s="114"/>
      <c r="AW3848" s="117"/>
      <c r="AX3848" s="117"/>
      <c r="AY3848" s="117"/>
      <c r="AZ3848" s="117"/>
      <c r="BA3848" s="117"/>
      <c r="BB3848" s="117"/>
      <c r="BC3848" s="117"/>
      <c r="BD3848" s="117"/>
    </row>
    <row r="3849" spans="1:56" ht="18">
      <c r="A3849" s="114"/>
      <c r="B3849" s="396" t="s">
        <v>1123</v>
      </c>
      <c r="C3849" s="289"/>
      <c r="D3849" s="290"/>
      <c r="E3849" s="397">
        <f>C3843*(C3845*2*(0.05+C3842+C3841)*C3840)</f>
        <v>10.488</v>
      </c>
      <c r="F3849" s="390" t="s">
        <v>1124</v>
      </c>
      <c r="G3849" s="196"/>
      <c r="H3849" s="196"/>
      <c r="I3849" s="196"/>
      <c r="J3849" s="114"/>
      <c r="AW3849" s="117"/>
      <c r="AX3849" s="117"/>
      <c r="AY3849" s="117"/>
      <c r="AZ3849" s="117"/>
      <c r="BA3849" s="117"/>
      <c r="BB3849" s="117"/>
      <c r="BC3849" s="117"/>
      <c r="BD3849" s="117"/>
    </row>
    <row r="3850" spans="1:56" ht="18">
      <c r="A3850" s="114"/>
      <c r="B3850" s="926" t="s">
        <v>1125</v>
      </c>
      <c r="C3850" s="172"/>
      <c r="D3850" s="173"/>
      <c r="E3850" s="397">
        <f>E3849-(E3854+E3856)</f>
        <v>9.0060000000000002</v>
      </c>
      <c r="F3850" s="390" t="s">
        <v>1124</v>
      </c>
      <c r="G3850" s="196"/>
      <c r="H3850" s="196"/>
      <c r="I3850" s="196"/>
      <c r="J3850" s="114"/>
      <c r="AW3850" s="117"/>
      <c r="AX3850" s="117"/>
      <c r="AY3850" s="117"/>
      <c r="AZ3850" s="117"/>
      <c r="BA3850" s="117"/>
      <c r="BB3850" s="117"/>
      <c r="BC3850" s="117"/>
      <c r="BD3850" s="117"/>
    </row>
    <row r="3851" spans="1:56" ht="15">
      <c r="A3851" s="114"/>
      <c r="B3851" s="399" t="s">
        <v>1126</v>
      </c>
      <c r="C3851" s="317"/>
      <c r="D3851" s="318"/>
      <c r="E3851" s="400">
        <f>(2*C3846)*C3840</f>
        <v>3.04</v>
      </c>
      <c r="F3851" s="390" t="s">
        <v>13</v>
      </c>
      <c r="G3851" s="196"/>
      <c r="H3851" s="196"/>
      <c r="I3851" s="196"/>
      <c r="J3851" s="114"/>
      <c r="AW3851" s="117"/>
      <c r="AX3851" s="117"/>
      <c r="AY3851" s="117"/>
      <c r="AZ3851" s="117"/>
      <c r="BA3851" s="117"/>
      <c r="BB3851" s="117"/>
      <c r="BC3851" s="117"/>
      <c r="BD3851" s="117"/>
    </row>
    <row r="3852" spans="1:56" ht="15">
      <c r="A3852" s="114"/>
      <c r="B3852" s="196"/>
      <c r="C3852" s="196"/>
      <c r="D3852" s="196"/>
      <c r="E3852" s="401"/>
      <c r="F3852" s="196"/>
      <c r="G3852" s="196"/>
      <c r="H3852" s="196"/>
      <c r="I3852" s="196"/>
      <c r="J3852" s="114"/>
      <c r="AW3852" s="117"/>
      <c r="AX3852" s="117"/>
      <c r="AY3852" s="117"/>
      <c r="AZ3852" s="117"/>
      <c r="BA3852" s="117"/>
      <c r="BB3852" s="117"/>
      <c r="BC3852" s="117"/>
      <c r="BD3852" s="117"/>
    </row>
    <row r="3853" spans="1:56" ht="15">
      <c r="A3853" s="114"/>
      <c r="B3853" s="303" t="s">
        <v>1127</v>
      </c>
      <c r="C3853" s="196"/>
      <c r="D3853" s="196"/>
      <c r="E3853" s="401"/>
      <c r="F3853" s="196"/>
      <c r="G3853" s="196"/>
      <c r="H3853" s="196"/>
      <c r="I3853" s="196"/>
      <c r="J3853" s="114"/>
      <c r="AW3853" s="117"/>
      <c r="AX3853" s="117"/>
      <c r="AY3853" s="117"/>
      <c r="AZ3853" s="117"/>
      <c r="BA3853" s="117"/>
      <c r="BB3853" s="117"/>
      <c r="BC3853" s="117"/>
      <c r="BD3853" s="117"/>
    </row>
    <row r="3854" spans="1:56" ht="18">
      <c r="A3854" s="114"/>
      <c r="B3854" s="926" t="s">
        <v>1128</v>
      </c>
      <c r="C3854" s="172"/>
      <c r="D3854" s="173"/>
      <c r="E3854" s="402">
        <f>E3851*0.05</f>
        <v>0.15200000000000002</v>
      </c>
      <c r="F3854" s="390" t="s">
        <v>1124</v>
      </c>
      <c r="G3854" s="196"/>
      <c r="H3854" s="196"/>
      <c r="I3854" s="196"/>
      <c r="J3854" s="114"/>
      <c r="AW3854" s="117"/>
      <c r="AX3854" s="117"/>
      <c r="AY3854" s="117"/>
      <c r="AZ3854" s="117"/>
      <c r="BA3854" s="117"/>
      <c r="BB3854" s="117"/>
      <c r="BC3854" s="117"/>
      <c r="BD3854" s="117"/>
    </row>
    <row r="3855" spans="1:56" ht="15">
      <c r="A3855" s="114"/>
      <c r="B3855" s="926" t="s">
        <v>1129</v>
      </c>
      <c r="C3855" s="172"/>
      <c r="D3855" s="173"/>
      <c r="E3855" s="397">
        <f>C3842*2*C3840</f>
        <v>10.639999999999999</v>
      </c>
      <c r="F3855" s="390" t="s">
        <v>13</v>
      </c>
      <c r="G3855" s="925" t="s">
        <v>1108</v>
      </c>
      <c r="H3855" s="196" t="s">
        <v>1131</v>
      </c>
      <c r="I3855" s="925"/>
      <c r="J3855" s="114"/>
      <c r="AW3855" s="117"/>
      <c r="AX3855" s="117"/>
      <c r="AY3855" s="117"/>
      <c r="AZ3855" s="117"/>
      <c r="BA3855" s="117"/>
      <c r="BB3855" s="117"/>
      <c r="BC3855" s="117"/>
      <c r="BD3855" s="117"/>
    </row>
    <row r="3856" spans="1:56" ht="18">
      <c r="A3856" s="114"/>
      <c r="B3856" s="926" t="s">
        <v>1130</v>
      </c>
      <c r="C3856" s="172"/>
      <c r="D3856" s="173"/>
      <c r="E3856" s="402">
        <f>C3839*C3840*C3842</f>
        <v>1.3299999999999998</v>
      </c>
      <c r="F3856" s="390" t="s">
        <v>1124</v>
      </c>
      <c r="G3856" s="196"/>
      <c r="H3856" s="196"/>
      <c r="I3856" s="196"/>
      <c r="J3856" s="114"/>
      <c r="AW3856" s="117"/>
      <c r="AX3856" s="117"/>
      <c r="AY3856" s="117"/>
      <c r="AZ3856" s="117"/>
      <c r="BA3856" s="117"/>
      <c r="BB3856" s="117"/>
      <c r="BC3856" s="117"/>
      <c r="BD3856" s="117"/>
    </row>
    <row r="3857" spans="1:56" ht="15">
      <c r="A3857" s="114"/>
      <c r="B3857" s="288"/>
      <c r="C3857" s="230"/>
      <c r="D3857" s="230"/>
      <c r="E3857" s="384"/>
      <c r="F3857" s="196"/>
      <c r="G3857" s="196"/>
      <c r="H3857" s="196"/>
      <c r="I3857" s="196"/>
      <c r="J3857" s="114"/>
      <c r="AW3857" s="117"/>
      <c r="AX3857" s="117"/>
      <c r="AY3857" s="117"/>
      <c r="AZ3857" s="117"/>
      <c r="BA3857" s="117"/>
      <c r="BB3857" s="117"/>
      <c r="BC3857" s="117"/>
      <c r="BD3857" s="117"/>
    </row>
    <row r="3858" spans="1:56" ht="15">
      <c r="A3858" s="114"/>
      <c r="B3858" s="288"/>
      <c r="C3858" s="230"/>
      <c r="D3858" s="230"/>
      <c r="E3858" s="384"/>
      <c r="F3858" s="196"/>
      <c r="G3858" s="196"/>
      <c r="H3858" s="196"/>
      <c r="I3858" s="196"/>
      <c r="J3858" s="114"/>
      <c r="AW3858" s="117"/>
      <c r="AX3858" s="117"/>
      <c r="AY3858" s="117"/>
      <c r="AZ3858" s="117"/>
      <c r="BA3858" s="117"/>
      <c r="BB3858" s="117"/>
      <c r="BC3858" s="117"/>
      <c r="BD3858" s="117"/>
    </row>
    <row r="3859" spans="1:56" customFormat="1" ht="12.75">
      <c r="B3859" s="362"/>
      <c r="C3859" s="362"/>
      <c r="D3859" s="362"/>
      <c r="E3859" s="362"/>
      <c r="F3859" s="362"/>
      <c r="G3859" s="362"/>
      <c r="H3859" s="362"/>
      <c r="I3859" s="362"/>
      <c r="J3859" s="362"/>
    </row>
    <row r="3860" spans="1:56">
      <c r="A3860" s="114"/>
      <c r="B3860" s="385" t="s">
        <v>1223</v>
      </c>
      <c r="C3860" s="196"/>
      <c r="D3860" s="196"/>
      <c r="E3860" s="196"/>
      <c r="F3860" s="196"/>
      <c r="G3860" s="196"/>
      <c r="H3860" s="196"/>
      <c r="I3860" s="196"/>
      <c r="J3860" s="196"/>
      <c r="AX3860" s="117"/>
      <c r="AY3860" s="117"/>
      <c r="AZ3860" s="117"/>
      <c r="BA3860" s="117"/>
      <c r="BB3860" s="117"/>
      <c r="BC3860" s="117"/>
      <c r="BD3860" s="117"/>
    </row>
    <row r="3861" spans="1:56" ht="15">
      <c r="A3861" s="114"/>
      <c r="B3861" s="362"/>
      <c r="C3861" s="362"/>
      <c r="D3861" s="362"/>
      <c r="E3861" s="362"/>
      <c r="F3861" s="404"/>
      <c r="G3861" s="404"/>
      <c r="H3861" s="404"/>
      <c r="I3861" s="404"/>
      <c r="J3861" s="404"/>
      <c r="AX3861" s="117"/>
      <c r="AY3861" s="117"/>
      <c r="AZ3861" s="117"/>
      <c r="BA3861" s="117"/>
      <c r="BB3861" s="117"/>
      <c r="BC3861" s="117"/>
      <c r="BD3861" s="117"/>
    </row>
    <row r="3862" spans="1:56" ht="18">
      <c r="A3862" s="114"/>
      <c r="B3862" s="388" t="s">
        <v>1141</v>
      </c>
      <c r="C3862" s="389">
        <v>0.25</v>
      </c>
      <c r="D3862" s="390" t="s">
        <v>10</v>
      </c>
      <c r="E3862" s="196"/>
      <c r="F3862" s="405"/>
      <c r="G3862" s="406" t="s">
        <v>1142</v>
      </c>
      <c r="H3862" s="407">
        <f>C3862*C3863</f>
        <v>6.25E-2</v>
      </c>
      <c r="I3862" s="405" t="s">
        <v>1143</v>
      </c>
      <c r="J3862" s="405"/>
      <c r="AX3862" s="117"/>
      <c r="AY3862" s="117"/>
      <c r="AZ3862" s="117"/>
      <c r="BA3862" s="117"/>
      <c r="BB3862" s="117"/>
      <c r="BC3862" s="117"/>
      <c r="BD3862" s="117"/>
    </row>
    <row r="3863" spans="1:56" ht="15">
      <c r="A3863" s="114"/>
      <c r="B3863" s="388" t="s">
        <v>1144</v>
      </c>
      <c r="C3863" s="389">
        <v>0.25</v>
      </c>
      <c r="D3863" s="390" t="s">
        <v>10</v>
      </c>
      <c r="E3863" s="196"/>
      <c r="F3863" s="405"/>
      <c r="G3863" s="406" t="e">
        <f>TEXT(C3870,"tg 0°=")</f>
        <v>#VALUE!</v>
      </c>
      <c r="H3863" s="408">
        <f>TAN(3.14159265359*C3870/180)</f>
        <v>1.732050807569153</v>
      </c>
      <c r="I3863" s="405"/>
      <c r="J3863" s="405"/>
      <c r="AX3863" s="117"/>
      <c r="AY3863" s="117"/>
      <c r="AZ3863" s="117"/>
      <c r="BA3863" s="117"/>
      <c r="BB3863" s="117"/>
      <c r="BC3863" s="117"/>
      <c r="BD3863" s="117"/>
    </row>
    <row r="3864" spans="1:56" ht="15">
      <c r="A3864" s="114"/>
      <c r="B3864" s="388" t="s">
        <v>1145</v>
      </c>
      <c r="C3864" s="389">
        <v>0.5</v>
      </c>
      <c r="D3864" s="390" t="s">
        <v>10</v>
      </c>
      <c r="E3864" s="196"/>
      <c r="F3864" s="405"/>
      <c r="G3864" s="406"/>
      <c r="H3864" s="407"/>
      <c r="I3864" s="405"/>
      <c r="J3864" s="405"/>
      <c r="AX3864" s="117"/>
      <c r="AY3864" s="117"/>
      <c r="AZ3864" s="117"/>
      <c r="BA3864" s="117"/>
      <c r="BB3864" s="117"/>
      <c r="BC3864" s="117"/>
      <c r="BD3864" s="117"/>
    </row>
    <row r="3865" spans="1:56" ht="18">
      <c r="A3865" s="114"/>
      <c r="B3865" s="388" t="s">
        <v>1146</v>
      </c>
      <c r="C3865" s="389">
        <v>0.5</v>
      </c>
      <c r="D3865" s="390" t="s">
        <v>10</v>
      </c>
      <c r="E3865" s="196"/>
      <c r="F3865" s="405"/>
      <c r="G3865" s="406" t="s">
        <v>1142</v>
      </c>
      <c r="H3865" s="409">
        <f>(C3864+2*C3872+((C3866+C3867+0.05)/H3863)*2)*(C3865+2*C3872+((C3866+C3867+0.05)/H3863)*2)</f>
        <v>8.6634603522541767</v>
      </c>
      <c r="I3865" s="405" t="s">
        <v>1143</v>
      </c>
      <c r="J3865" s="405"/>
      <c r="AX3865" s="117"/>
      <c r="AY3865" s="117"/>
      <c r="AZ3865" s="117"/>
      <c r="BA3865" s="117"/>
      <c r="BB3865" s="117"/>
      <c r="BC3865" s="117"/>
      <c r="BD3865" s="117"/>
    </row>
    <row r="3866" spans="1:56" ht="18">
      <c r="A3866" s="114"/>
      <c r="B3866" s="388" t="s">
        <v>1112</v>
      </c>
      <c r="C3866" s="389">
        <v>0.4</v>
      </c>
      <c r="D3866" s="390" t="s">
        <v>10</v>
      </c>
      <c r="E3866" s="196"/>
      <c r="F3866" s="405"/>
      <c r="G3866" s="406" t="s">
        <v>1147</v>
      </c>
      <c r="H3866" s="409">
        <f>(C3864+2*C3872)*(C3865+2*C3872)</f>
        <v>2.25</v>
      </c>
      <c r="I3866" s="405" t="s">
        <v>1143</v>
      </c>
      <c r="J3866" s="405"/>
      <c r="AX3866" s="117"/>
      <c r="AY3866" s="117"/>
      <c r="AZ3866" s="117"/>
      <c r="BA3866" s="117"/>
      <c r="BB3866" s="117"/>
      <c r="BC3866" s="117"/>
      <c r="BD3866" s="117"/>
    </row>
    <row r="3867" spans="1:56" ht="15">
      <c r="A3867" s="114"/>
      <c r="B3867" s="388" t="s">
        <v>1113</v>
      </c>
      <c r="C3867" s="389">
        <v>0.8</v>
      </c>
      <c r="D3867" s="390" t="s">
        <v>10</v>
      </c>
      <c r="E3867" s="196"/>
      <c r="F3867" s="405"/>
      <c r="G3867" s="406"/>
      <c r="H3867" s="407"/>
      <c r="I3867" s="405"/>
      <c r="J3867" s="405"/>
      <c r="AX3867" s="117"/>
      <c r="AY3867" s="117"/>
      <c r="AZ3867" s="117"/>
      <c r="BA3867" s="117"/>
      <c r="BB3867" s="117"/>
      <c r="BC3867" s="117"/>
      <c r="BD3867" s="117"/>
    </row>
    <row r="3868" spans="1:56" ht="15">
      <c r="A3868" s="114"/>
      <c r="B3868" s="388" t="s">
        <v>1117</v>
      </c>
      <c r="C3868" s="391">
        <v>2</v>
      </c>
      <c r="D3868" s="390" t="s">
        <v>1118</v>
      </c>
      <c r="E3868" s="196"/>
      <c r="F3868" s="405"/>
      <c r="G3868" s="406"/>
      <c r="H3868" s="407"/>
      <c r="I3868" s="405"/>
      <c r="J3868" s="405"/>
      <c r="AX3868" s="117"/>
      <c r="AY3868" s="117"/>
      <c r="AZ3868" s="117"/>
      <c r="BA3868" s="117"/>
      <c r="BB3868" s="117"/>
      <c r="BC3868" s="117"/>
      <c r="BD3868" s="117"/>
    </row>
    <row r="3869" spans="1:56" ht="15">
      <c r="A3869" s="114"/>
      <c r="B3869" s="196" t="s">
        <v>1148</v>
      </c>
      <c r="C3869" s="393"/>
      <c r="D3869" s="196"/>
      <c r="E3869" s="196"/>
      <c r="F3869" s="405"/>
      <c r="G3869" s="406"/>
      <c r="H3869" s="407"/>
      <c r="I3869" s="405"/>
      <c r="J3869" s="405"/>
      <c r="AX3869" s="117"/>
      <c r="AY3869" s="117"/>
      <c r="AZ3869" s="117"/>
      <c r="BA3869" s="117"/>
      <c r="BB3869" s="117"/>
      <c r="BC3869" s="117"/>
      <c r="BD3869" s="117"/>
    </row>
    <row r="3870" spans="1:56" ht="15">
      <c r="A3870" s="114"/>
      <c r="B3870" s="388" t="s">
        <v>1149</v>
      </c>
      <c r="C3870" s="389">
        <v>60</v>
      </c>
      <c r="D3870" s="390" t="s">
        <v>1150</v>
      </c>
      <c r="E3870" s="196"/>
      <c r="F3870" s="196"/>
      <c r="G3870" s="392"/>
      <c r="H3870" s="393"/>
      <c r="I3870" s="196"/>
      <c r="J3870" s="196"/>
      <c r="AX3870" s="117"/>
      <c r="AY3870" s="117"/>
      <c r="AZ3870" s="117"/>
      <c r="BA3870" s="117"/>
      <c r="BB3870" s="117"/>
      <c r="BC3870" s="117"/>
      <c r="BD3870" s="117"/>
    </row>
    <row r="3871" spans="1:56" ht="15">
      <c r="A3871" s="114"/>
      <c r="B3871" s="362"/>
      <c r="C3871" s="196"/>
      <c r="D3871" s="196"/>
      <c r="E3871" s="196"/>
      <c r="F3871" s="196"/>
      <c r="G3871" s="362"/>
      <c r="H3871" s="362"/>
      <c r="I3871" s="362"/>
      <c r="J3871" s="196"/>
      <c r="AX3871" s="117"/>
      <c r="AY3871" s="117"/>
      <c r="AZ3871" s="117"/>
      <c r="BA3871" s="117"/>
      <c r="BB3871" s="117"/>
      <c r="BC3871" s="117"/>
      <c r="BD3871" s="117"/>
    </row>
    <row r="3872" spans="1:56" ht="15">
      <c r="A3872" s="114"/>
      <c r="B3872" s="388" t="s">
        <v>1114</v>
      </c>
      <c r="C3872" s="389">
        <v>0.5</v>
      </c>
      <c r="D3872" s="390" t="s">
        <v>10</v>
      </c>
      <c r="E3872" s="288" t="s">
        <v>1120</v>
      </c>
      <c r="F3872" s="196"/>
      <c r="G3872" s="196" t="s">
        <v>1131</v>
      </c>
      <c r="H3872" s="114"/>
      <c r="I3872" s="114"/>
      <c r="J3872" s="196"/>
      <c r="AX3872" s="117"/>
      <c r="AY3872" s="117"/>
      <c r="AZ3872" s="117"/>
      <c r="BA3872" s="117"/>
      <c r="BB3872" s="117"/>
      <c r="BC3872" s="117"/>
      <c r="BD3872" s="117"/>
    </row>
    <row r="3873" spans="1:56" ht="15">
      <c r="A3873" s="114"/>
      <c r="B3873" s="388" t="s">
        <v>1114</v>
      </c>
      <c r="C3873" s="389">
        <v>0.1</v>
      </c>
      <c r="D3873" s="390" t="s">
        <v>10</v>
      </c>
      <c r="E3873" s="288" t="s">
        <v>1121</v>
      </c>
      <c r="F3873" s="196"/>
      <c r="G3873" s="196"/>
      <c r="H3873" s="196"/>
      <c r="I3873" s="196"/>
      <c r="J3873" s="196"/>
      <c r="AX3873" s="117"/>
      <c r="AY3873" s="117"/>
      <c r="AZ3873" s="117"/>
      <c r="BA3873" s="117"/>
      <c r="BB3873" s="117"/>
      <c r="BC3873" s="117"/>
      <c r="BD3873" s="117"/>
    </row>
    <row r="3874" spans="1:56" ht="15">
      <c r="A3874" s="114"/>
      <c r="B3874" s="362"/>
      <c r="C3874" s="362"/>
      <c r="D3874" s="362"/>
      <c r="E3874" s="362"/>
      <c r="F3874" s="362"/>
      <c r="G3874" s="114"/>
      <c r="H3874" s="362"/>
      <c r="I3874" s="196"/>
      <c r="J3874" s="196"/>
      <c r="AX3874" s="117"/>
      <c r="AY3874" s="117"/>
      <c r="AZ3874" s="117"/>
      <c r="BA3874" s="117"/>
      <c r="BB3874" s="117"/>
      <c r="BC3874" s="117"/>
      <c r="BD3874" s="117"/>
    </row>
    <row r="3875" spans="1:56" ht="15">
      <c r="A3875" s="114"/>
      <c r="B3875" s="303" t="s">
        <v>1122</v>
      </c>
      <c r="C3875" s="362"/>
      <c r="D3875" s="362"/>
      <c r="E3875" s="362"/>
      <c r="F3875" s="362"/>
      <c r="G3875" s="196"/>
      <c r="H3875" s="196"/>
      <c r="I3875" s="196"/>
      <c r="J3875" s="196"/>
      <c r="AX3875" s="117"/>
      <c r="AY3875" s="117"/>
      <c r="AZ3875" s="117"/>
      <c r="BA3875" s="117"/>
      <c r="BB3875" s="117"/>
      <c r="BC3875" s="117"/>
      <c r="BD3875" s="117"/>
    </row>
    <row r="3876" spans="1:56" ht="18">
      <c r="A3876" s="114"/>
      <c r="B3876" s="398" t="s">
        <v>1123</v>
      </c>
      <c r="C3876" s="172"/>
      <c r="D3876" s="173"/>
      <c r="E3876" s="397">
        <f>C3868*((H3866+H3865)/2)*(C3866+C3867+0.05)</f>
        <v>13.641825440317723</v>
      </c>
      <c r="F3876" s="390" t="s">
        <v>1124</v>
      </c>
      <c r="G3876" s="196"/>
      <c r="H3876" s="362"/>
      <c r="I3876" s="362"/>
      <c r="J3876" s="362"/>
      <c r="AX3876" s="117"/>
      <c r="AY3876" s="117"/>
      <c r="AZ3876" s="117"/>
      <c r="BA3876" s="117"/>
      <c r="BB3876" s="117"/>
      <c r="BC3876" s="117"/>
      <c r="BD3876" s="117"/>
    </row>
    <row r="3877" spans="1:56" ht="18">
      <c r="A3877" s="114"/>
      <c r="B3877" s="398" t="s">
        <v>1125</v>
      </c>
      <c r="C3877" s="172"/>
      <c r="D3877" s="173"/>
      <c r="E3877" s="400">
        <f>E3876-(E3888+E3890)</f>
        <v>13.192825440317723</v>
      </c>
      <c r="F3877" s="390" t="s">
        <v>1124</v>
      </c>
      <c r="G3877" s="196"/>
      <c r="H3877" s="196"/>
      <c r="I3877" s="196"/>
      <c r="J3877" s="196"/>
      <c r="AX3877" s="117"/>
      <c r="AY3877" s="117"/>
      <c r="AZ3877" s="117"/>
      <c r="BA3877" s="117"/>
      <c r="BB3877" s="117"/>
      <c r="BC3877" s="117"/>
      <c r="BD3877" s="117"/>
    </row>
    <row r="3878" spans="1:56" ht="15">
      <c r="A3878" s="114"/>
      <c r="B3878" s="398" t="s">
        <v>1126</v>
      </c>
      <c r="C3878" s="172"/>
      <c r="D3878" s="173"/>
      <c r="E3878" s="400">
        <f>((C3864+2*C3873)*(C3865+2*C3873))*C3868</f>
        <v>0.97999999999999987</v>
      </c>
      <c r="F3878" s="390" t="s">
        <v>13</v>
      </c>
      <c r="G3878" s="362"/>
      <c r="H3878" s="362"/>
      <c r="I3878" s="362"/>
      <c r="J3878" s="362"/>
      <c r="AX3878" s="117"/>
      <c r="AY3878" s="117"/>
      <c r="AZ3878" s="117"/>
      <c r="BA3878" s="117"/>
      <c r="BB3878" s="117"/>
      <c r="BC3878" s="117"/>
      <c r="BD3878" s="117"/>
    </row>
    <row r="3879" spans="1:56" ht="15">
      <c r="A3879" s="114"/>
      <c r="B3879" s="362"/>
      <c r="C3879" s="362"/>
      <c r="D3879" s="362"/>
      <c r="E3879" s="401"/>
      <c r="F3879" s="196"/>
      <c r="G3879" s="362"/>
      <c r="H3879" s="362"/>
      <c r="I3879" s="362"/>
      <c r="J3879" s="362"/>
      <c r="AX3879" s="117"/>
      <c r="AY3879" s="117"/>
      <c r="AZ3879" s="117"/>
      <c r="BA3879" s="117"/>
      <c r="BB3879" s="117"/>
      <c r="BC3879" s="117"/>
      <c r="BD3879" s="117"/>
    </row>
    <row r="3880" spans="1:56" ht="15">
      <c r="A3880" s="114"/>
      <c r="B3880" s="303" t="s">
        <v>1162</v>
      </c>
      <c r="C3880" s="362"/>
      <c r="D3880" s="362"/>
      <c r="E3880" s="410"/>
      <c r="F3880" s="362"/>
      <c r="G3880" s="362"/>
      <c r="H3880" s="362"/>
      <c r="I3880" s="362"/>
      <c r="J3880" s="362"/>
      <c r="AX3880" s="117"/>
      <c r="AY3880" s="117"/>
      <c r="AZ3880" s="117"/>
      <c r="BA3880" s="117"/>
      <c r="BB3880" s="117"/>
      <c r="BC3880" s="117"/>
      <c r="BD3880" s="117"/>
    </row>
    <row r="3881" spans="1:56" ht="15">
      <c r="A3881" s="114"/>
      <c r="B3881" s="398" t="s">
        <v>1152</v>
      </c>
      <c r="C3881" s="398"/>
      <c r="D3881" s="366"/>
      <c r="E3881" s="411">
        <v>1</v>
      </c>
      <c r="F3881" s="390" t="s">
        <v>1153</v>
      </c>
      <c r="G3881" s="362"/>
      <c r="H3881" s="362"/>
      <c r="I3881" s="362"/>
      <c r="J3881" s="362"/>
      <c r="AX3881" s="117"/>
      <c r="AY3881" s="117"/>
      <c r="AZ3881" s="117"/>
      <c r="BA3881" s="117"/>
      <c r="BB3881" s="117"/>
      <c r="BC3881" s="117"/>
      <c r="BD3881" s="117"/>
    </row>
    <row r="3882" spans="1:56" ht="15">
      <c r="A3882" s="114"/>
      <c r="B3882" s="399" t="s">
        <v>1154</v>
      </c>
      <c r="C3882" s="31"/>
      <c r="D3882" s="32"/>
      <c r="E3882" s="412">
        <f>C3868*E3881</f>
        <v>2</v>
      </c>
      <c r="F3882" s="390" t="s">
        <v>1153</v>
      </c>
      <c r="G3882" s="362"/>
      <c r="H3882" s="362"/>
      <c r="I3882" s="362"/>
      <c r="J3882" s="362"/>
      <c r="AX3882" s="117"/>
      <c r="AY3882" s="117"/>
      <c r="AZ3882" s="117"/>
      <c r="BA3882" s="117"/>
      <c r="BB3882" s="117"/>
      <c r="BC3882" s="117"/>
      <c r="BD3882" s="117"/>
    </row>
    <row r="3883" spans="1:56" ht="15">
      <c r="A3883" s="114"/>
      <c r="B3883" s="398" t="s">
        <v>1155</v>
      </c>
      <c r="C3883" s="21"/>
      <c r="D3883" s="413"/>
      <c r="E3883" s="411">
        <v>250</v>
      </c>
      <c r="F3883" s="390" t="s">
        <v>1156</v>
      </c>
      <c r="G3883" s="362"/>
      <c r="H3883" s="414"/>
      <c r="I3883" s="362"/>
      <c r="J3883" s="415"/>
      <c r="AX3883" s="117"/>
      <c r="AY3883" s="117"/>
      <c r="AZ3883" s="117"/>
      <c r="BA3883" s="117"/>
      <c r="BB3883" s="117"/>
      <c r="BC3883" s="117"/>
      <c r="BD3883" s="117"/>
    </row>
    <row r="3884" spans="1:56" ht="15">
      <c r="A3884" s="114"/>
      <c r="B3884" s="398" t="s">
        <v>1157</v>
      </c>
      <c r="C3884" s="21"/>
      <c r="D3884" s="413"/>
      <c r="E3884" s="411">
        <v>14</v>
      </c>
      <c r="F3884" s="390" t="s">
        <v>10</v>
      </c>
      <c r="G3884" s="362"/>
      <c r="H3884" s="6"/>
      <c r="I3884" s="362"/>
      <c r="J3884" s="362"/>
      <c r="AX3884" s="117"/>
      <c r="AY3884" s="117"/>
      <c r="AZ3884" s="117"/>
      <c r="BA3884" s="117"/>
      <c r="BB3884" s="117"/>
      <c r="BC3884" s="117"/>
      <c r="BD3884" s="117"/>
    </row>
    <row r="3885" spans="1:56" ht="15">
      <c r="A3885" s="114"/>
      <c r="B3885" s="398" t="s">
        <v>1158</v>
      </c>
      <c r="C3885" s="21"/>
      <c r="D3885" s="413"/>
      <c r="E3885" s="412">
        <f>E3882*E3884</f>
        <v>28</v>
      </c>
      <c r="F3885" s="390" t="s">
        <v>10</v>
      </c>
      <c r="G3885" s="362"/>
      <c r="H3885" s="362"/>
      <c r="I3885" s="362"/>
      <c r="J3885" s="362"/>
      <c r="AX3885" s="117"/>
      <c r="AY3885" s="117"/>
      <c r="AZ3885" s="117"/>
      <c r="BA3885" s="117"/>
      <c r="BB3885" s="117"/>
      <c r="BC3885" s="117"/>
      <c r="BD3885" s="117"/>
    </row>
    <row r="3886" spans="1:56" ht="15">
      <c r="A3886" s="114"/>
      <c r="B3886" s="362"/>
      <c r="C3886" s="362"/>
      <c r="D3886" s="362"/>
      <c r="E3886" s="410"/>
      <c r="F3886" s="362"/>
      <c r="G3886" s="362"/>
      <c r="H3886" s="362"/>
      <c r="I3886" s="362"/>
      <c r="J3886" s="362"/>
      <c r="AX3886" s="117"/>
      <c r="AY3886" s="117"/>
      <c r="AZ3886" s="117"/>
      <c r="BA3886" s="117"/>
      <c r="BB3886" s="117"/>
      <c r="BC3886" s="117"/>
      <c r="BD3886" s="117"/>
    </row>
    <row r="3887" spans="1:56" ht="15">
      <c r="A3887" s="114"/>
      <c r="B3887" s="303" t="s">
        <v>1160</v>
      </c>
      <c r="C3887" s="362"/>
      <c r="D3887" s="362"/>
      <c r="E3887" s="410"/>
      <c r="F3887" s="362"/>
      <c r="G3887" s="362"/>
      <c r="H3887" s="362"/>
      <c r="I3887" s="362"/>
      <c r="J3887" s="362"/>
      <c r="AX3887" s="117"/>
      <c r="AY3887" s="117"/>
      <c r="AZ3887" s="117"/>
      <c r="BA3887" s="117"/>
      <c r="BB3887" s="117"/>
      <c r="BC3887" s="117"/>
      <c r="BD3887" s="117"/>
    </row>
    <row r="3888" spans="1:56" ht="18">
      <c r="A3888" s="114"/>
      <c r="B3888" s="398" t="s">
        <v>1128</v>
      </c>
      <c r="C3888" s="172"/>
      <c r="D3888" s="173"/>
      <c r="E3888" s="402">
        <f>E3878*0.05</f>
        <v>4.8999999999999995E-2</v>
      </c>
      <c r="F3888" s="390" t="s">
        <v>1124</v>
      </c>
      <c r="G3888" s="362"/>
      <c r="H3888" s="362"/>
      <c r="I3888" s="362"/>
      <c r="J3888" s="362"/>
      <c r="AX3888" s="117"/>
      <c r="AY3888" s="117"/>
      <c r="AZ3888" s="117"/>
      <c r="BA3888" s="117"/>
      <c r="BB3888" s="117"/>
      <c r="BC3888" s="117"/>
      <c r="BD3888" s="117"/>
    </row>
    <row r="3889" spans="1:56" ht="15">
      <c r="A3889" s="114"/>
      <c r="B3889" s="398" t="s">
        <v>1129</v>
      </c>
      <c r="C3889" s="172"/>
      <c r="D3889" s="173"/>
      <c r="E3889" s="397">
        <f>(2*(C3864+C3865)*C3867)*C3868</f>
        <v>3.2</v>
      </c>
      <c r="F3889" s="390" t="s">
        <v>13</v>
      </c>
      <c r="G3889" s="362"/>
      <c r="H3889" s="362"/>
      <c r="I3889" s="362"/>
      <c r="J3889" s="362"/>
      <c r="AX3889" s="117"/>
      <c r="AY3889" s="117"/>
      <c r="AZ3889" s="117"/>
      <c r="BA3889" s="117"/>
      <c r="BB3889" s="117"/>
      <c r="BC3889" s="117"/>
      <c r="BD3889" s="117"/>
    </row>
    <row r="3890" spans="1:56" ht="18">
      <c r="A3890" s="114"/>
      <c r="B3890" s="398" t="s">
        <v>1130</v>
      </c>
      <c r="C3890" s="172"/>
      <c r="D3890" s="173"/>
      <c r="E3890" s="402">
        <f>(C3864*C3865*C3867)*C3868</f>
        <v>0.4</v>
      </c>
      <c r="F3890" s="390" t="s">
        <v>1124</v>
      </c>
      <c r="G3890" s="362"/>
      <c r="H3890" s="362"/>
      <c r="I3890" s="362"/>
      <c r="J3890" s="362"/>
      <c r="AX3890" s="117"/>
      <c r="AY3890" s="117"/>
      <c r="AZ3890" s="117"/>
      <c r="BA3890" s="117"/>
      <c r="BB3890" s="117"/>
      <c r="BC3890" s="117"/>
      <c r="BD3890" s="117"/>
    </row>
    <row r="3891" spans="1:56" ht="15">
      <c r="A3891" s="114"/>
      <c r="B3891" s="288"/>
      <c r="C3891" s="230"/>
      <c r="D3891" s="230"/>
      <c r="E3891" s="384"/>
      <c r="F3891" s="196"/>
      <c r="G3891" s="196"/>
      <c r="H3891" s="196"/>
      <c r="I3891" s="196"/>
      <c r="J3891" s="114"/>
      <c r="AW3891" s="117"/>
      <c r="AX3891" s="117"/>
      <c r="AY3891" s="117"/>
      <c r="AZ3891" s="117"/>
      <c r="BA3891" s="117"/>
      <c r="BB3891" s="117"/>
      <c r="BC3891" s="117"/>
      <c r="BD3891" s="117"/>
    </row>
    <row r="3892" spans="1:56" ht="15">
      <c r="A3892" s="114"/>
      <c r="B3892" s="288"/>
      <c r="C3892" s="230"/>
      <c r="D3892" s="230"/>
      <c r="E3892" s="384"/>
      <c r="F3892" s="196"/>
      <c r="G3892" s="196"/>
      <c r="H3892" s="196"/>
      <c r="I3892" s="196"/>
      <c r="J3892" s="114"/>
      <c r="AW3892" s="117"/>
      <c r="AX3892" s="117"/>
      <c r="AY3892" s="117"/>
      <c r="AZ3892" s="117"/>
      <c r="BA3892" s="117"/>
      <c r="BB3892" s="117"/>
      <c r="BC3892" s="117"/>
      <c r="BD3892" s="117"/>
    </row>
    <row r="3893" spans="1:56" customFormat="1" ht="12.75">
      <c r="B3893" s="362"/>
      <c r="C3893" s="362"/>
      <c r="D3893" s="362"/>
      <c r="E3893" s="362"/>
      <c r="F3893" s="362"/>
      <c r="G3893" s="362"/>
      <c r="H3893" s="362"/>
      <c r="I3893" s="362"/>
      <c r="J3893" s="362"/>
    </row>
    <row r="3894" spans="1:56">
      <c r="A3894" s="114"/>
      <c r="B3894" s="385" t="s">
        <v>1224</v>
      </c>
      <c r="C3894" s="196"/>
      <c r="D3894" s="196"/>
      <c r="E3894" s="196"/>
      <c r="F3894" s="196"/>
      <c r="G3894" s="196"/>
      <c r="H3894" s="196"/>
      <c r="I3894" s="196"/>
      <c r="J3894" s="196"/>
      <c r="AX3894" s="117"/>
      <c r="AY3894" s="117"/>
      <c r="AZ3894" s="117"/>
      <c r="BA3894" s="117"/>
      <c r="BB3894" s="117"/>
      <c r="BC3894" s="117"/>
      <c r="BD3894" s="117"/>
    </row>
    <row r="3895" spans="1:56" ht="15">
      <c r="A3895" s="114"/>
      <c r="B3895" s="362"/>
      <c r="C3895" s="362"/>
      <c r="D3895" s="362"/>
      <c r="E3895" s="362"/>
      <c r="F3895" s="404"/>
      <c r="G3895" s="404"/>
      <c r="H3895" s="404"/>
      <c r="I3895" s="404"/>
      <c r="J3895" s="404"/>
      <c r="AX3895" s="117"/>
      <c r="AY3895" s="117"/>
      <c r="AZ3895" s="117"/>
      <c r="BA3895" s="117"/>
      <c r="BB3895" s="117"/>
      <c r="BC3895" s="117"/>
      <c r="BD3895" s="117"/>
    </row>
    <row r="3896" spans="1:56" ht="18">
      <c r="A3896" s="114"/>
      <c r="B3896" s="388" t="s">
        <v>1141</v>
      </c>
      <c r="C3896" s="389">
        <v>0.25</v>
      </c>
      <c r="D3896" s="390" t="s">
        <v>10</v>
      </c>
      <c r="E3896" s="196"/>
      <c r="F3896" s="405"/>
      <c r="G3896" s="406" t="s">
        <v>1142</v>
      </c>
      <c r="H3896" s="407">
        <f>C3896*C3897</f>
        <v>6.25E-2</v>
      </c>
      <c r="I3896" s="405" t="s">
        <v>1143</v>
      </c>
      <c r="J3896" s="405"/>
      <c r="AX3896" s="117"/>
      <c r="AY3896" s="117"/>
      <c r="AZ3896" s="117"/>
      <c r="BA3896" s="117"/>
      <c r="BB3896" s="117"/>
      <c r="BC3896" s="117"/>
      <c r="BD3896" s="117"/>
    </row>
    <row r="3897" spans="1:56" ht="15">
      <c r="A3897" s="114"/>
      <c r="B3897" s="388" t="s">
        <v>1144</v>
      </c>
      <c r="C3897" s="389">
        <v>0.25</v>
      </c>
      <c r="D3897" s="390" t="s">
        <v>10</v>
      </c>
      <c r="E3897" s="196"/>
      <c r="F3897" s="405"/>
      <c r="G3897" s="406" t="e">
        <f>TEXT(C3904,"tg 0°=")</f>
        <v>#VALUE!</v>
      </c>
      <c r="H3897" s="408">
        <f>TAN(3.14159265359*C3904/180)</f>
        <v>1.732050807569153</v>
      </c>
      <c r="I3897" s="405"/>
      <c r="J3897" s="405"/>
      <c r="AX3897" s="117"/>
      <c r="AY3897" s="117"/>
      <c r="AZ3897" s="117"/>
      <c r="BA3897" s="117"/>
      <c r="BB3897" s="117"/>
      <c r="BC3897" s="117"/>
      <c r="BD3897" s="117"/>
    </row>
    <row r="3898" spans="1:56" ht="15">
      <c r="A3898" s="114"/>
      <c r="B3898" s="388" t="s">
        <v>1145</v>
      </c>
      <c r="C3898" s="389">
        <v>1.25</v>
      </c>
      <c r="D3898" s="390" t="s">
        <v>10</v>
      </c>
      <c r="E3898" s="196"/>
      <c r="F3898" s="405"/>
      <c r="G3898" s="406"/>
      <c r="H3898" s="407"/>
      <c r="I3898" s="405"/>
      <c r="J3898" s="405"/>
      <c r="AX3898" s="117"/>
      <c r="AY3898" s="117"/>
      <c r="AZ3898" s="117"/>
      <c r="BA3898" s="117"/>
      <c r="BB3898" s="117"/>
      <c r="BC3898" s="117"/>
      <c r="BD3898" s="117"/>
    </row>
    <row r="3899" spans="1:56" ht="18">
      <c r="A3899" s="114"/>
      <c r="B3899" s="388" t="s">
        <v>1146</v>
      </c>
      <c r="C3899" s="389">
        <v>0.5</v>
      </c>
      <c r="D3899" s="390" t="s">
        <v>10</v>
      </c>
      <c r="E3899" s="196"/>
      <c r="F3899" s="405"/>
      <c r="G3899" s="406" t="s">
        <v>1142</v>
      </c>
      <c r="H3899" s="409">
        <f>(C3898+2*C3906+((C3900+C3901+0.05)/H3897)*2)*(C3899+2*C3906+((C3900+C3901+0.05)/H3897)*2)</f>
        <v>10.870992106984552</v>
      </c>
      <c r="I3899" s="405" t="s">
        <v>1143</v>
      </c>
      <c r="J3899" s="405"/>
      <c r="AX3899" s="117"/>
      <c r="AY3899" s="117"/>
      <c r="AZ3899" s="117"/>
      <c r="BA3899" s="117"/>
      <c r="BB3899" s="117"/>
      <c r="BC3899" s="117"/>
      <c r="BD3899" s="117"/>
    </row>
    <row r="3900" spans="1:56" ht="18">
      <c r="A3900" s="114"/>
      <c r="B3900" s="388" t="s">
        <v>1112</v>
      </c>
      <c r="C3900" s="389">
        <v>0.4</v>
      </c>
      <c r="D3900" s="390" t="s">
        <v>10</v>
      </c>
      <c r="E3900" s="196"/>
      <c r="F3900" s="405"/>
      <c r="G3900" s="406" t="s">
        <v>1147</v>
      </c>
      <c r="H3900" s="409">
        <f>(C3898+2*C3906)*(C3899+2*C3906)</f>
        <v>3.375</v>
      </c>
      <c r="I3900" s="405" t="s">
        <v>1143</v>
      </c>
      <c r="J3900" s="405"/>
      <c r="AX3900" s="117"/>
      <c r="AY3900" s="117"/>
      <c r="AZ3900" s="117"/>
      <c r="BA3900" s="117"/>
      <c r="BB3900" s="117"/>
      <c r="BC3900" s="117"/>
      <c r="BD3900" s="117"/>
    </row>
    <row r="3901" spans="1:56" ht="15">
      <c r="A3901" s="114"/>
      <c r="B3901" s="388" t="s">
        <v>1113</v>
      </c>
      <c r="C3901" s="389">
        <v>0.8</v>
      </c>
      <c r="D3901" s="390" t="s">
        <v>10</v>
      </c>
      <c r="E3901" s="196"/>
      <c r="F3901" s="405"/>
      <c r="G3901" s="406"/>
      <c r="H3901" s="407"/>
      <c r="I3901" s="405"/>
      <c r="J3901" s="405"/>
      <c r="AX3901" s="117"/>
      <c r="AY3901" s="117"/>
      <c r="AZ3901" s="117"/>
      <c r="BA3901" s="117"/>
      <c r="BB3901" s="117"/>
      <c r="BC3901" s="117"/>
      <c r="BD3901" s="117"/>
    </row>
    <row r="3902" spans="1:56" ht="15">
      <c r="A3902" s="114"/>
      <c r="B3902" s="388" t="s">
        <v>1117</v>
      </c>
      <c r="C3902" s="391">
        <v>1</v>
      </c>
      <c r="D3902" s="390" t="s">
        <v>1118</v>
      </c>
      <c r="E3902" s="196"/>
      <c r="F3902" s="405"/>
      <c r="G3902" s="406"/>
      <c r="H3902" s="407"/>
      <c r="I3902" s="405"/>
      <c r="J3902" s="405"/>
      <c r="AX3902" s="117"/>
      <c r="AY3902" s="117"/>
      <c r="AZ3902" s="117"/>
      <c r="BA3902" s="117"/>
      <c r="BB3902" s="117"/>
      <c r="BC3902" s="117"/>
      <c r="BD3902" s="117"/>
    </row>
    <row r="3903" spans="1:56" ht="15">
      <c r="A3903" s="114"/>
      <c r="B3903" s="196" t="s">
        <v>1148</v>
      </c>
      <c r="C3903" s="393"/>
      <c r="D3903" s="196"/>
      <c r="E3903" s="196"/>
      <c r="F3903" s="405"/>
      <c r="G3903" s="406"/>
      <c r="H3903" s="407"/>
      <c r="I3903" s="405"/>
      <c r="J3903" s="405"/>
      <c r="AX3903" s="117"/>
      <c r="AY3903" s="117"/>
      <c r="AZ3903" s="117"/>
      <c r="BA3903" s="117"/>
      <c r="BB3903" s="117"/>
      <c r="BC3903" s="117"/>
      <c r="BD3903" s="117"/>
    </row>
    <row r="3904" spans="1:56" ht="15">
      <c r="A3904" s="114"/>
      <c r="B3904" s="388" t="s">
        <v>1149</v>
      </c>
      <c r="C3904" s="389">
        <v>60</v>
      </c>
      <c r="D3904" s="390" t="s">
        <v>1150</v>
      </c>
      <c r="E3904" s="196"/>
      <c r="F3904" s="196"/>
      <c r="G3904" s="392"/>
      <c r="H3904" s="393"/>
      <c r="I3904" s="196"/>
      <c r="J3904" s="196"/>
      <c r="AX3904" s="117"/>
      <c r="AY3904" s="117"/>
      <c r="AZ3904" s="117"/>
      <c r="BA3904" s="117"/>
      <c r="BB3904" s="117"/>
      <c r="BC3904" s="117"/>
      <c r="BD3904" s="117"/>
    </row>
    <row r="3905" spans="1:56" ht="15">
      <c r="A3905" s="114"/>
      <c r="B3905" s="362"/>
      <c r="C3905" s="196"/>
      <c r="D3905" s="196"/>
      <c r="E3905" s="196"/>
      <c r="F3905" s="196"/>
      <c r="G3905" s="362"/>
      <c r="H3905" s="362"/>
      <c r="I3905" s="362"/>
      <c r="J3905" s="196"/>
      <c r="AX3905" s="117"/>
      <c r="AY3905" s="117"/>
      <c r="AZ3905" s="117"/>
      <c r="BA3905" s="117"/>
      <c r="BB3905" s="117"/>
      <c r="BC3905" s="117"/>
      <c r="BD3905" s="117"/>
    </row>
    <row r="3906" spans="1:56" ht="15">
      <c r="A3906" s="114"/>
      <c r="B3906" s="388" t="s">
        <v>1114</v>
      </c>
      <c r="C3906" s="389">
        <v>0.5</v>
      </c>
      <c r="D3906" s="390" t="s">
        <v>10</v>
      </c>
      <c r="E3906" s="288" t="s">
        <v>1120</v>
      </c>
      <c r="F3906" s="196"/>
      <c r="G3906" s="196" t="s">
        <v>1131</v>
      </c>
      <c r="H3906" s="114"/>
      <c r="I3906" s="114"/>
      <c r="J3906" s="196"/>
      <c r="AX3906" s="117"/>
      <c r="AY3906" s="117"/>
      <c r="AZ3906" s="117"/>
      <c r="BA3906" s="117"/>
      <c r="BB3906" s="117"/>
      <c r="BC3906" s="117"/>
      <c r="BD3906" s="117"/>
    </row>
    <row r="3907" spans="1:56" ht="15">
      <c r="A3907" s="114"/>
      <c r="B3907" s="388" t="s">
        <v>1114</v>
      </c>
      <c r="C3907" s="389">
        <v>0.1</v>
      </c>
      <c r="D3907" s="390" t="s">
        <v>10</v>
      </c>
      <c r="E3907" s="288" t="s">
        <v>1121</v>
      </c>
      <c r="F3907" s="196"/>
      <c r="G3907" s="196"/>
      <c r="H3907" s="196"/>
      <c r="I3907" s="196"/>
      <c r="J3907" s="196"/>
      <c r="AX3907" s="117"/>
      <c r="AY3907" s="117"/>
      <c r="AZ3907" s="117"/>
      <c r="BA3907" s="117"/>
      <c r="BB3907" s="117"/>
      <c r="BC3907" s="117"/>
      <c r="BD3907" s="117"/>
    </row>
    <row r="3908" spans="1:56" ht="15">
      <c r="A3908" s="114"/>
      <c r="B3908" s="362"/>
      <c r="C3908" s="362"/>
      <c r="D3908" s="362"/>
      <c r="E3908" s="362"/>
      <c r="F3908" s="362"/>
      <c r="G3908" s="114"/>
      <c r="H3908" s="362"/>
      <c r="I3908" s="196"/>
      <c r="J3908" s="196"/>
      <c r="AX3908" s="117"/>
      <c r="AY3908" s="117"/>
      <c r="AZ3908" s="117"/>
      <c r="BA3908" s="117"/>
      <c r="BB3908" s="117"/>
      <c r="BC3908" s="117"/>
      <c r="BD3908" s="117"/>
    </row>
    <row r="3909" spans="1:56" ht="15">
      <c r="A3909" s="114"/>
      <c r="B3909" s="303" t="s">
        <v>1122</v>
      </c>
      <c r="C3909" s="362"/>
      <c r="D3909" s="362"/>
      <c r="E3909" s="362"/>
      <c r="F3909" s="362"/>
      <c r="G3909" s="196"/>
      <c r="H3909" s="196"/>
      <c r="I3909" s="196"/>
      <c r="J3909" s="196"/>
      <c r="AX3909" s="117"/>
      <c r="AY3909" s="117"/>
      <c r="AZ3909" s="117"/>
      <c r="BA3909" s="117"/>
      <c r="BB3909" s="117"/>
      <c r="BC3909" s="117"/>
      <c r="BD3909" s="117"/>
    </row>
    <row r="3910" spans="1:56" ht="18">
      <c r="A3910" s="114"/>
      <c r="B3910" s="398" t="s">
        <v>1123</v>
      </c>
      <c r="C3910" s="172"/>
      <c r="D3910" s="173"/>
      <c r="E3910" s="397">
        <f>C3902*((H3900+H3899)/2)*(C3900+C3901+0.05)</f>
        <v>8.9037450668653459</v>
      </c>
      <c r="F3910" s="390" t="s">
        <v>1124</v>
      </c>
      <c r="G3910" s="196"/>
      <c r="H3910" s="362"/>
      <c r="I3910" s="362"/>
      <c r="J3910" s="362"/>
      <c r="AX3910" s="117"/>
      <c r="AY3910" s="117"/>
      <c r="AZ3910" s="117"/>
      <c r="BA3910" s="117"/>
      <c r="BB3910" s="117"/>
      <c r="BC3910" s="117"/>
      <c r="BD3910" s="117"/>
    </row>
    <row r="3911" spans="1:56" ht="18">
      <c r="A3911" s="114"/>
      <c r="B3911" s="398" t="s">
        <v>1125</v>
      </c>
      <c r="C3911" s="172"/>
      <c r="D3911" s="173"/>
      <c r="E3911" s="400">
        <f>E3910-(E3922+E3924)</f>
        <v>8.3529950668653452</v>
      </c>
      <c r="F3911" s="390" t="s">
        <v>1124</v>
      </c>
      <c r="G3911" s="196"/>
      <c r="H3911" s="196"/>
      <c r="I3911" s="196"/>
      <c r="J3911" s="196"/>
      <c r="AX3911" s="117"/>
      <c r="AY3911" s="117"/>
      <c r="AZ3911" s="117"/>
      <c r="BA3911" s="117"/>
      <c r="BB3911" s="117"/>
      <c r="BC3911" s="117"/>
      <c r="BD3911" s="117"/>
    </row>
    <row r="3912" spans="1:56" ht="15">
      <c r="A3912" s="114"/>
      <c r="B3912" s="398" t="s">
        <v>1126</v>
      </c>
      <c r="C3912" s="172"/>
      <c r="D3912" s="173"/>
      <c r="E3912" s="400">
        <f>((C3898+2*C3907)*(C3899+2*C3907))*C3902</f>
        <v>1.0149999999999999</v>
      </c>
      <c r="F3912" s="390" t="s">
        <v>13</v>
      </c>
      <c r="G3912" s="362"/>
      <c r="H3912" s="362"/>
      <c r="I3912" s="362"/>
      <c r="J3912" s="362"/>
      <c r="AX3912" s="117"/>
      <c r="AY3912" s="117"/>
      <c r="AZ3912" s="117"/>
      <c r="BA3912" s="117"/>
      <c r="BB3912" s="117"/>
      <c r="BC3912" s="117"/>
      <c r="BD3912" s="117"/>
    </row>
    <row r="3913" spans="1:56" ht="15">
      <c r="A3913" s="114"/>
      <c r="B3913" s="362"/>
      <c r="C3913" s="362"/>
      <c r="D3913" s="362"/>
      <c r="E3913" s="401"/>
      <c r="F3913" s="196"/>
      <c r="G3913" s="362"/>
      <c r="H3913" s="362"/>
      <c r="I3913" s="362"/>
      <c r="J3913" s="362"/>
      <c r="AX3913" s="117"/>
      <c r="AY3913" s="117"/>
      <c r="AZ3913" s="117"/>
      <c r="BA3913" s="117"/>
      <c r="BB3913" s="117"/>
      <c r="BC3913" s="117"/>
      <c r="BD3913" s="117"/>
    </row>
    <row r="3914" spans="1:56" ht="15">
      <c r="A3914" s="114"/>
      <c r="B3914" s="303" t="s">
        <v>1162</v>
      </c>
      <c r="C3914" s="362"/>
      <c r="D3914" s="362"/>
      <c r="E3914" s="410"/>
      <c r="F3914" s="362"/>
      <c r="G3914" s="362"/>
      <c r="H3914" s="362"/>
      <c r="I3914" s="362"/>
      <c r="J3914" s="362"/>
      <c r="AX3914" s="117"/>
      <c r="AY3914" s="117"/>
      <c r="AZ3914" s="117"/>
      <c r="BA3914" s="117"/>
      <c r="BB3914" s="117"/>
      <c r="BC3914" s="117"/>
      <c r="BD3914" s="117"/>
    </row>
    <row r="3915" spans="1:56" ht="15">
      <c r="A3915" s="114"/>
      <c r="B3915" s="398" t="s">
        <v>1152</v>
      </c>
      <c r="C3915" s="398"/>
      <c r="D3915" s="366"/>
      <c r="E3915" s="411">
        <v>2</v>
      </c>
      <c r="F3915" s="390" t="s">
        <v>1153</v>
      </c>
      <c r="G3915" s="362"/>
      <c r="H3915" s="362"/>
      <c r="I3915" s="362"/>
      <c r="J3915" s="362"/>
      <c r="AX3915" s="117"/>
      <c r="AY3915" s="117"/>
      <c r="AZ3915" s="117"/>
      <c r="BA3915" s="117"/>
      <c r="BB3915" s="117"/>
      <c r="BC3915" s="117"/>
      <c r="BD3915" s="117"/>
    </row>
    <row r="3916" spans="1:56" ht="15">
      <c r="A3916" s="114"/>
      <c r="B3916" s="399" t="s">
        <v>1154</v>
      </c>
      <c r="C3916" s="31"/>
      <c r="D3916" s="32"/>
      <c r="E3916" s="412">
        <f>C3902*E3915</f>
        <v>2</v>
      </c>
      <c r="F3916" s="390" t="s">
        <v>1153</v>
      </c>
      <c r="G3916" s="362"/>
      <c r="H3916" s="362"/>
      <c r="I3916" s="362"/>
      <c r="J3916" s="362"/>
      <c r="AX3916" s="117"/>
      <c r="AY3916" s="117"/>
      <c r="AZ3916" s="117"/>
      <c r="BA3916" s="117"/>
      <c r="BB3916" s="117"/>
      <c r="BC3916" s="117"/>
      <c r="BD3916" s="117"/>
    </row>
    <row r="3917" spans="1:56" ht="15">
      <c r="A3917" s="114"/>
      <c r="B3917" s="398" t="s">
        <v>1155</v>
      </c>
      <c r="C3917" s="21"/>
      <c r="D3917" s="413"/>
      <c r="E3917" s="411">
        <v>250</v>
      </c>
      <c r="F3917" s="390" t="s">
        <v>1156</v>
      </c>
      <c r="G3917" s="362"/>
      <c r="H3917" s="414"/>
      <c r="I3917" s="362"/>
      <c r="J3917" s="415"/>
      <c r="AX3917" s="117"/>
      <c r="AY3917" s="117"/>
      <c r="AZ3917" s="117"/>
      <c r="BA3917" s="117"/>
      <c r="BB3917" s="117"/>
      <c r="BC3917" s="117"/>
      <c r="BD3917" s="117"/>
    </row>
    <row r="3918" spans="1:56" ht="15">
      <c r="A3918" s="114"/>
      <c r="B3918" s="398" t="s">
        <v>1157</v>
      </c>
      <c r="C3918" s="21"/>
      <c r="D3918" s="413"/>
      <c r="E3918" s="411">
        <v>14</v>
      </c>
      <c r="F3918" s="390" t="s">
        <v>10</v>
      </c>
      <c r="G3918" s="362"/>
      <c r="H3918" s="6"/>
      <c r="I3918" s="362"/>
      <c r="J3918" s="362"/>
      <c r="AX3918" s="117"/>
      <c r="AY3918" s="117"/>
      <c r="AZ3918" s="117"/>
      <c r="BA3918" s="117"/>
      <c r="BB3918" s="117"/>
      <c r="BC3918" s="117"/>
      <c r="BD3918" s="117"/>
    </row>
    <row r="3919" spans="1:56" ht="15">
      <c r="A3919" s="114"/>
      <c r="B3919" s="398" t="s">
        <v>1158</v>
      </c>
      <c r="C3919" s="21"/>
      <c r="D3919" s="413"/>
      <c r="E3919" s="412">
        <f>E3916*E3918</f>
        <v>28</v>
      </c>
      <c r="F3919" s="390" t="s">
        <v>10</v>
      </c>
      <c r="G3919" s="362"/>
      <c r="H3919" s="362"/>
      <c r="I3919" s="362"/>
      <c r="J3919" s="362"/>
      <c r="AX3919" s="117"/>
      <c r="AY3919" s="117"/>
      <c r="AZ3919" s="117"/>
      <c r="BA3919" s="117"/>
      <c r="BB3919" s="117"/>
      <c r="BC3919" s="117"/>
      <c r="BD3919" s="117"/>
    </row>
    <row r="3920" spans="1:56" ht="15">
      <c r="A3920" s="114"/>
      <c r="B3920" s="362"/>
      <c r="C3920" s="362"/>
      <c r="D3920" s="362"/>
      <c r="E3920" s="410"/>
      <c r="F3920" s="362"/>
      <c r="G3920" s="362"/>
      <c r="H3920" s="362"/>
      <c r="I3920" s="362"/>
      <c r="J3920" s="362"/>
      <c r="AX3920" s="117"/>
      <c r="AY3920" s="117"/>
      <c r="AZ3920" s="117"/>
      <c r="BA3920" s="117"/>
      <c r="BB3920" s="117"/>
      <c r="BC3920" s="117"/>
      <c r="BD3920" s="117"/>
    </row>
    <row r="3921" spans="1:56" ht="15">
      <c r="A3921" s="114"/>
      <c r="B3921" s="303" t="s">
        <v>1160</v>
      </c>
      <c r="C3921" s="362"/>
      <c r="D3921" s="362"/>
      <c r="E3921" s="410"/>
      <c r="F3921" s="362"/>
      <c r="G3921" s="362"/>
      <c r="H3921" s="362"/>
      <c r="I3921" s="362"/>
      <c r="J3921" s="362"/>
      <c r="AX3921" s="117"/>
      <c r="AY3921" s="117"/>
      <c r="AZ3921" s="117"/>
      <c r="BA3921" s="117"/>
      <c r="BB3921" s="117"/>
      <c r="BC3921" s="117"/>
      <c r="BD3921" s="117"/>
    </row>
    <row r="3922" spans="1:56" ht="18">
      <c r="A3922" s="114"/>
      <c r="B3922" s="398" t="s">
        <v>1128</v>
      </c>
      <c r="C3922" s="172"/>
      <c r="D3922" s="173"/>
      <c r="E3922" s="402">
        <f>E3912*0.05</f>
        <v>5.0749999999999997E-2</v>
      </c>
      <c r="F3922" s="390" t="s">
        <v>1124</v>
      </c>
      <c r="G3922" s="362"/>
      <c r="H3922" s="362"/>
      <c r="I3922" s="362"/>
      <c r="J3922" s="362"/>
      <c r="AX3922" s="117"/>
      <c r="AY3922" s="117"/>
      <c r="AZ3922" s="117"/>
      <c r="BA3922" s="117"/>
      <c r="BB3922" s="117"/>
      <c r="BC3922" s="117"/>
      <c r="BD3922" s="117"/>
    </row>
    <row r="3923" spans="1:56" ht="15">
      <c r="A3923" s="114"/>
      <c r="B3923" s="398" t="s">
        <v>1129</v>
      </c>
      <c r="C3923" s="172"/>
      <c r="D3923" s="173"/>
      <c r="E3923" s="397">
        <f>(2*(C3898+C3899)*C3901)*C3902</f>
        <v>2.8000000000000003</v>
      </c>
      <c r="F3923" s="390" t="s">
        <v>13</v>
      </c>
      <c r="G3923" s="362"/>
      <c r="H3923" s="362"/>
      <c r="I3923" s="362"/>
      <c r="J3923" s="362"/>
      <c r="AX3923" s="117"/>
      <c r="AY3923" s="117"/>
      <c r="AZ3923" s="117"/>
      <c r="BA3923" s="117"/>
      <c r="BB3923" s="117"/>
      <c r="BC3923" s="117"/>
      <c r="BD3923" s="117"/>
    </row>
    <row r="3924" spans="1:56" ht="18">
      <c r="A3924" s="114"/>
      <c r="B3924" s="398" t="s">
        <v>1130</v>
      </c>
      <c r="C3924" s="172"/>
      <c r="D3924" s="173"/>
      <c r="E3924" s="402">
        <f>(C3898*C3899*C3901)*C3902</f>
        <v>0.5</v>
      </c>
      <c r="F3924" s="390" t="s">
        <v>1124</v>
      </c>
      <c r="G3924" s="362"/>
      <c r="H3924" s="362"/>
      <c r="I3924" s="362"/>
      <c r="J3924" s="362"/>
      <c r="AX3924" s="117"/>
      <c r="AY3924" s="117"/>
      <c r="AZ3924" s="117"/>
      <c r="BA3924" s="117"/>
      <c r="BB3924" s="117"/>
      <c r="BC3924" s="117"/>
      <c r="BD3924" s="117"/>
    </row>
    <row r="3925" spans="1:56" ht="15">
      <c r="A3925" s="114"/>
      <c r="B3925" s="288"/>
      <c r="C3925" s="230"/>
      <c r="D3925" s="230"/>
      <c r="E3925" s="384"/>
      <c r="F3925" s="196"/>
      <c r="G3925" s="196"/>
      <c r="H3925" s="196"/>
      <c r="I3925" s="196"/>
      <c r="J3925" s="114"/>
      <c r="AW3925" s="117"/>
      <c r="AX3925" s="117"/>
      <c r="AY3925" s="117"/>
      <c r="AZ3925" s="117"/>
      <c r="BA3925" s="117"/>
      <c r="BB3925" s="117"/>
      <c r="BC3925" s="117"/>
      <c r="BD3925" s="117"/>
    </row>
    <row r="3926" spans="1:56" ht="15">
      <c r="A3926" s="114"/>
      <c r="B3926" s="288"/>
      <c r="C3926" s="230"/>
      <c r="D3926" s="230"/>
      <c r="E3926" s="384"/>
      <c r="F3926" s="196"/>
      <c r="G3926" s="196"/>
      <c r="H3926" s="196"/>
      <c r="I3926" s="196"/>
      <c r="J3926" s="114"/>
      <c r="AW3926" s="117"/>
      <c r="AX3926" s="117"/>
      <c r="AY3926" s="117"/>
      <c r="AZ3926" s="117"/>
      <c r="BA3926" s="117"/>
      <c r="BB3926" s="117"/>
      <c r="BC3926" s="117"/>
      <c r="BD3926" s="117"/>
    </row>
    <row r="3927" spans="1:56" customFormat="1" ht="12.75">
      <c r="B3927" s="362"/>
      <c r="C3927" s="362"/>
      <c r="D3927" s="362"/>
      <c r="E3927" s="362"/>
      <c r="F3927" s="362"/>
      <c r="G3927" s="362"/>
      <c r="H3927" s="362"/>
      <c r="I3927" s="362"/>
      <c r="J3927" s="362"/>
    </row>
    <row r="3928" spans="1:56">
      <c r="A3928" s="114"/>
      <c r="B3928" s="385" t="s">
        <v>1230</v>
      </c>
      <c r="C3928" s="196"/>
      <c r="D3928" s="196"/>
      <c r="E3928" s="196"/>
      <c r="F3928" s="196"/>
      <c r="G3928" s="196"/>
      <c r="H3928" s="196"/>
      <c r="I3928" s="196"/>
      <c r="J3928" s="196"/>
      <c r="AX3928" s="117"/>
      <c r="AY3928" s="117"/>
      <c r="AZ3928" s="117"/>
      <c r="BA3928" s="117"/>
      <c r="BB3928" s="117"/>
      <c r="BC3928" s="117"/>
      <c r="BD3928" s="117"/>
    </row>
    <row r="3929" spans="1:56" ht="15">
      <c r="A3929" s="114"/>
      <c r="B3929" s="362"/>
      <c r="C3929" s="362"/>
      <c r="D3929" s="362"/>
      <c r="E3929" s="362"/>
      <c r="F3929" s="404"/>
      <c r="G3929" s="404"/>
      <c r="H3929" s="404"/>
      <c r="I3929" s="404"/>
      <c r="J3929" s="404"/>
      <c r="AX3929" s="117"/>
      <c r="AY3929" s="117"/>
      <c r="AZ3929" s="117"/>
      <c r="BA3929" s="117"/>
      <c r="BB3929" s="117"/>
      <c r="BC3929" s="117"/>
      <c r="BD3929" s="117"/>
    </row>
    <row r="3930" spans="1:56" ht="18">
      <c r="A3930" s="114"/>
      <c r="B3930" s="388" t="s">
        <v>1141</v>
      </c>
      <c r="C3930" s="389">
        <v>0</v>
      </c>
      <c r="D3930" s="390" t="s">
        <v>10</v>
      </c>
      <c r="E3930" s="196"/>
      <c r="F3930" s="405"/>
      <c r="G3930" s="406" t="s">
        <v>1142</v>
      </c>
      <c r="H3930" s="407">
        <f>C3930*C3931</f>
        <v>0</v>
      </c>
      <c r="I3930" s="405" t="s">
        <v>1143</v>
      </c>
      <c r="J3930" s="405"/>
      <c r="AX3930" s="117"/>
      <c r="AY3930" s="117"/>
      <c r="AZ3930" s="117"/>
      <c r="BA3930" s="117"/>
      <c r="BB3930" s="117"/>
      <c r="BC3930" s="117"/>
      <c r="BD3930" s="117"/>
    </row>
    <row r="3931" spans="1:56" ht="15">
      <c r="A3931" s="114"/>
      <c r="B3931" s="388" t="s">
        <v>1144</v>
      </c>
      <c r="C3931" s="389">
        <v>0</v>
      </c>
      <c r="D3931" s="390" t="s">
        <v>10</v>
      </c>
      <c r="E3931" s="196"/>
      <c r="F3931" s="405"/>
      <c r="G3931" s="406" t="e">
        <f>TEXT(C3938,"tg 0°=")</f>
        <v>#VALUE!</v>
      </c>
      <c r="H3931" s="408">
        <f>TAN(3.14159265359*C3938/180)</f>
        <v>1.732050807569153</v>
      </c>
      <c r="I3931" s="405"/>
      <c r="J3931" s="405"/>
      <c r="AX3931" s="117"/>
      <c r="AY3931" s="117"/>
      <c r="AZ3931" s="117"/>
      <c r="BA3931" s="117"/>
      <c r="BB3931" s="117"/>
      <c r="BC3931" s="117"/>
      <c r="BD3931" s="117"/>
    </row>
    <row r="3932" spans="1:56" ht="15">
      <c r="A3932" s="114"/>
      <c r="B3932" s="388" t="s">
        <v>1145</v>
      </c>
      <c r="C3932" s="389">
        <v>0.6</v>
      </c>
      <c r="D3932" s="390" t="s">
        <v>10</v>
      </c>
      <c r="E3932" s="196"/>
      <c r="F3932" s="405"/>
      <c r="G3932" s="406"/>
      <c r="H3932" s="407"/>
      <c r="I3932" s="405"/>
      <c r="J3932" s="405"/>
      <c r="AX3932" s="117"/>
      <c r="AY3932" s="117"/>
      <c r="AZ3932" s="117"/>
      <c r="BA3932" s="117"/>
      <c r="BB3932" s="117"/>
      <c r="BC3932" s="117"/>
      <c r="BD3932" s="117"/>
    </row>
    <row r="3933" spans="1:56" ht="18">
      <c r="A3933" s="114"/>
      <c r="B3933" s="388" t="s">
        <v>1146</v>
      </c>
      <c r="C3933" s="389">
        <v>0.6</v>
      </c>
      <c r="D3933" s="390" t="s">
        <v>10</v>
      </c>
      <c r="E3933" s="196"/>
      <c r="F3933" s="405"/>
      <c r="G3933" s="406" t="s">
        <v>1142</v>
      </c>
      <c r="H3933" s="409">
        <f>(C3932+2*C3940+((C3934+C3935+0.05)/H3931)*2)*(C3933+2*C3940+((C3934+C3935+0.05)/H3931)*2)</f>
        <v>9.2621354868489441</v>
      </c>
      <c r="I3933" s="405" t="s">
        <v>1143</v>
      </c>
      <c r="J3933" s="405"/>
      <c r="AX3933" s="117"/>
      <c r="AY3933" s="117"/>
      <c r="AZ3933" s="117"/>
      <c r="BA3933" s="117"/>
      <c r="BB3933" s="117"/>
      <c r="BC3933" s="117"/>
      <c r="BD3933" s="117"/>
    </row>
    <row r="3934" spans="1:56" ht="18">
      <c r="A3934" s="114"/>
      <c r="B3934" s="388" t="s">
        <v>1112</v>
      </c>
      <c r="C3934" s="389">
        <v>0.4</v>
      </c>
      <c r="D3934" s="390" t="s">
        <v>10</v>
      </c>
      <c r="E3934" s="196"/>
      <c r="F3934" s="405"/>
      <c r="G3934" s="406" t="s">
        <v>1147</v>
      </c>
      <c r="H3934" s="409">
        <f>(C3932+2*C3940)*(C3933+2*C3940)</f>
        <v>2.5600000000000005</v>
      </c>
      <c r="I3934" s="405" t="s">
        <v>1143</v>
      </c>
      <c r="J3934" s="405"/>
      <c r="AX3934" s="117"/>
      <c r="AY3934" s="117"/>
      <c r="AZ3934" s="117"/>
      <c r="BA3934" s="117"/>
      <c r="BB3934" s="117"/>
      <c r="BC3934" s="117"/>
      <c r="BD3934" s="117"/>
    </row>
    <row r="3935" spans="1:56" ht="15">
      <c r="A3935" s="114"/>
      <c r="B3935" s="388" t="s">
        <v>1113</v>
      </c>
      <c r="C3935" s="389">
        <v>0.8</v>
      </c>
      <c r="D3935" s="390" t="s">
        <v>10</v>
      </c>
      <c r="E3935" s="196"/>
      <c r="F3935" s="405"/>
      <c r="G3935" s="406"/>
      <c r="H3935" s="407"/>
      <c r="I3935" s="405"/>
      <c r="J3935" s="405"/>
      <c r="AX3935" s="117"/>
      <c r="AY3935" s="117"/>
      <c r="AZ3935" s="117"/>
      <c r="BA3935" s="117"/>
      <c r="BB3935" s="117"/>
      <c r="BC3935" s="117"/>
      <c r="BD3935" s="117"/>
    </row>
    <row r="3936" spans="1:56" ht="15">
      <c r="A3936" s="114"/>
      <c r="B3936" s="388" t="s">
        <v>1117</v>
      </c>
      <c r="C3936" s="391">
        <v>2</v>
      </c>
      <c r="D3936" s="390" t="s">
        <v>1118</v>
      </c>
      <c r="E3936" s="196"/>
      <c r="F3936" s="405"/>
      <c r="G3936" s="406"/>
      <c r="H3936" s="407"/>
      <c r="I3936" s="405"/>
      <c r="J3936" s="405"/>
      <c r="AX3936" s="117"/>
      <c r="AY3936" s="117"/>
      <c r="AZ3936" s="117"/>
      <c r="BA3936" s="117"/>
      <c r="BB3936" s="117"/>
      <c r="BC3936" s="117"/>
      <c r="BD3936" s="117"/>
    </row>
    <row r="3937" spans="1:56" ht="15">
      <c r="A3937" s="114"/>
      <c r="B3937" s="196" t="s">
        <v>1148</v>
      </c>
      <c r="C3937" s="393"/>
      <c r="D3937" s="196"/>
      <c r="E3937" s="196"/>
      <c r="F3937" s="405"/>
      <c r="G3937" s="406"/>
      <c r="H3937" s="407"/>
      <c r="I3937" s="405"/>
      <c r="J3937" s="405"/>
      <c r="AX3937" s="117"/>
      <c r="AY3937" s="117"/>
      <c r="AZ3937" s="117"/>
      <c r="BA3937" s="117"/>
      <c r="BB3937" s="117"/>
      <c r="BC3937" s="117"/>
      <c r="BD3937" s="117"/>
    </row>
    <row r="3938" spans="1:56" ht="15">
      <c r="A3938" s="114"/>
      <c r="B3938" s="388" t="s">
        <v>1149</v>
      </c>
      <c r="C3938" s="389">
        <v>60</v>
      </c>
      <c r="D3938" s="390" t="s">
        <v>1150</v>
      </c>
      <c r="E3938" s="196"/>
      <c r="F3938" s="196"/>
      <c r="G3938" s="392"/>
      <c r="H3938" s="393"/>
      <c r="I3938" s="196"/>
      <c r="J3938" s="196"/>
      <c r="AX3938" s="117"/>
      <c r="AY3938" s="117"/>
      <c r="AZ3938" s="117"/>
      <c r="BA3938" s="117"/>
      <c r="BB3938" s="117"/>
      <c r="BC3938" s="117"/>
      <c r="BD3938" s="117"/>
    </row>
    <row r="3939" spans="1:56" ht="15">
      <c r="A3939" s="114"/>
      <c r="B3939" s="362"/>
      <c r="C3939" s="196"/>
      <c r="D3939" s="196"/>
      <c r="E3939" s="196"/>
      <c r="F3939" s="196"/>
      <c r="G3939" s="362"/>
      <c r="H3939" s="362"/>
      <c r="I3939" s="362"/>
      <c r="J3939" s="196"/>
      <c r="AX3939" s="117"/>
      <c r="AY3939" s="117"/>
      <c r="AZ3939" s="117"/>
      <c r="BA3939" s="117"/>
      <c r="BB3939" s="117"/>
      <c r="BC3939" s="117"/>
      <c r="BD3939" s="117"/>
    </row>
    <row r="3940" spans="1:56" ht="15">
      <c r="A3940" s="114"/>
      <c r="B3940" s="388" t="s">
        <v>1114</v>
      </c>
      <c r="C3940" s="389">
        <v>0.5</v>
      </c>
      <c r="D3940" s="390" t="s">
        <v>10</v>
      </c>
      <c r="E3940" s="288" t="s">
        <v>1120</v>
      </c>
      <c r="F3940" s="196"/>
      <c r="G3940" s="196" t="s">
        <v>1131</v>
      </c>
      <c r="H3940" s="114"/>
      <c r="I3940" s="114"/>
      <c r="J3940" s="196"/>
      <c r="AX3940" s="117"/>
      <c r="AY3940" s="117"/>
      <c r="AZ3940" s="117"/>
      <c r="BA3940" s="117"/>
      <c r="BB3940" s="117"/>
      <c r="BC3940" s="117"/>
      <c r="BD3940" s="117"/>
    </row>
    <row r="3941" spans="1:56" ht="15">
      <c r="A3941" s="114"/>
      <c r="B3941" s="388" t="s">
        <v>1114</v>
      </c>
      <c r="C3941" s="389">
        <v>0.1</v>
      </c>
      <c r="D3941" s="390" t="s">
        <v>10</v>
      </c>
      <c r="E3941" s="288" t="s">
        <v>1121</v>
      </c>
      <c r="F3941" s="196"/>
      <c r="G3941" s="196"/>
      <c r="H3941" s="196"/>
      <c r="I3941" s="196"/>
      <c r="J3941" s="196"/>
      <c r="AX3941" s="117"/>
      <c r="AY3941" s="117"/>
      <c r="AZ3941" s="117"/>
      <c r="BA3941" s="117"/>
      <c r="BB3941" s="117"/>
      <c r="BC3941" s="117"/>
      <c r="BD3941" s="117"/>
    </row>
    <row r="3942" spans="1:56" ht="15">
      <c r="A3942" s="114"/>
      <c r="B3942" s="362"/>
      <c r="C3942" s="362"/>
      <c r="D3942" s="362"/>
      <c r="E3942" s="362"/>
      <c r="F3942" s="362"/>
      <c r="G3942" s="114"/>
      <c r="H3942" s="362"/>
      <c r="I3942" s="196"/>
      <c r="J3942" s="196"/>
      <c r="AX3942" s="117"/>
      <c r="AY3942" s="117"/>
      <c r="AZ3942" s="117"/>
      <c r="BA3942" s="117"/>
      <c r="BB3942" s="117"/>
      <c r="BC3942" s="117"/>
      <c r="BD3942" s="117"/>
    </row>
    <row r="3943" spans="1:56" ht="15">
      <c r="A3943" s="114"/>
      <c r="B3943" s="303" t="s">
        <v>1122</v>
      </c>
      <c r="C3943" s="362"/>
      <c r="D3943" s="362"/>
      <c r="E3943" s="362"/>
      <c r="F3943" s="362"/>
      <c r="G3943" s="196"/>
      <c r="H3943" s="196"/>
      <c r="I3943" s="196"/>
      <c r="J3943" s="196"/>
      <c r="AX3943" s="117"/>
      <c r="AY3943" s="117"/>
      <c r="AZ3943" s="117"/>
      <c r="BA3943" s="117"/>
      <c r="BB3943" s="117"/>
      <c r="BC3943" s="117"/>
      <c r="BD3943" s="117"/>
    </row>
    <row r="3944" spans="1:56" ht="18">
      <c r="A3944" s="114"/>
      <c r="B3944" s="398" t="s">
        <v>1123</v>
      </c>
      <c r="C3944" s="172"/>
      <c r="D3944" s="173"/>
      <c r="E3944" s="397">
        <f>C3936*((H3934+H3933)/2)*(C3934+C3935+0.05)</f>
        <v>14.777669358561184</v>
      </c>
      <c r="F3944" s="390" t="s">
        <v>1124</v>
      </c>
      <c r="G3944" s="196"/>
      <c r="H3944" s="362"/>
      <c r="I3944" s="362"/>
      <c r="J3944" s="362"/>
      <c r="AX3944" s="117"/>
      <c r="AY3944" s="117"/>
      <c r="AZ3944" s="117"/>
      <c r="BA3944" s="117"/>
      <c r="BB3944" s="117"/>
      <c r="BC3944" s="117"/>
      <c r="BD3944" s="117"/>
    </row>
    <row r="3945" spans="1:56" ht="18">
      <c r="A3945" s="114"/>
      <c r="B3945" s="398" t="s">
        <v>1125</v>
      </c>
      <c r="C3945" s="172"/>
      <c r="D3945" s="173"/>
      <c r="E3945" s="400">
        <f>E3944-(E3956+E3958)</f>
        <v>14.137669358561183</v>
      </c>
      <c r="F3945" s="390" t="s">
        <v>1124</v>
      </c>
      <c r="G3945" s="196"/>
      <c r="H3945" s="196"/>
      <c r="I3945" s="196"/>
      <c r="J3945" s="196"/>
      <c r="AX3945" s="117"/>
      <c r="AY3945" s="117"/>
      <c r="AZ3945" s="117"/>
      <c r="BA3945" s="117"/>
      <c r="BB3945" s="117"/>
      <c r="BC3945" s="117"/>
      <c r="BD3945" s="117"/>
    </row>
    <row r="3946" spans="1:56" ht="15">
      <c r="A3946" s="114"/>
      <c r="B3946" s="398" t="s">
        <v>1126</v>
      </c>
      <c r="C3946" s="172"/>
      <c r="D3946" s="173"/>
      <c r="E3946" s="400">
        <f>((C3932+2*C3941)*(C3933+2*C3941))*C3936</f>
        <v>1.2800000000000002</v>
      </c>
      <c r="F3946" s="390" t="s">
        <v>13</v>
      </c>
      <c r="G3946" s="362"/>
      <c r="H3946" s="362"/>
      <c r="I3946" s="362"/>
      <c r="J3946" s="362"/>
      <c r="AX3946" s="117"/>
      <c r="AY3946" s="117"/>
      <c r="AZ3946" s="117"/>
      <c r="BA3946" s="117"/>
      <c r="BB3946" s="117"/>
      <c r="BC3946" s="117"/>
      <c r="BD3946" s="117"/>
    </row>
    <row r="3947" spans="1:56" ht="15">
      <c r="A3947" s="114"/>
      <c r="B3947" s="362"/>
      <c r="C3947" s="362"/>
      <c r="D3947" s="362"/>
      <c r="E3947" s="401"/>
      <c r="F3947" s="196"/>
      <c r="G3947" s="362"/>
      <c r="H3947" s="362"/>
      <c r="I3947" s="362"/>
      <c r="J3947" s="362"/>
      <c r="AX3947" s="117"/>
      <c r="AY3947" s="117"/>
      <c r="AZ3947" s="117"/>
      <c r="BA3947" s="117"/>
      <c r="BB3947" s="117"/>
      <c r="BC3947" s="117"/>
      <c r="BD3947" s="117"/>
    </row>
    <row r="3948" spans="1:56" ht="15">
      <c r="A3948" s="114"/>
      <c r="B3948" s="303" t="s">
        <v>1162</v>
      </c>
      <c r="C3948" s="362"/>
      <c r="D3948" s="362"/>
      <c r="E3948" s="410"/>
      <c r="F3948" s="362"/>
      <c r="G3948" s="362"/>
      <c r="H3948" s="362"/>
      <c r="I3948" s="362"/>
      <c r="J3948" s="362"/>
      <c r="AX3948" s="117"/>
      <c r="AY3948" s="117"/>
      <c r="AZ3948" s="117"/>
      <c r="BA3948" s="117"/>
      <c r="BB3948" s="117"/>
      <c r="BC3948" s="117"/>
      <c r="BD3948" s="117"/>
    </row>
    <row r="3949" spans="1:56" ht="15">
      <c r="A3949" s="114"/>
      <c r="B3949" s="398" t="s">
        <v>1152</v>
      </c>
      <c r="C3949" s="398"/>
      <c r="D3949" s="366"/>
      <c r="E3949" s="411">
        <v>1</v>
      </c>
      <c r="F3949" s="390" t="s">
        <v>1153</v>
      </c>
      <c r="G3949" s="362"/>
      <c r="H3949" s="362"/>
      <c r="I3949" s="362"/>
      <c r="J3949" s="362"/>
      <c r="AX3949" s="117"/>
      <c r="AY3949" s="117"/>
      <c r="AZ3949" s="117"/>
      <c r="BA3949" s="117"/>
      <c r="BB3949" s="117"/>
      <c r="BC3949" s="117"/>
      <c r="BD3949" s="117"/>
    </row>
    <row r="3950" spans="1:56" ht="15">
      <c r="A3950" s="114"/>
      <c r="B3950" s="399" t="s">
        <v>1154</v>
      </c>
      <c r="C3950" s="31"/>
      <c r="D3950" s="32"/>
      <c r="E3950" s="412">
        <f>C3936*E3949</f>
        <v>2</v>
      </c>
      <c r="F3950" s="390" t="s">
        <v>1153</v>
      </c>
      <c r="G3950" s="362"/>
      <c r="H3950" s="362"/>
      <c r="I3950" s="362"/>
      <c r="J3950" s="362"/>
      <c r="AX3950" s="117"/>
      <c r="AY3950" s="117"/>
      <c r="AZ3950" s="117"/>
      <c r="BA3950" s="117"/>
      <c r="BB3950" s="117"/>
      <c r="BC3950" s="117"/>
      <c r="BD3950" s="117"/>
    </row>
    <row r="3951" spans="1:56" ht="15">
      <c r="A3951" s="114"/>
      <c r="B3951" s="398" t="s">
        <v>1155</v>
      </c>
      <c r="C3951" s="21"/>
      <c r="D3951" s="413"/>
      <c r="E3951" s="411">
        <v>300</v>
      </c>
      <c r="F3951" s="390" t="s">
        <v>1156</v>
      </c>
      <c r="G3951" s="362"/>
      <c r="H3951" s="414"/>
      <c r="I3951" s="362"/>
      <c r="J3951" s="415"/>
      <c r="AX3951" s="117"/>
      <c r="AY3951" s="117"/>
      <c r="AZ3951" s="117"/>
      <c r="BA3951" s="117"/>
      <c r="BB3951" s="117"/>
      <c r="BC3951" s="117"/>
      <c r="BD3951" s="117"/>
    </row>
    <row r="3952" spans="1:56" ht="15">
      <c r="A3952" s="114"/>
      <c r="B3952" s="398" t="s">
        <v>1157</v>
      </c>
      <c r="C3952" s="21"/>
      <c r="D3952" s="413"/>
      <c r="E3952" s="411">
        <v>17</v>
      </c>
      <c r="F3952" s="390" t="s">
        <v>10</v>
      </c>
      <c r="G3952" s="362"/>
      <c r="H3952" s="6"/>
      <c r="I3952" s="362"/>
      <c r="J3952" s="362"/>
      <c r="AX3952" s="117"/>
      <c r="AY3952" s="117"/>
      <c r="AZ3952" s="117"/>
      <c r="BA3952" s="117"/>
      <c r="BB3952" s="117"/>
      <c r="BC3952" s="117"/>
      <c r="BD3952" s="117"/>
    </row>
    <row r="3953" spans="1:56" ht="15">
      <c r="A3953" s="114"/>
      <c r="B3953" s="398" t="s">
        <v>1158</v>
      </c>
      <c r="C3953" s="21"/>
      <c r="D3953" s="413"/>
      <c r="E3953" s="412">
        <f>E3950*E3952</f>
        <v>34</v>
      </c>
      <c r="F3953" s="390" t="s">
        <v>10</v>
      </c>
      <c r="G3953" s="362"/>
      <c r="H3953" s="362"/>
      <c r="I3953" s="362"/>
      <c r="J3953" s="362"/>
      <c r="AX3953" s="117"/>
      <c r="AY3953" s="117"/>
      <c r="AZ3953" s="117"/>
      <c r="BA3953" s="117"/>
      <c r="BB3953" s="117"/>
      <c r="BC3953" s="117"/>
      <c r="BD3953" s="117"/>
    </row>
    <row r="3954" spans="1:56" ht="15">
      <c r="A3954" s="114"/>
      <c r="B3954" s="362"/>
      <c r="C3954" s="362"/>
      <c r="D3954" s="362"/>
      <c r="E3954" s="410"/>
      <c r="F3954" s="362"/>
      <c r="G3954" s="362"/>
      <c r="H3954" s="362"/>
      <c r="I3954" s="362"/>
      <c r="J3954" s="362"/>
      <c r="AX3954" s="117"/>
      <c r="AY3954" s="117"/>
      <c r="AZ3954" s="117"/>
      <c r="BA3954" s="117"/>
      <c r="BB3954" s="117"/>
      <c r="BC3954" s="117"/>
      <c r="BD3954" s="117"/>
    </row>
    <row r="3955" spans="1:56" ht="15">
      <c r="A3955" s="114"/>
      <c r="B3955" s="303" t="s">
        <v>1160</v>
      </c>
      <c r="C3955" s="362"/>
      <c r="D3955" s="362"/>
      <c r="E3955" s="410"/>
      <c r="F3955" s="362"/>
      <c r="G3955" s="362"/>
      <c r="H3955" s="362"/>
      <c r="I3955" s="362"/>
      <c r="J3955" s="362"/>
      <c r="AX3955" s="117"/>
      <c r="AY3955" s="117"/>
      <c r="AZ3955" s="117"/>
      <c r="BA3955" s="117"/>
      <c r="BB3955" s="117"/>
      <c r="BC3955" s="117"/>
      <c r="BD3955" s="117"/>
    </row>
    <row r="3956" spans="1:56" ht="18">
      <c r="A3956" s="114"/>
      <c r="B3956" s="398" t="s">
        <v>1128</v>
      </c>
      <c r="C3956" s="172"/>
      <c r="D3956" s="173"/>
      <c r="E3956" s="402">
        <f>E3946*0.05</f>
        <v>6.4000000000000015E-2</v>
      </c>
      <c r="F3956" s="390" t="s">
        <v>1124</v>
      </c>
      <c r="G3956" s="362"/>
      <c r="H3956" s="362"/>
      <c r="I3956" s="362"/>
      <c r="J3956" s="362"/>
      <c r="AX3956" s="117"/>
      <c r="AY3956" s="117"/>
      <c r="AZ3956" s="117"/>
      <c r="BA3956" s="117"/>
      <c r="BB3956" s="117"/>
      <c r="BC3956" s="117"/>
      <c r="BD3956" s="117"/>
    </row>
    <row r="3957" spans="1:56" ht="15">
      <c r="A3957" s="114"/>
      <c r="B3957" s="398" t="s">
        <v>1129</v>
      </c>
      <c r="C3957" s="172"/>
      <c r="D3957" s="173"/>
      <c r="E3957" s="397">
        <f>(2*(C3932+C3933)*C3935)*C3936</f>
        <v>3.84</v>
      </c>
      <c r="F3957" s="390" t="s">
        <v>13</v>
      </c>
      <c r="G3957" s="362"/>
      <c r="H3957" s="362"/>
      <c r="I3957" s="362"/>
      <c r="J3957" s="362"/>
      <c r="AX3957" s="117"/>
      <c r="AY3957" s="117"/>
      <c r="AZ3957" s="117"/>
      <c r="BA3957" s="117"/>
      <c r="BB3957" s="117"/>
      <c r="BC3957" s="117"/>
      <c r="BD3957" s="117"/>
    </row>
    <row r="3958" spans="1:56" ht="18">
      <c r="A3958" s="114"/>
      <c r="B3958" s="398" t="s">
        <v>1130</v>
      </c>
      <c r="C3958" s="172"/>
      <c r="D3958" s="173"/>
      <c r="E3958" s="402">
        <f>(C3932*C3933*C3935)*C3936</f>
        <v>0.57599999999999996</v>
      </c>
      <c r="F3958" s="390" t="s">
        <v>1124</v>
      </c>
      <c r="G3958" s="362"/>
      <c r="H3958" s="362"/>
      <c r="I3958" s="362"/>
      <c r="J3958" s="362"/>
      <c r="AX3958" s="117"/>
      <c r="AY3958" s="117"/>
      <c r="AZ3958" s="117"/>
      <c r="BA3958" s="117"/>
      <c r="BB3958" s="117"/>
      <c r="BC3958" s="117"/>
      <c r="BD3958" s="117"/>
    </row>
    <row r="3959" spans="1:56" ht="15">
      <c r="A3959" s="114"/>
      <c r="B3959" s="288"/>
      <c r="C3959" s="230"/>
      <c r="D3959" s="230"/>
      <c r="E3959" s="384"/>
      <c r="F3959" s="196"/>
      <c r="G3959" s="196"/>
      <c r="H3959" s="196"/>
      <c r="I3959" s="196"/>
      <c r="J3959" s="114"/>
      <c r="AW3959" s="117"/>
      <c r="AX3959" s="117"/>
      <c r="AY3959" s="117"/>
      <c r="AZ3959" s="117"/>
      <c r="BA3959" s="117"/>
      <c r="BB3959" s="117"/>
      <c r="BC3959" s="117"/>
      <c r="BD3959" s="117"/>
    </row>
    <row r="3960" spans="1:56" ht="15">
      <c r="A3960" s="114"/>
      <c r="B3960" s="288"/>
      <c r="C3960" s="230"/>
      <c r="D3960" s="230"/>
      <c r="E3960" s="384"/>
      <c r="F3960" s="196"/>
      <c r="G3960" s="196"/>
      <c r="H3960" s="196"/>
      <c r="I3960" s="196"/>
      <c r="J3960" s="114"/>
      <c r="AW3960" s="117"/>
      <c r="AX3960" s="117"/>
      <c r="AY3960" s="117"/>
      <c r="AZ3960" s="117"/>
      <c r="BA3960" s="117"/>
      <c r="BB3960" s="117"/>
      <c r="BC3960" s="117"/>
      <c r="BD3960" s="117"/>
    </row>
    <row r="3961" spans="1:56" customFormat="1" ht="12.75">
      <c r="B3961" s="362"/>
      <c r="C3961" s="362"/>
      <c r="D3961" s="362"/>
      <c r="E3961" s="362"/>
      <c r="F3961" s="362"/>
      <c r="G3961" s="362"/>
      <c r="H3961" s="362"/>
      <c r="I3961" s="362"/>
      <c r="J3961" s="362"/>
    </row>
    <row r="3962" spans="1:56">
      <c r="A3962" s="114"/>
      <c r="B3962" s="385" t="s">
        <v>1175</v>
      </c>
      <c r="C3962" s="196"/>
      <c r="D3962" s="196"/>
      <c r="E3962" s="196"/>
      <c r="F3962" s="196"/>
      <c r="G3962" s="196"/>
      <c r="H3962" s="196"/>
      <c r="I3962" s="196"/>
      <c r="J3962" s="196"/>
      <c r="AX3962" s="117"/>
      <c r="AY3962" s="117"/>
      <c r="AZ3962" s="117"/>
      <c r="BA3962" s="117"/>
      <c r="BB3962" s="117"/>
      <c r="BC3962" s="117"/>
      <c r="BD3962" s="117"/>
    </row>
    <row r="3963" spans="1:56" ht="15">
      <c r="A3963" s="114"/>
      <c r="B3963" s="362"/>
      <c r="C3963" s="362"/>
      <c r="D3963" s="362"/>
      <c r="E3963" s="362"/>
      <c r="F3963" s="404"/>
      <c r="G3963" s="404"/>
      <c r="H3963" s="404"/>
      <c r="I3963" s="404"/>
      <c r="J3963" s="404"/>
      <c r="AX3963" s="117"/>
      <c r="AY3963" s="117"/>
      <c r="AZ3963" s="117"/>
      <c r="BA3963" s="117"/>
      <c r="BB3963" s="117"/>
      <c r="BC3963" s="117"/>
      <c r="BD3963" s="117"/>
    </row>
    <row r="3964" spans="1:56" ht="18">
      <c r="A3964" s="114"/>
      <c r="B3964" s="388" t="s">
        <v>1141</v>
      </c>
      <c r="C3964" s="389">
        <v>0</v>
      </c>
      <c r="D3964" s="390" t="s">
        <v>10</v>
      </c>
      <c r="E3964" s="196"/>
      <c r="F3964" s="405"/>
      <c r="G3964" s="406" t="s">
        <v>1142</v>
      </c>
      <c r="H3964" s="407">
        <f>C3964*C3965</f>
        <v>0</v>
      </c>
      <c r="I3964" s="405" t="s">
        <v>1143</v>
      </c>
      <c r="J3964" s="405"/>
      <c r="AX3964" s="117"/>
      <c r="AY3964" s="117"/>
      <c r="AZ3964" s="117"/>
      <c r="BA3964" s="117"/>
      <c r="BB3964" s="117"/>
      <c r="BC3964" s="117"/>
      <c r="BD3964" s="117"/>
    </row>
    <row r="3965" spans="1:56" ht="15">
      <c r="A3965" s="114"/>
      <c r="B3965" s="388" t="s">
        <v>1144</v>
      </c>
      <c r="C3965" s="389">
        <v>0</v>
      </c>
      <c r="D3965" s="390" t="s">
        <v>10</v>
      </c>
      <c r="E3965" s="196"/>
      <c r="F3965" s="405"/>
      <c r="G3965" s="406" t="e">
        <f>TEXT(C3972,"tg 0°=")</f>
        <v>#VALUE!</v>
      </c>
      <c r="H3965" s="408">
        <f>TAN(3.14159265359*C3972/180)</f>
        <v>1.732050807569153</v>
      </c>
      <c r="I3965" s="405"/>
      <c r="J3965" s="405"/>
      <c r="AX3965" s="117"/>
      <c r="AY3965" s="117"/>
      <c r="AZ3965" s="117"/>
      <c r="BA3965" s="117"/>
      <c r="BB3965" s="117"/>
      <c r="BC3965" s="117"/>
      <c r="BD3965" s="117"/>
    </row>
    <row r="3966" spans="1:56" ht="15">
      <c r="A3966" s="114"/>
      <c r="B3966" s="388" t="s">
        <v>1145</v>
      </c>
      <c r="C3966" s="389">
        <v>1.5</v>
      </c>
      <c r="D3966" s="390" t="s">
        <v>10</v>
      </c>
      <c r="E3966" s="196"/>
      <c r="F3966" s="405"/>
      <c r="G3966" s="406"/>
      <c r="H3966" s="407"/>
      <c r="I3966" s="405"/>
      <c r="J3966" s="405"/>
      <c r="AX3966" s="117"/>
      <c r="AY3966" s="117"/>
      <c r="AZ3966" s="117"/>
      <c r="BA3966" s="117"/>
      <c r="BB3966" s="117"/>
      <c r="BC3966" s="117"/>
      <c r="BD3966" s="117"/>
    </row>
    <row r="3967" spans="1:56" ht="18">
      <c r="A3967" s="114"/>
      <c r="B3967" s="388" t="s">
        <v>1146</v>
      </c>
      <c r="C3967" s="389">
        <v>0.6</v>
      </c>
      <c r="D3967" s="390" t="s">
        <v>10</v>
      </c>
      <c r="E3967" s="196"/>
      <c r="F3967" s="405"/>
      <c r="G3967" s="406" t="s">
        <v>1142</v>
      </c>
      <c r="H3967" s="409">
        <f>(C3966+2*C3974+((C3968+C3969+0.05)/H3965)*2)*(C3967+2*C3974+((C3968+C3969+0.05)/H3965)*2)</f>
        <v>12.001173592525396</v>
      </c>
      <c r="I3967" s="405" t="s">
        <v>1143</v>
      </c>
      <c r="J3967" s="405"/>
      <c r="AX3967" s="117"/>
      <c r="AY3967" s="117"/>
      <c r="AZ3967" s="117"/>
      <c r="BA3967" s="117"/>
      <c r="BB3967" s="117"/>
      <c r="BC3967" s="117"/>
      <c r="BD3967" s="117"/>
    </row>
    <row r="3968" spans="1:56" ht="18">
      <c r="A3968" s="114"/>
      <c r="B3968" s="388" t="s">
        <v>1112</v>
      </c>
      <c r="C3968" s="389">
        <v>0.4</v>
      </c>
      <c r="D3968" s="390" t="s">
        <v>10</v>
      </c>
      <c r="E3968" s="196"/>
      <c r="F3968" s="405"/>
      <c r="G3968" s="406" t="s">
        <v>1147</v>
      </c>
      <c r="H3968" s="409">
        <f>(C3966+2*C3974)*(C3967+2*C3974)</f>
        <v>4</v>
      </c>
      <c r="I3968" s="405" t="s">
        <v>1143</v>
      </c>
      <c r="J3968" s="405"/>
      <c r="AX3968" s="117"/>
      <c r="AY3968" s="117"/>
      <c r="AZ3968" s="117"/>
      <c r="BA3968" s="117"/>
      <c r="BB3968" s="117"/>
      <c r="BC3968" s="117"/>
      <c r="BD3968" s="117"/>
    </row>
    <row r="3969" spans="1:56" ht="15">
      <c r="A3969" s="114"/>
      <c r="B3969" s="388" t="s">
        <v>1113</v>
      </c>
      <c r="C3969" s="389">
        <v>0.8</v>
      </c>
      <c r="D3969" s="390" t="s">
        <v>10</v>
      </c>
      <c r="E3969" s="196"/>
      <c r="F3969" s="405"/>
      <c r="G3969" s="406"/>
      <c r="H3969" s="407"/>
      <c r="I3969" s="405"/>
      <c r="J3969" s="405"/>
      <c r="AX3969" s="117"/>
      <c r="AY3969" s="117"/>
      <c r="AZ3969" s="117"/>
      <c r="BA3969" s="117"/>
      <c r="BB3969" s="117"/>
      <c r="BC3969" s="117"/>
      <c r="BD3969" s="117"/>
    </row>
    <row r="3970" spans="1:56" ht="15">
      <c r="A3970" s="114"/>
      <c r="B3970" s="388" t="s">
        <v>1117</v>
      </c>
      <c r="C3970" s="391">
        <v>2</v>
      </c>
      <c r="D3970" s="390" t="s">
        <v>1118</v>
      </c>
      <c r="E3970" s="196"/>
      <c r="F3970" s="405"/>
      <c r="G3970" s="406"/>
      <c r="H3970" s="407"/>
      <c r="I3970" s="405"/>
      <c r="J3970" s="405"/>
      <c r="AX3970" s="117"/>
      <c r="AY3970" s="117"/>
      <c r="AZ3970" s="117"/>
      <c r="BA3970" s="117"/>
      <c r="BB3970" s="117"/>
      <c r="BC3970" s="117"/>
      <c r="BD3970" s="117"/>
    </row>
    <row r="3971" spans="1:56" ht="15">
      <c r="A3971" s="114"/>
      <c r="B3971" s="196" t="s">
        <v>1148</v>
      </c>
      <c r="C3971" s="393"/>
      <c r="D3971" s="196"/>
      <c r="E3971" s="196"/>
      <c r="F3971" s="405"/>
      <c r="G3971" s="406"/>
      <c r="H3971" s="407"/>
      <c r="I3971" s="405"/>
      <c r="J3971" s="405"/>
      <c r="AX3971" s="117"/>
      <c r="AY3971" s="117"/>
      <c r="AZ3971" s="117"/>
      <c r="BA3971" s="117"/>
      <c r="BB3971" s="117"/>
      <c r="BC3971" s="117"/>
      <c r="BD3971" s="117"/>
    </row>
    <row r="3972" spans="1:56" ht="15">
      <c r="A3972" s="114"/>
      <c r="B3972" s="388" t="s">
        <v>1149</v>
      </c>
      <c r="C3972" s="389">
        <v>60</v>
      </c>
      <c r="D3972" s="390" t="s">
        <v>1150</v>
      </c>
      <c r="E3972" s="196"/>
      <c r="F3972" s="196"/>
      <c r="G3972" s="392"/>
      <c r="H3972" s="393"/>
      <c r="I3972" s="196"/>
      <c r="J3972" s="196"/>
      <c r="AX3972" s="117"/>
      <c r="AY3972" s="117"/>
      <c r="AZ3972" s="117"/>
      <c r="BA3972" s="117"/>
      <c r="BB3972" s="117"/>
      <c r="BC3972" s="117"/>
      <c r="BD3972" s="117"/>
    </row>
    <row r="3973" spans="1:56" ht="15">
      <c r="A3973" s="114"/>
      <c r="B3973" s="362"/>
      <c r="C3973" s="196"/>
      <c r="D3973" s="196"/>
      <c r="E3973" s="196"/>
      <c r="F3973" s="196"/>
      <c r="G3973" s="362"/>
      <c r="H3973" s="362"/>
      <c r="I3973" s="362"/>
      <c r="J3973" s="196"/>
      <c r="AX3973" s="117"/>
      <c r="AY3973" s="117"/>
      <c r="AZ3973" s="117"/>
      <c r="BA3973" s="117"/>
      <c r="BB3973" s="117"/>
      <c r="BC3973" s="117"/>
      <c r="BD3973" s="117"/>
    </row>
    <row r="3974" spans="1:56" ht="15">
      <c r="A3974" s="114"/>
      <c r="B3974" s="388" t="s">
        <v>1114</v>
      </c>
      <c r="C3974" s="389">
        <v>0.5</v>
      </c>
      <c r="D3974" s="390" t="s">
        <v>10</v>
      </c>
      <c r="E3974" s="288" t="s">
        <v>1120</v>
      </c>
      <c r="F3974" s="196"/>
      <c r="G3974" s="196" t="s">
        <v>1131</v>
      </c>
      <c r="H3974" s="114"/>
      <c r="I3974" s="114"/>
      <c r="J3974" s="196"/>
      <c r="AX3974" s="117"/>
      <c r="AY3974" s="117"/>
      <c r="AZ3974" s="117"/>
      <c r="BA3974" s="117"/>
      <c r="BB3974" s="117"/>
      <c r="BC3974" s="117"/>
      <c r="BD3974" s="117"/>
    </row>
    <row r="3975" spans="1:56" ht="15">
      <c r="A3975" s="114"/>
      <c r="B3975" s="388" t="s">
        <v>1114</v>
      </c>
      <c r="C3975" s="389">
        <v>0.1</v>
      </c>
      <c r="D3975" s="390" t="s">
        <v>10</v>
      </c>
      <c r="E3975" s="288" t="s">
        <v>1121</v>
      </c>
      <c r="F3975" s="196"/>
      <c r="G3975" s="196"/>
      <c r="H3975" s="196"/>
      <c r="I3975" s="196"/>
      <c r="J3975" s="196"/>
      <c r="AX3975" s="117"/>
      <c r="AY3975" s="117"/>
      <c r="AZ3975" s="117"/>
      <c r="BA3975" s="117"/>
      <c r="BB3975" s="117"/>
      <c r="BC3975" s="117"/>
      <c r="BD3975" s="117"/>
    </row>
    <row r="3976" spans="1:56" ht="15">
      <c r="A3976" s="114"/>
      <c r="B3976" s="362"/>
      <c r="C3976" s="362"/>
      <c r="D3976" s="362"/>
      <c r="E3976" s="362"/>
      <c r="F3976" s="362"/>
      <c r="G3976" s="114"/>
      <c r="H3976" s="362"/>
      <c r="I3976" s="196"/>
      <c r="J3976" s="196"/>
      <c r="AX3976" s="117"/>
      <c r="AY3976" s="117"/>
      <c r="AZ3976" s="117"/>
      <c r="BA3976" s="117"/>
      <c r="BB3976" s="117"/>
      <c r="BC3976" s="117"/>
      <c r="BD3976" s="117"/>
    </row>
    <row r="3977" spans="1:56" ht="15">
      <c r="A3977" s="114"/>
      <c r="B3977" s="303" t="s">
        <v>1122</v>
      </c>
      <c r="C3977" s="362"/>
      <c r="D3977" s="362"/>
      <c r="E3977" s="362"/>
      <c r="F3977" s="362"/>
      <c r="G3977" s="196"/>
      <c r="H3977" s="196"/>
      <c r="I3977" s="196"/>
      <c r="J3977" s="196"/>
      <c r="AX3977" s="117"/>
      <c r="AY3977" s="117"/>
      <c r="AZ3977" s="117"/>
      <c r="BA3977" s="117"/>
      <c r="BB3977" s="117"/>
      <c r="BC3977" s="117"/>
      <c r="BD3977" s="117"/>
    </row>
    <row r="3978" spans="1:56" ht="18">
      <c r="A3978" s="114"/>
      <c r="B3978" s="398" t="s">
        <v>1123</v>
      </c>
      <c r="C3978" s="172"/>
      <c r="D3978" s="173"/>
      <c r="E3978" s="397">
        <f>C3970*((H3968+H3967)/2)*(C3968+C3969+0.05)</f>
        <v>20.001466990656752</v>
      </c>
      <c r="F3978" s="390" t="s">
        <v>1124</v>
      </c>
      <c r="G3978" s="196"/>
      <c r="H3978" s="362"/>
      <c r="I3978" s="362"/>
      <c r="J3978" s="362"/>
      <c r="AX3978" s="117"/>
      <c r="AY3978" s="117"/>
      <c r="AZ3978" s="117"/>
      <c r="BA3978" s="117"/>
      <c r="BB3978" s="117"/>
      <c r="BC3978" s="117"/>
      <c r="BD3978" s="117"/>
    </row>
    <row r="3979" spans="1:56" ht="18">
      <c r="A3979" s="114"/>
      <c r="B3979" s="398" t="s">
        <v>1125</v>
      </c>
      <c r="C3979" s="172"/>
      <c r="D3979" s="173"/>
      <c r="E3979" s="400">
        <f>E3978-(E3990+E3992)</f>
        <v>18.425466990656751</v>
      </c>
      <c r="F3979" s="390" t="s">
        <v>1124</v>
      </c>
      <c r="G3979" s="196"/>
      <c r="H3979" s="196"/>
      <c r="I3979" s="196"/>
      <c r="J3979" s="196"/>
      <c r="AX3979" s="117"/>
      <c r="AY3979" s="117"/>
      <c r="AZ3979" s="117"/>
      <c r="BA3979" s="117"/>
      <c r="BB3979" s="117"/>
      <c r="BC3979" s="117"/>
      <c r="BD3979" s="117"/>
    </row>
    <row r="3980" spans="1:56" ht="15">
      <c r="A3980" s="114"/>
      <c r="B3980" s="398" t="s">
        <v>1126</v>
      </c>
      <c r="C3980" s="172"/>
      <c r="D3980" s="173"/>
      <c r="E3980" s="400">
        <f>((C3966+2*C3975)*(C3967+2*C3975))*C3970</f>
        <v>2.72</v>
      </c>
      <c r="F3980" s="390" t="s">
        <v>13</v>
      </c>
      <c r="G3980" s="362"/>
      <c r="H3980" s="362"/>
      <c r="I3980" s="362"/>
      <c r="J3980" s="362"/>
      <c r="AX3980" s="117"/>
      <c r="AY3980" s="117"/>
      <c r="AZ3980" s="117"/>
      <c r="BA3980" s="117"/>
      <c r="BB3980" s="117"/>
      <c r="BC3980" s="117"/>
      <c r="BD3980" s="117"/>
    </row>
    <row r="3981" spans="1:56" ht="15">
      <c r="A3981" s="114"/>
      <c r="B3981" s="362"/>
      <c r="C3981" s="362"/>
      <c r="D3981" s="362"/>
      <c r="E3981" s="401"/>
      <c r="F3981" s="196"/>
      <c r="G3981" s="362"/>
      <c r="H3981" s="362"/>
      <c r="I3981" s="362"/>
      <c r="J3981" s="362"/>
      <c r="AX3981" s="117"/>
      <c r="AY3981" s="117"/>
      <c r="AZ3981" s="117"/>
      <c r="BA3981" s="117"/>
      <c r="BB3981" s="117"/>
      <c r="BC3981" s="117"/>
      <c r="BD3981" s="117"/>
    </row>
    <row r="3982" spans="1:56" ht="15">
      <c r="A3982" s="114"/>
      <c r="B3982" s="303" t="s">
        <v>1162</v>
      </c>
      <c r="C3982" s="362"/>
      <c r="D3982" s="362"/>
      <c r="E3982" s="410"/>
      <c r="F3982" s="362"/>
      <c r="G3982" s="362"/>
      <c r="H3982" s="362"/>
      <c r="I3982" s="362"/>
      <c r="J3982" s="362"/>
      <c r="AX3982" s="117"/>
      <c r="AY3982" s="117"/>
      <c r="AZ3982" s="117"/>
      <c r="BA3982" s="117"/>
      <c r="BB3982" s="117"/>
      <c r="BC3982" s="117"/>
      <c r="BD3982" s="117"/>
    </row>
    <row r="3983" spans="1:56" ht="15">
      <c r="A3983" s="114"/>
      <c r="B3983" s="398" t="s">
        <v>1152</v>
      </c>
      <c r="C3983" s="398"/>
      <c r="D3983" s="366"/>
      <c r="E3983" s="411">
        <v>2</v>
      </c>
      <c r="F3983" s="390" t="s">
        <v>1153</v>
      </c>
      <c r="G3983" s="362"/>
      <c r="H3983" s="362"/>
      <c r="I3983" s="362"/>
      <c r="J3983" s="362"/>
      <c r="AX3983" s="117"/>
      <c r="AY3983" s="117"/>
      <c r="AZ3983" s="117"/>
      <c r="BA3983" s="117"/>
      <c r="BB3983" s="117"/>
      <c r="BC3983" s="117"/>
      <c r="BD3983" s="117"/>
    </row>
    <row r="3984" spans="1:56" ht="15">
      <c r="A3984" s="114"/>
      <c r="B3984" s="399" t="s">
        <v>1154</v>
      </c>
      <c r="C3984" s="31"/>
      <c r="D3984" s="32"/>
      <c r="E3984" s="412">
        <f>C3970*E3983</f>
        <v>4</v>
      </c>
      <c r="F3984" s="390" t="s">
        <v>1153</v>
      </c>
      <c r="G3984" s="362"/>
      <c r="H3984" s="362"/>
      <c r="I3984" s="362"/>
      <c r="J3984" s="362"/>
      <c r="AX3984" s="117"/>
      <c r="AY3984" s="117"/>
      <c r="AZ3984" s="117"/>
      <c r="BA3984" s="117"/>
      <c r="BB3984" s="117"/>
      <c r="BC3984" s="117"/>
      <c r="BD3984" s="117"/>
    </row>
    <row r="3985" spans="1:56" ht="15">
      <c r="A3985" s="114"/>
      <c r="B3985" s="398" t="s">
        <v>1155</v>
      </c>
      <c r="C3985" s="21"/>
      <c r="D3985" s="413"/>
      <c r="E3985" s="411">
        <v>300</v>
      </c>
      <c r="F3985" s="390" t="s">
        <v>1156</v>
      </c>
      <c r="G3985" s="362"/>
      <c r="H3985" s="414"/>
      <c r="I3985" s="362"/>
      <c r="J3985" s="415"/>
      <c r="AX3985" s="117"/>
      <c r="AY3985" s="117"/>
      <c r="AZ3985" s="117"/>
      <c r="BA3985" s="117"/>
      <c r="BB3985" s="117"/>
      <c r="BC3985" s="117"/>
      <c r="BD3985" s="117"/>
    </row>
    <row r="3986" spans="1:56" ht="15">
      <c r="A3986" s="114"/>
      <c r="B3986" s="398" t="s">
        <v>1157</v>
      </c>
      <c r="C3986" s="21"/>
      <c r="D3986" s="413"/>
      <c r="E3986" s="411">
        <v>17</v>
      </c>
      <c r="F3986" s="390" t="s">
        <v>10</v>
      </c>
      <c r="G3986" s="362"/>
      <c r="H3986" s="6"/>
      <c r="I3986" s="362"/>
      <c r="J3986" s="362"/>
      <c r="AX3986" s="117"/>
      <c r="AY3986" s="117"/>
      <c r="AZ3986" s="117"/>
      <c r="BA3986" s="117"/>
      <c r="BB3986" s="117"/>
      <c r="BC3986" s="117"/>
      <c r="BD3986" s="117"/>
    </row>
    <row r="3987" spans="1:56" ht="15">
      <c r="A3987" s="114"/>
      <c r="B3987" s="398" t="s">
        <v>1158</v>
      </c>
      <c r="C3987" s="21"/>
      <c r="D3987" s="413"/>
      <c r="E3987" s="412">
        <f>E3984*E3986</f>
        <v>68</v>
      </c>
      <c r="F3987" s="390" t="s">
        <v>10</v>
      </c>
      <c r="G3987" s="362"/>
      <c r="H3987" s="362"/>
      <c r="I3987" s="362"/>
      <c r="J3987" s="362"/>
      <c r="AX3987" s="117"/>
      <c r="AY3987" s="117"/>
      <c r="AZ3987" s="117"/>
      <c r="BA3987" s="117"/>
      <c r="BB3987" s="117"/>
      <c r="BC3987" s="117"/>
      <c r="BD3987" s="117"/>
    </row>
    <row r="3988" spans="1:56" ht="15">
      <c r="A3988" s="114"/>
      <c r="B3988" s="362"/>
      <c r="C3988" s="362"/>
      <c r="D3988" s="362"/>
      <c r="E3988" s="410"/>
      <c r="F3988" s="362"/>
      <c r="G3988" s="362"/>
      <c r="H3988" s="362"/>
      <c r="I3988" s="362"/>
      <c r="J3988" s="362"/>
      <c r="AX3988" s="117"/>
      <c r="AY3988" s="117"/>
      <c r="AZ3988" s="117"/>
      <c r="BA3988" s="117"/>
      <c r="BB3988" s="117"/>
      <c r="BC3988" s="117"/>
      <c r="BD3988" s="117"/>
    </row>
    <row r="3989" spans="1:56" ht="15">
      <c r="A3989" s="114"/>
      <c r="B3989" s="303" t="s">
        <v>1160</v>
      </c>
      <c r="C3989" s="362"/>
      <c r="D3989" s="362"/>
      <c r="E3989" s="410"/>
      <c r="F3989" s="362"/>
      <c r="G3989" s="362"/>
      <c r="H3989" s="362"/>
      <c r="I3989" s="362"/>
      <c r="J3989" s="362"/>
      <c r="AX3989" s="117"/>
      <c r="AY3989" s="117"/>
      <c r="AZ3989" s="117"/>
      <c r="BA3989" s="117"/>
      <c r="BB3989" s="117"/>
      <c r="BC3989" s="117"/>
      <c r="BD3989" s="117"/>
    </row>
    <row r="3990" spans="1:56" ht="18">
      <c r="A3990" s="114"/>
      <c r="B3990" s="398" t="s">
        <v>1128</v>
      </c>
      <c r="C3990" s="172"/>
      <c r="D3990" s="173"/>
      <c r="E3990" s="402">
        <f>E3980*0.05</f>
        <v>0.13600000000000001</v>
      </c>
      <c r="F3990" s="390" t="s">
        <v>1124</v>
      </c>
      <c r="G3990" s="362"/>
      <c r="H3990" s="362"/>
      <c r="I3990" s="362"/>
      <c r="J3990" s="362"/>
      <c r="AX3990" s="117"/>
      <c r="AY3990" s="117"/>
      <c r="AZ3990" s="117"/>
      <c r="BA3990" s="117"/>
      <c r="BB3990" s="117"/>
      <c r="BC3990" s="117"/>
      <c r="BD3990" s="117"/>
    </row>
    <row r="3991" spans="1:56" ht="15">
      <c r="A3991" s="114"/>
      <c r="B3991" s="398" t="s">
        <v>1129</v>
      </c>
      <c r="C3991" s="172"/>
      <c r="D3991" s="173"/>
      <c r="E3991" s="397">
        <f>(2*(C3966+C3967)*C3969)*C3970</f>
        <v>6.7200000000000006</v>
      </c>
      <c r="F3991" s="390" t="s">
        <v>13</v>
      </c>
      <c r="G3991" s="362"/>
      <c r="H3991" s="362"/>
      <c r="I3991" s="362"/>
      <c r="J3991" s="362"/>
      <c r="AX3991" s="117"/>
      <c r="AY3991" s="117"/>
      <c r="AZ3991" s="117"/>
      <c r="BA3991" s="117"/>
      <c r="BB3991" s="117"/>
      <c r="BC3991" s="117"/>
      <c r="BD3991" s="117"/>
    </row>
    <row r="3992" spans="1:56" ht="18">
      <c r="A3992" s="114"/>
      <c r="B3992" s="398" t="s">
        <v>1130</v>
      </c>
      <c r="C3992" s="172"/>
      <c r="D3992" s="173"/>
      <c r="E3992" s="402">
        <f>(C3966*C3967*C3969)*C3970</f>
        <v>1.44</v>
      </c>
      <c r="F3992" s="390" t="s">
        <v>1124</v>
      </c>
      <c r="G3992" s="362"/>
      <c r="H3992" s="362"/>
      <c r="I3992" s="362"/>
      <c r="J3992" s="362"/>
      <c r="AX3992" s="117"/>
      <c r="AY3992" s="117"/>
      <c r="AZ3992" s="117"/>
      <c r="BA3992" s="117"/>
      <c r="BB3992" s="117"/>
      <c r="BC3992" s="117"/>
      <c r="BD3992" s="117"/>
    </row>
    <row r="3993" spans="1:56" ht="15">
      <c r="A3993" s="114"/>
      <c r="B3993" s="288"/>
      <c r="C3993" s="230"/>
      <c r="D3993" s="230"/>
      <c r="E3993" s="384"/>
      <c r="F3993" s="196"/>
      <c r="G3993" s="196"/>
      <c r="H3993" s="196"/>
      <c r="I3993" s="196"/>
      <c r="J3993" s="114"/>
      <c r="AW3993" s="117"/>
      <c r="AX3993" s="117"/>
      <c r="AY3993" s="117"/>
      <c r="AZ3993" s="117"/>
      <c r="BA3993" s="117"/>
      <c r="BB3993" s="117"/>
      <c r="BC3993" s="117"/>
      <c r="BD3993" s="117"/>
    </row>
    <row r="3994" spans="1:56" ht="15">
      <c r="A3994" s="114"/>
      <c r="B3994" s="288"/>
      <c r="C3994" s="230"/>
      <c r="D3994" s="230"/>
      <c r="E3994" s="384"/>
      <c r="F3994" s="196"/>
      <c r="G3994" s="196"/>
      <c r="H3994" s="196"/>
      <c r="I3994" s="196"/>
      <c r="J3994" s="114"/>
      <c r="AW3994" s="117"/>
      <c r="AX3994" s="117"/>
      <c r="AY3994" s="117"/>
      <c r="AZ3994" s="117"/>
      <c r="BA3994" s="117"/>
      <c r="BB3994" s="117"/>
      <c r="BC3994" s="117"/>
      <c r="BD3994" s="117"/>
    </row>
    <row r="3995" spans="1:56" customFormat="1" ht="12.75">
      <c r="B3995" s="362"/>
      <c r="C3995" s="362"/>
      <c r="D3995" s="362"/>
      <c r="E3995" s="362"/>
      <c r="F3995" s="362"/>
      <c r="G3995" s="362"/>
      <c r="H3995" s="362"/>
      <c r="I3995" s="362"/>
      <c r="J3995" s="362"/>
    </row>
    <row r="3996" spans="1:56">
      <c r="A3996" s="114"/>
      <c r="B3996" s="385" t="s">
        <v>1271</v>
      </c>
      <c r="C3996" s="196"/>
      <c r="D3996" s="196"/>
      <c r="E3996" s="196"/>
      <c r="F3996" s="196"/>
      <c r="G3996" s="196"/>
      <c r="H3996" s="196"/>
      <c r="I3996" s="196"/>
      <c r="J3996" s="196"/>
      <c r="AX3996" s="117"/>
      <c r="AY3996" s="117"/>
      <c r="AZ3996" s="117"/>
      <c r="BA3996" s="117"/>
      <c r="BB3996" s="117"/>
      <c r="BC3996" s="117"/>
      <c r="BD3996" s="117"/>
    </row>
    <row r="3997" spans="1:56" ht="15">
      <c r="A3997" s="114"/>
      <c r="B3997" s="362"/>
      <c r="C3997" s="362"/>
      <c r="D3997" s="362"/>
      <c r="E3997" s="362"/>
      <c r="F3997" s="404"/>
      <c r="G3997" s="404"/>
      <c r="H3997" s="404"/>
      <c r="I3997" s="404"/>
      <c r="J3997" s="404"/>
      <c r="AX3997" s="117"/>
      <c r="AY3997" s="117"/>
      <c r="AZ3997" s="117"/>
      <c r="BA3997" s="117"/>
      <c r="BB3997" s="117"/>
      <c r="BC3997" s="117"/>
      <c r="BD3997" s="117"/>
    </row>
    <row r="3998" spans="1:56" ht="18">
      <c r="A3998" s="114"/>
      <c r="B3998" s="388" t="s">
        <v>1141</v>
      </c>
      <c r="C3998" s="389">
        <v>0</v>
      </c>
      <c r="D3998" s="390" t="s">
        <v>10</v>
      </c>
      <c r="E3998" s="196"/>
      <c r="F3998" s="405"/>
      <c r="G3998" s="406" t="s">
        <v>1142</v>
      </c>
      <c r="H3998" s="407">
        <f>C3998*C3999</f>
        <v>0</v>
      </c>
      <c r="I3998" s="405" t="s">
        <v>1143</v>
      </c>
      <c r="J3998" s="405"/>
      <c r="AX3998" s="117"/>
      <c r="AY3998" s="117"/>
      <c r="AZ3998" s="117"/>
      <c r="BA3998" s="117"/>
      <c r="BB3998" s="117"/>
      <c r="BC3998" s="117"/>
      <c r="BD3998" s="117"/>
    </row>
    <row r="3999" spans="1:56" ht="15">
      <c r="A3999" s="114"/>
      <c r="B3999" s="388" t="s">
        <v>1144</v>
      </c>
      <c r="C3999" s="389">
        <v>0</v>
      </c>
      <c r="D3999" s="390" t="s">
        <v>10</v>
      </c>
      <c r="E3999" s="196"/>
      <c r="F3999" s="405"/>
      <c r="G3999" s="406" t="e">
        <f>TEXT(C4006,"tg 0°=")</f>
        <v>#VALUE!</v>
      </c>
      <c r="H3999" s="408">
        <f>TAN(3.14159265359*C4006/180)</f>
        <v>1.732050807569153</v>
      </c>
      <c r="I3999" s="405"/>
      <c r="J3999" s="405"/>
      <c r="AX3999" s="117"/>
      <c r="AY3999" s="117"/>
      <c r="AZ3999" s="117"/>
      <c r="BA3999" s="117"/>
      <c r="BB3999" s="117"/>
      <c r="BC3999" s="117"/>
      <c r="BD3999" s="117"/>
    </row>
    <row r="4000" spans="1:56" ht="15">
      <c r="A4000" s="114"/>
      <c r="B4000" s="388" t="s">
        <v>1145</v>
      </c>
      <c r="C4000" s="389">
        <v>1.5</v>
      </c>
      <c r="D4000" s="390" t="s">
        <v>10</v>
      </c>
      <c r="E4000" s="196"/>
      <c r="F4000" s="405"/>
      <c r="G4000" s="406"/>
      <c r="H4000" s="407"/>
      <c r="I4000" s="405"/>
      <c r="J4000" s="405"/>
      <c r="AX4000" s="117"/>
      <c r="AY4000" s="117"/>
      <c r="AZ4000" s="117"/>
      <c r="BA4000" s="117"/>
      <c r="BB4000" s="117"/>
      <c r="BC4000" s="117"/>
      <c r="BD4000" s="117"/>
    </row>
    <row r="4001" spans="1:56" ht="18">
      <c r="A4001" s="114"/>
      <c r="B4001" s="388" t="s">
        <v>1146</v>
      </c>
      <c r="C4001" s="389">
        <v>1.5</v>
      </c>
      <c r="D4001" s="390" t="s">
        <v>10</v>
      </c>
      <c r="E4001" s="196"/>
      <c r="F4001" s="405"/>
      <c r="G4001" s="406" t="s">
        <v>1142</v>
      </c>
      <c r="H4001" s="409">
        <f>(C4000+2*C4008+((C4002+C4003+0.05)/H3999)*2)*(C4001+2*C4008+((C4002+C4003+0.05)/H3999)*2)</f>
        <v>20.436963044148875</v>
      </c>
      <c r="I4001" s="405" t="s">
        <v>1143</v>
      </c>
      <c r="J4001" s="405"/>
      <c r="AX4001" s="117"/>
      <c r="AY4001" s="117"/>
      <c r="AZ4001" s="117"/>
      <c r="BA4001" s="117"/>
      <c r="BB4001" s="117"/>
      <c r="BC4001" s="117"/>
      <c r="BD4001" s="117"/>
    </row>
    <row r="4002" spans="1:56" ht="18">
      <c r="A4002" s="114"/>
      <c r="B4002" s="388" t="s">
        <v>1112</v>
      </c>
      <c r="C4002" s="389">
        <v>0.9</v>
      </c>
      <c r="D4002" s="390" t="s">
        <v>10</v>
      </c>
      <c r="E4002" s="196"/>
      <c r="F4002" s="405"/>
      <c r="G4002" s="406" t="s">
        <v>1147</v>
      </c>
      <c r="H4002" s="409">
        <f>(C4000+2*C4008)*(C4001+2*C4008)</f>
        <v>6.25</v>
      </c>
      <c r="I4002" s="405" t="s">
        <v>1143</v>
      </c>
      <c r="J4002" s="405"/>
      <c r="AX4002" s="117"/>
      <c r="AY4002" s="117"/>
      <c r="AZ4002" s="117"/>
      <c r="BA4002" s="117"/>
      <c r="BB4002" s="117"/>
      <c r="BC4002" s="117"/>
      <c r="BD4002" s="117"/>
    </row>
    <row r="4003" spans="1:56" ht="15">
      <c r="A4003" s="114"/>
      <c r="B4003" s="388" t="s">
        <v>1113</v>
      </c>
      <c r="C4003" s="389">
        <v>0.8</v>
      </c>
      <c r="D4003" s="390" t="s">
        <v>10</v>
      </c>
      <c r="E4003" s="196"/>
      <c r="F4003" s="405"/>
      <c r="G4003" s="406"/>
      <c r="H4003" s="407"/>
      <c r="I4003" s="405"/>
      <c r="J4003" s="405"/>
      <c r="AX4003" s="117"/>
      <c r="AY4003" s="117"/>
      <c r="AZ4003" s="117"/>
      <c r="BA4003" s="117"/>
      <c r="BB4003" s="117"/>
      <c r="BC4003" s="117"/>
      <c r="BD4003" s="117"/>
    </row>
    <row r="4004" spans="1:56" ht="15">
      <c r="A4004" s="114"/>
      <c r="B4004" s="388" t="s">
        <v>1117</v>
      </c>
      <c r="C4004" s="391">
        <v>1</v>
      </c>
      <c r="D4004" s="390" t="s">
        <v>1118</v>
      </c>
      <c r="E4004" s="196"/>
      <c r="F4004" s="405"/>
      <c r="G4004" s="406"/>
      <c r="H4004" s="407"/>
      <c r="I4004" s="405"/>
      <c r="J4004" s="405"/>
      <c r="AX4004" s="117"/>
      <c r="AY4004" s="117"/>
      <c r="AZ4004" s="117"/>
      <c r="BA4004" s="117"/>
      <c r="BB4004" s="117"/>
      <c r="BC4004" s="117"/>
      <c r="BD4004" s="117"/>
    </row>
    <row r="4005" spans="1:56" ht="15">
      <c r="A4005" s="114"/>
      <c r="B4005" s="196" t="s">
        <v>1148</v>
      </c>
      <c r="C4005" s="393"/>
      <c r="D4005" s="196"/>
      <c r="E4005" s="196"/>
      <c r="F4005" s="405"/>
      <c r="G4005" s="406"/>
      <c r="H4005" s="407"/>
      <c r="I4005" s="405"/>
      <c r="J4005" s="405"/>
      <c r="AX4005" s="117"/>
      <c r="AY4005" s="117"/>
      <c r="AZ4005" s="117"/>
      <c r="BA4005" s="117"/>
      <c r="BB4005" s="117"/>
      <c r="BC4005" s="117"/>
      <c r="BD4005" s="117"/>
    </row>
    <row r="4006" spans="1:56" ht="15">
      <c r="A4006" s="114"/>
      <c r="B4006" s="388" t="s">
        <v>1149</v>
      </c>
      <c r="C4006" s="389">
        <v>60</v>
      </c>
      <c r="D4006" s="390" t="s">
        <v>1150</v>
      </c>
      <c r="E4006" s="196"/>
      <c r="F4006" s="196"/>
      <c r="G4006" s="392"/>
      <c r="H4006" s="393"/>
      <c r="I4006" s="196"/>
      <c r="J4006" s="196"/>
      <c r="AX4006" s="117"/>
      <c r="AY4006" s="117"/>
      <c r="AZ4006" s="117"/>
      <c r="BA4006" s="117"/>
      <c r="BB4006" s="117"/>
      <c r="BC4006" s="117"/>
      <c r="BD4006" s="117"/>
    </row>
    <row r="4007" spans="1:56" ht="15">
      <c r="A4007" s="114"/>
      <c r="B4007" s="362"/>
      <c r="C4007" s="196"/>
      <c r="D4007" s="196"/>
      <c r="E4007" s="196"/>
      <c r="F4007" s="196"/>
      <c r="G4007" s="362"/>
      <c r="H4007" s="362"/>
      <c r="I4007" s="362"/>
      <c r="J4007" s="196"/>
      <c r="AX4007" s="117"/>
      <c r="AY4007" s="117"/>
      <c r="AZ4007" s="117"/>
      <c r="BA4007" s="117"/>
      <c r="BB4007" s="117"/>
      <c r="BC4007" s="117"/>
      <c r="BD4007" s="117"/>
    </row>
    <row r="4008" spans="1:56" ht="15">
      <c r="A4008" s="114"/>
      <c r="B4008" s="388" t="s">
        <v>1114</v>
      </c>
      <c r="C4008" s="389">
        <v>0.5</v>
      </c>
      <c r="D4008" s="390" t="s">
        <v>10</v>
      </c>
      <c r="E4008" s="288" t="s">
        <v>1120</v>
      </c>
      <c r="F4008" s="196"/>
      <c r="G4008" s="196" t="s">
        <v>1131</v>
      </c>
      <c r="H4008" s="114"/>
      <c r="I4008" s="114"/>
      <c r="J4008" s="196"/>
      <c r="AX4008" s="117"/>
      <c r="AY4008" s="117"/>
      <c r="AZ4008" s="117"/>
      <c r="BA4008" s="117"/>
      <c r="BB4008" s="117"/>
      <c r="BC4008" s="117"/>
      <c r="BD4008" s="117"/>
    </row>
    <row r="4009" spans="1:56" ht="15">
      <c r="A4009" s="114"/>
      <c r="B4009" s="388" t="s">
        <v>1114</v>
      </c>
      <c r="C4009" s="389">
        <v>0.1</v>
      </c>
      <c r="D4009" s="390" t="s">
        <v>10</v>
      </c>
      <c r="E4009" s="288" t="s">
        <v>1121</v>
      </c>
      <c r="F4009" s="196"/>
      <c r="G4009" s="196"/>
      <c r="H4009" s="196"/>
      <c r="I4009" s="196"/>
      <c r="J4009" s="196"/>
      <c r="AX4009" s="117"/>
      <c r="AY4009" s="117"/>
      <c r="AZ4009" s="117"/>
      <c r="BA4009" s="117"/>
      <c r="BB4009" s="117"/>
      <c r="BC4009" s="117"/>
      <c r="BD4009" s="117"/>
    </row>
    <row r="4010" spans="1:56" ht="15">
      <c r="A4010" s="114"/>
      <c r="B4010" s="362"/>
      <c r="C4010" s="362"/>
      <c r="D4010" s="362"/>
      <c r="E4010" s="362"/>
      <c r="F4010" s="362"/>
      <c r="G4010" s="114"/>
      <c r="H4010" s="362"/>
      <c r="I4010" s="196"/>
      <c r="J4010" s="196"/>
      <c r="AX4010" s="117"/>
      <c r="AY4010" s="117"/>
      <c r="AZ4010" s="117"/>
      <c r="BA4010" s="117"/>
      <c r="BB4010" s="117"/>
      <c r="BC4010" s="117"/>
      <c r="BD4010" s="117"/>
    </row>
    <row r="4011" spans="1:56" ht="15">
      <c r="A4011" s="114"/>
      <c r="B4011" s="303" t="s">
        <v>1122</v>
      </c>
      <c r="C4011" s="362"/>
      <c r="D4011" s="362"/>
      <c r="E4011" s="362"/>
      <c r="F4011" s="362"/>
      <c r="G4011" s="196"/>
      <c r="H4011" s="196"/>
      <c r="I4011" s="196"/>
      <c r="J4011" s="196"/>
      <c r="AX4011" s="117"/>
      <c r="AY4011" s="117"/>
      <c r="AZ4011" s="117"/>
      <c r="BA4011" s="117"/>
      <c r="BB4011" s="117"/>
      <c r="BC4011" s="117"/>
      <c r="BD4011" s="117"/>
    </row>
    <row r="4012" spans="1:56" ht="18">
      <c r="A4012" s="114"/>
      <c r="B4012" s="398" t="s">
        <v>1123</v>
      </c>
      <c r="C4012" s="172"/>
      <c r="D4012" s="173"/>
      <c r="E4012" s="397">
        <f>C4004*((H4002+H4001)/2)*(C4002+C4003+0.05)</f>
        <v>23.351092663630268</v>
      </c>
      <c r="F4012" s="390" t="s">
        <v>1124</v>
      </c>
      <c r="G4012" s="196"/>
      <c r="H4012" s="362"/>
      <c r="I4012" s="362"/>
      <c r="J4012" s="362"/>
      <c r="AX4012" s="117"/>
      <c r="AY4012" s="117"/>
      <c r="AZ4012" s="117"/>
      <c r="BA4012" s="117"/>
      <c r="BB4012" s="117"/>
      <c r="BC4012" s="117"/>
      <c r="BD4012" s="117"/>
    </row>
    <row r="4013" spans="1:56" ht="18">
      <c r="A4013" s="114"/>
      <c r="B4013" s="398" t="s">
        <v>1125</v>
      </c>
      <c r="C4013" s="172"/>
      <c r="D4013" s="173"/>
      <c r="E4013" s="400">
        <f>E4012-(E4024+E4026)</f>
        <v>21.406592663630267</v>
      </c>
      <c r="F4013" s="390" t="s">
        <v>1124</v>
      </c>
      <c r="G4013" s="196"/>
      <c r="H4013" s="196"/>
      <c r="I4013" s="196"/>
      <c r="J4013" s="196"/>
      <c r="AX4013" s="117"/>
      <c r="AY4013" s="117"/>
      <c r="AZ4013" s="117"/>
      <c r="BA4013" s="117"/>
      <c r="BB4013" s="117"/>
      <c r="BC4013" s="117"/>
      <c r="BD4013" s="117"/>
    </row>
    <row r="4014" spans="1:56" ht="15">
      <c r="A4014" s="114"/>
      <c r="B4014" s="398" t="s">
        <v>1126</v>
      </c>
      <c r="C4014" s="172"/>
      <c r="D4014" s="173"/>
      <c r="E4014" s="400">
        <f>((C4000+2*C4009)*(C4001+2*C4009))*C4004</f>
        <v>2.8899999999999997</v>
      </c>
      <c r="F4014" s="390" t="s">
        <v>13</v>
      </c>
      <c r="G4014" s="362"/>
      <c r="H4014" s="362"/>
      <c r="I4014" s="362"/>
      <c r="J4014" s="362"/>
      <c r="AX4014" s="117"/>
      <c r="AY4014" s="117"/>
      <c r="AZ4014" s="117"/>
      <c r="BA4014" s="117"/>
      <c r="BB4014" s="117"/>
      <c r="BC4014" s="117"/>
      <c r="BD4014" s="117"/>
    </row>
    <row r="4015" spans="1:56" ht="15">
      <c r="A4015" s="114"/>
      <c r="B4015" s="362"/>
      <c r="C4015" s="362"/>
      <c r="D4015" s="362"/>
      <c r="E4015" s="401"/>
      <c r="F4015" s="196"/>
      <c r="G4015" s="362"/>
      <c r="H4015" s="362"/>
      <c r="I4015" s="362"/>
      <c r="J4015" s="362"/>
      <c r="AX4015" s="117"/>
      <c r="AY4015" s="117"/>
      <c r="AZ4015" s="117"/>
      <c r="BA4015" s="117"/>
      <c r="BB4015" s="117"/>
      <c r="BC4015" s="117"/>
      <c r="BD4015" s="117"/>
    </row>
    <row r="4016" spans="1:56" ht="15">
      <c r="A4016" s="114"/>
      <c r="B4016" s="303" t="s">
        <v>1162</v>
      </c>
      <c r="C4016" s="362"/>
      <c r="D4016" s="362"/>
      <c r="E4016" s="410"/>
      <c r="F4016" s="362"/>
      <c r="G4016" s="362"/>
      <c r="H4016" s="362"/>
      <c r="I4016" s="362"/>
      <c r="J4016" s="362"/>
      <c r="AX4016" s="117"/>
      <c r="AY4016" s="117"/>
      <c r="AZ4016" s="117"/>
      <c r="BA4016" s="117"/>
      <c r="BB4016" s="117"/>
      <c r="BC4016" s="117"/>
      <c r="BD4016" s="117"/>
    </row>
    <row r="4017" spans="1:56" ht="15">
      <c r="A4017" s="114"/>
      <c r="B4017" s="398" t="s">
        <v>1152</v>
      </c>
      <c r="C4017" s="398"/>
      <c r="D4017" s="366"/>
      <c r="E4017" s="411">
        <v>4</v>
      </c>
      <c r="F4017" s="390" t="s">
        <v>1153</v>
      </c>
      <c r="G4017" s="362"/>
      <c r="H4017" s="362"/>
      <c r="I4017" s="362"/>
      <c r="J4017" s="362"/>
      <c r="AX4017" s="117"/>
      <c r="AY4017" s="117"/>
      <c r="AZ4017" s="117"/>
      <c r="BA4017" s="117"/>
      <c r="BB4017" s="117"/>
      <c r="BC4017" s="117"/>
      <c r="BD4017" s="117"/>
    </row>
    <row r="4018" spans="1:56" ht="15">
      <c r="A4018" s="114"/>
      <c r="B4018" s="399" t="s">
        <v>1154</v>
      </c>
      <c r="C4018" s="31"/>
      <c r="D4018" s="32"/>
      <c r="E4018" s="412">
        <f>C4004*E4017</f>
        <v>4</v>
      </c>
      <c r="F4018" s="390" t="s">
        <v>1153</v>
      </c>
      <c r="G4018" s="362"/>
      <c r="H4018" s="362"/>
      <c r="I4018" s="362"/>
      <c r="J4018" s="362"/>
      <c r="AX4018" s="117"/>
      <c r="AY4018" s="117"/>
      <c r="AZ4018" s="117"/>
      <c r="BA4018" s="117"/>
      <c r="BB4018" s="117"/>
      <c r="BC4018" s="117"/>
      <c r="BD4018" s="117"/>
    </row>
    <row r="4019" spans="1:56" ht="15">
      <c r="A4019" s="114"/>
      <c r="B4019" s="398" t="s">
        <v>1155</v>
      </c>
      <c r="C4019" s="21"/>
      <c r="D4019" s="413"/>
      <c r="E4019" s="411">
        <v>300</v>
      </c>
      <c r="F4019" s="390" t="s">
        <v>1156</v>
      </c>
      <c r="G4019" s="362"/>
      <c r="H4019" s="414"/>
      <c r="I4019" s="362"/>
      <c r="J4019" s="415"/>
      <c r="AX4019" s="117"/>
      <c r="AY4019" s="117"/>
      <c r="AZ4019" s="117"/>
      <c r="BA4019" s="117"/>
      <c r="BB4019" s="117"/>
      <c r="BC4019" s="117"/>
      <c r="BD4019" s="117"/>
    </row>
    <row r="4020" spans="1:56" ht="15">
      <c r="A4020" s="114"/>
      <c r="B4020" s="398" t="s">
        <v>1157</v>
      </c>
      <c r="C4020" s="21"/>
      <c r="D4020" s="413"/>
      <c r="E4020" s="411">
        <v>17</v>
      </c>
      <c r="F4020" s="390" t="s">
        <v>10</v>
      </c>
      <c r="G4020" s="362"/>
      <c r="H4020" s="6"/>
      <c r="I4020" s="362"/>
      <c r="J4020" s="362"/>
      <c r="AX4020" s="117"/>
      <c r="AY4020" s="117"/>
      <c r="AZ4020" s="117"/>
      <c r="BA4020" s="117"/>
      <c r="BB4020" s="117"/>
      <c r="BC4020" s="117"/>
      <c r="BD4020" s="117"/>
    </row>
    <row r="4021" spans="1:56" ht="15">
      <c r="A4021" s="114"/>
      <c r="B4021" s="398" t="s">
        <v>1158</v>
      </c>
      <c r="C4021" s="21"/>
      <c r="D4021" s="413"/>
      <c r="E4021" s="412">
        <f>E4018*E4020</f>
        <v>68</v>
      </c>
      <c r="F4021" s="390" t="s">
        <v>10</v>
      </c>
      <c r="G4021" s="362"/>
      <c r="H4021" s="362"/>
      <c r="I4021" s="362"/>
      <c r="J4021" s="362"/>
      <c r="AX4021" s="117"/>
      <c r="AY4021" s="117"/>
      <c r="AZ4021" s="117"/>
      <c r="BA4021" s="117"/>
      <c r="BB4021" s="117"/>
      <c r="BC4021" s="117"/>
      <c r="BD4021" s="117"/>
    </row>
    <row r="4022" spans="1:56" ht="15">
      <c r="A4022" s="114"/>
      <c r="B4022" s="362"/>
      <c r="C4022" s="362"/>
      <c r="D4022" s="362"/>
      <c r="E4022" s="410"/>
      <c r="F4022" s="362"/>
      <c r="G4022" s="362"/>
      <c r="H4022" s="362"/>
      <c r="I4022" s="362"/>
      <c r="J4022" s="362"/>
      <c r="AX4022" s="117"/>
      <c r="AY4022" s="117"/>
      <c r="AZ4022" s="117"/>
      <c r="BA4022" s="117"/>
      <c r="BB4022" s="117"/>
      <c r="BC4022" s="117"/>
      <c r="BD4022" s="117"/>
    </row>
    <row r="4023" spans="1:56" ht="15">
      <c r="A4023" s="114"/>
      <c r="B4023" s="303" t="s">
        <v>1160</v>
      </c>
      <c r="C4023" s="362"/>
      <c r="D4023" s="362"/>
      <c r="E4023" s="410"/>
      <c r="F4023" s="362"/>
      <c r="G4023" s="362"/>
      <c r="H4023" s="362"/>
      <c r="I4023" s="362"/>
      <c r="J4023" s="362"/>
      <c r="AX4023" s="117"/>
      <c r="AY4023" s="117"/>
      <c r="AZ4023" s="117"/>
      <c r="BA4023" s="117"/>
      <c r="BB4023" s="117"/>
      <c r="BC4023" s="117"/>
      <c r="BD4023" s="117"/>
    </row>
    <row r="4024" spans="1:56" ht="18">
      <c r="A4024" s="114"/>
      <c r="B4024" s="398" t="s">
        <v>1128</v>
      </c>
      <c r="C4024" s="172"/>
      <c r="D4024" s="173"/>
      <c r="E4024" s="402">
        <f>E4014*0.05</f>
        <v>0.14449999999999999</v>
      </c>
      <c r="F4024" s="390" t="s">
        <v>1124</v>
      </c>
      <c r="G4024" s="362"/>
      <c r="H4024" s="362"/>
      <c r="I4024" s="362"/>
      <c r="J4024" s="362"/>
      <c r="AX4024" s="117"/>
      <c r="AY4024" s="117"/>
      <c r="AZ4024" s="117"/>
      <c r="BA4024" s="117"/>
      <c r="BB4024" s="117"/>
      <c r="BC4024" s="117"/>
      <c r="BD4024" s="117"/>
    </row>
    <row r="4025" spans="1:56" ht="15">
      <c r="A4025" s="114"/>
      <c r="B4025" s="398" t="s">
        <v>1129</v>
      </c>
      <c r="C4025" s="172"/>
      <c r="D4025" s="173"/>
      <c r="E4025" s="397">
        <f>(2*(C4000+C4001)*C4003)*C4004</f>
        <v>4.8000000000000007</v>
      </c>
      <c r="F4025" s="390" t="s">
        <v>13</v>
      </c>
      <c r="G4025" s="362"/>
      <c r="H4025" s="362"/>
      <c r="I4025" s="362"/>
      <c r="J4025" s="362"/>
      <c r="AX4025" s="117"/>
      <c r="AY4025" s="117"/>
      <c r="AZ4025" s="117"/>
      <c r="BA4025" s="117"/>
      <c r="BB4025" s="117"/>
      <c r="BC4025" s="117"/>
      <c r="BD4025" s="117"/>
    </row>
    <row r="4026" spans="1:56" ht="18">
      <c r="A4026" s="114"/>
      <c r="B4026" s="398" t="s">
        <v>1130</v>
      </c>
      <c r="C4026" s="172"/>
      <c r="D4026" s="173"/>
      <c r="E4026" s="402">
        <f>(C4000*C4001*C4003)*C4004</f>
        <v>1.8</v>
      </c>
      <c r="F4026" s="390" t="s">
        <v>1124</v>
      </c>
      <c r="G4026" s="362"/>
      <c r="H4026" s="362"/>
      <c r="I4026" s="362"/>
      <c r="J4026" s="362"/>
      <c r="AX4026" s="117"/>
      <c r="AY4026" s="117"/>
      <c r="AZ4026" s="117"/>
      <c r="BA4026" s="117"/>
      <c r="BB4026" s="117"/>
      <c r="BC4026" s="117"/>
      <c r="BD4026" s="117"/>
    </row>
    <row r="4027" spans="1:56" ht="15">
      <c r="A4027" s="114"/>
      <c r="B4027" s="288"/>
      <c r="C4027" s="230"/>
      <c r="D4027" s="230"/>
      <c r="E4027" s="384"/>
      <c r="F4027" s="196"/>
      <c r="G4027" s="196"/>
      <c r="H4027" s="196"/>
      <c r="I4027" s="196"/>
      <c r="J4027" s="114"/>
      <c r="AW4027" s="117"/>
      <c r="AX4027" s="117"/>
      <c r="AY4027" s="117"/>
      <c r="AZ4027" s="117"/>
      <c r="BA4027" s="117"/>
      <c r="BB4027" s="117"/>
      <c r="BC4027" s="117"/>
      <c r="BD4027" s="117"/>
    </row>
    <row r="4028" spans="1:56" ht="15">
      <c r="A4028" s="114"/>
      <c r="B4028" s="288"/>
      <c r="C4028" s="230"/>
      <c r="D4028" s="230"/>
      <c r="E4028" s="384"/>
      <c r="F4028" s="196"/>
      <c r="G4028" s="196"/>
      <c r="H4028" s="196"/>
      <c r="I4028" s="196"/>
      <c r="J4028" s="114"/>
      <c r="AW4028" s="117"/>
      <c r="AX4028" s="117"/>
      <c r="AY4028" s="117"/>
      <c r="AZ4028" s="117"/>
      <c r="BA4028" s="117"/>
      <c r="BB4028" s="117"/>
      <c r="BC4028" s="117"/>
      <c r="BD4028" s="117"/>
    </row>
    <row r="4029" spans="1:56" customFormat="1" ht="12.75">
      <c r="B4029" s="362"/>
      <c r="C4029" s="362"/>
      <c r="D4029" s="362"/>
      <c r="E4029" s="362"/>
      <c r="F4029" s="362"/>
      <c r="G4029" s="362"/>
      <c r="H4029" s="362"/>
      <c r="I4029" s="362"/>
      <c r="J4029" s="362"/>
    </row>
    <row r="4030" spans="1:56">
      <c r="A4030" s="114"/>
      <c r="B4030" s="385" t="s">
        <v>1272</v>
      </c>
      <c r="C4030" s="196"/>
      <c r="D4030" s="196"/>
      <c r="E4030" s="196"/>
      <c r="F4030" s="196"/>
      <c r="G4030" s="196"/>
      <c r="H4030" s="196"/>
      <c r="I4030" s="196"/>
      <c r="J4030" s="196"/>
      <c r="AX4030" s="117"/>
      <c r="AY4030" s="117"/>
      <c r="AZ4030" s="117"/>
      <c r="BA4030" s="117"/>
      <c r="BB4030" s="117"/>
      <c r="BC4030" s="117"/>
      <c r="BD4030" s="117"/>
    </row>
    <row r="4031" spans="1:56" ht="15">
      <c r="A4031" s="114"/>
      <c r="B4031" s="362"/>
      <c r="C4031" s="362"/>
      <c r="D4031" s="362"/>
      <c r="E4031" s="362"/>
      <c r="F4031" s="404"/>
      <c r="G4031" s="404"/>
      <c r="H4031" s="404"/>
      <c r="I4031" s="404"/>
      <c r="J4031" s="404"/>
      <c r="AX4031" s="117"/>
      <c r="AY4031" s="117"/>
      <c r="AZ4031" s="117"/>
      <c r="BA4031" s="117"/>
      <c r="BB4031" s="117"/>
      <c r="BC4031" s="117"/>
      <c r="BD4031" s="117"/>
    </row>
    <row r="4032" spans="1:56" ht="18">
      <c r="A4032" s="114"/>
      <c r="B4032" s="388" t="s">
        <v>1141</v>
      </c>
      <c r="C4032" s="389">
        <v>0</v>
      </c>
      <c r="D4032" s="390" t="s">
        <v>10</v>
      </c>
      <c r="E4032" s="196"/>
      <c r="F4032" s="405"/>
      <c r="G4032" s="406" t="s">
        <v>1142</v>
      </c>
      <c r="H4032" s="407">
        <f>C4032*C4033</f>
        <v>0</v>
      </c>
      <c r="I4032" s="405" t="s">
        <v>1143</v>
      </c>
      <c r="J4032" s="405"/>
      <c r="AX4032" s="117"/>
      <c r="AY4032" s="117"/>
      <c r="AZ4032" s="117"/>
      <c r="BA4032" s="117"/>
      <c r="BB4032" s="117"/>
      <c r="BC4032" s="117"/>
      <c r="BD4032" s="117"/>
    </row>
    <row r="4033" spans="1:56" ht="15">
      <c r="A4033" s="114"/>
      <c r="B4033" s="388" t="s">
        <v>1144</v>
      </c>
      <c r="C4033" s="389">
        <v>0</v>
      </c>
      <c r="D4033" s="390" t="s">
        <v>10</v>
      </c>
      <c r="E4033" s="196"/>
      <c r="F4033" s="405"/>
      <c r="G4033" s="406" t="e">
        <f>TEXT(C4040,"tg 0°=")</f>
        <v>#VALUE!</v>
      </c>
      <c r="H4033" s="408">
        <f>TAN(3.14159265359*C4040/180)</f>
        <v>1.732050807569153</v>
      </c>
      <c r="I4033" s="405"/>
      <c r="J4033" s="405"/>
      <c r="AX4033" s="117"/>
      <c r="AY4033" s="117"/>
      <c r="AZ4033" s="117"/>
      <c r="BA4033" s="117"/>
      <c r="BB4033" s="117"/>
      <c r="BC4033" s="117"/>
      <c r="BD4033" s="117"/>
    </row>
    <row r="4034" spans="1:56" ht="15">
      <c r="A4034" s="114"/>
      <c r="B4034" s="388" t="s">
        <v>1145</v>
      </c>
      <c r="C4034" s="389">
        <v>0.7</v>
      </c>
      <c r="D4034" s="390" t="s">
        <v>10</v>
      </c>
      <c r="E4034" s="196"/>
      <c r="F4034" s="405"/>
      <c r="G4034" s="406"/>
      <c r="H4034" s="407"/>
      <c r="I4034" s="405"/>
      <c r="J4034" s="405"/>
      <c r="AX4034" s="117"/>
      <c r="AY4034" s="117"/>
      <c r="AZ4034" s="117"/>
      <c r="BA4034" s="117"/>
      <c r="BB4034" s="117"/>
      <c r="BC4034" s="117"/>
      <c r="BD4034" s="117"/>
    </row>
    <row r="4035" spans="1:56" ht="18">
      <c r="A4035" s="114"/>
      <c r="B4035" s="388" t="s">
        <v>1146</v>
      </c>
      <c r="C4035" s="389">
        <v>0.7</v>
      </c>
      <c r="D4035" s="390" t="s">
        <v>10</v>
      </c>
      <c r="E4035" s="196"/>
      <c r="F4035" s="405"/>
      <c r="G4035" s="406" t="s">
        <v>1142</v>
      </c>
      <c r="H4035" s="409">
        <f>(C4034+2*C4042+((C4036+C4037+0.05)/H4033)*2)*(C4035+2*C4042+((C4036+C4037+0.05)/H4033)*2)</f>
        <v>9.8808106214437075</v>
      </c>
      <c r="I4035" s="405" t="s">
        <v>1143</v>
      </c>
      <c r="J4035" s="405"/>
      <c r="AX4035" s="117"/>
      <c r="AY4035" s="117"/>
      <c r="AZ4035" s="117"/>
      <c r="BA4035" s="117"/>
      <c r="BB4035" s="117"/>
      <c r="BC4035" s="117"/>
      <c r="BD4035" s="117"/>
    </row>
    <row r="4036" spans="1:56" ht="18">
      <c r="A4036" s="114"/>
      <c r="B4036" s="388" t="s">
        <v>1112</v>
      </c>
      <c r="C4036" s="389">
        <v>0.4</v>
      </c>
      <c r="D4036" s="390" t="s">
        <v>10</v>
      </c>
      <c r="E4036" s="196"/>
      <c r="F4036" s="405"/>
      <c r="G4036" s="406" t="s">
        <v>1147</v>
      </c>
      <c r="H4036" s="409">
        <f>(C4034+2*C4042)*(C4035+2*C4042)</f>
        <v>2.8899999999999997</v>
      </c>
      <c r="I4036" s="405" t="s">
        <v>1143</v>
      </c>
      <c r="J4036" s="405"/>
      <c r="AX4036" s="117"/>
      <c r="AY4036" s="117"/>
      <c r="AZ4036" s="117"/>
      <c r="BA4036" s="117"/>
      <c r="BB4036" s="117"/>
      <c r="BC4036" s="117"/>
      <c r="BD4036" s="117"/>
    </row>
    <row r="4037" spans="1:56" ht="15">
      <c r="A4037" s="114"/>
      <c r="B4037" s="388" t="s">
        <v>1113</v>
      </c>
      <c r="C4037" s="389">
        <v>0.8</v>
      </c>
      <c r="D4037" s="390" t="s">
        <v>10</v>
      </c>
      <c r="E4037" s="196"/>
      <c r="F4037" s="405"/>
      <c r="G4037" s="406"/>
      <c r="H4037" s="407"/>
      <c r="I4037" s="405"/>
      <c r="J4037" s="405"/>
      <c r="AX4037" s="117"/>
      <c r="AY4037" s="117"/>
      <c r="AZ4037" s="117"/>
      <c r="BA4037" s="117"/>
      <c r="BB4037" s="117"/>
      <c r="BC4037" s="117"/>
      <c r="BD4037" s="117"/>
    </row>
    <row r="4038" spans="1:56" ht="15">
      <c r="A4038" s="114"/>
      <c r="B4038" s="388" t="s">
        <v>1117</v>
      </c>
      <c r="C4038" s="391">
        <v>2</v>
      </c>
      <c r="D4038" s="390" t="s">
        <v>1118</v>
      </c>
      <c r="E4038" s="196"/>
      <c r="F4038" s="405"/>
      <c r="G4038" s="406"/>
      <c r="H4038" s="407"/>
      <c r="I4038" s="405"/>
      <c r="J4038" s="405"/>
      <c r="AX4038" s="117"/>
      <c r="AY4038" s="117"/>
      <c r="AZ4038" s="117"/>
      <c r="BA4038" s="117"/>
      <c r="BB4038" s="117"/>
      <c r="BC4038" s="117"/>
      <c r="BD4038" s="117"/>
    </row>
    <row r="4039" spans="1:56" ht="15">
      <c r="A4039" s="114"/>
      <c r="B4039" s="196" t="s">
        <v>1148</v>
      </c>
      <c r="C4039" s="393"/>
      <c r="D4039" s="196"/>
      <c r="E4039" s="196"/>
      <c r="F4039" s="405"/>
      <c r="G4039" s="406"/>
      <c r="H4039" s="407"/>
      <c r="I4039" s="405"/>
      <c r="J4039" s="405"/>
      <c r="AX4039" s="117"/>
      <c r="AY4039" s="117"/>
      <c r="AZ4039" s="117"/>
      <c r="BA4039" s="117"/>
      <c r="BB4039" s="117"/>
      <c r="BC4039" s="117"/>
      <c r="BD4039" s="117"/>
    </row>
    <row r="4040" spans="1:56" ht="15">
      <c r="A4040" s="114"/>
      <c r="B4040" s="388" t="s">
        <v>1149</v>
      </c>
      <c r="C4040" s="389">
        <v>60</v>
      </c>
      <c r="D4040" s="390" t="s">
        <v>1150</v>
      </c>
      <c r="E4040" s="196"/>
      <c r="F4040" s="196"/>
      <c r="G4040" s="392"/>
      <c r="H4040" s="393"/>
      <c r="I4040" s="196"/>
      <c r="J4040" s="196"/>
      <c r="AX4040" s="117"/>
      <c r="AY4040" s="117"/>
      <c r="AZ4040" s="117"/>
      <c r="BA4040" s="117"/>
      <c r="BB4040" s="117"/>
      <c r="BC4040" s="117"/>
      <c r="BD4040" s="117"/>
    </row>
    <row r="4041" spans="1:56" ht="15">
      <c r="A4041" s="114"/>
      <c r="B4041" s="362"/>
      <c r="C4041" s="196"/>
      <c r="D4041" s="196"/>
      <c r="E4041" s="196"/>
      <c r="F4041" s="196"/>
      <c r="G4041" s="362"/>
      <c r="H4041" s="362"/>
      <c r="I4041" s="362"/>
      <c r="J4041" s="196"/>
      <c r="AX4041" s="117"/>
      <c r="AY4041" s="117"/>
      <c r="AZ4041" s="117"/>
      <c r="BA4041" s="117"/>
      <c r="BB4041" s="117"/>
      <c r="BC4041" s="117"/>
      <c r="BD4041" s="117"/>
    </row>
    <row r="4042" spans="1:56" ht="15">
      <c r="A4042" s="114"/>
      <c r="B4042" s="388" t="s">
        <v>1114</v>
      </c>
      <c r="C4042" s="389">
        <v>0.5</v>
      </c>
      <c r="D4042" s="390" t="s">
        <v>10</v>
      </c>
      <c r="E4042" s="288" t="s">
        <v>1120</v>
      </c>
      <c r="F4042" s="196"/>
      <c r="G4042" s="196" t="s">
        <v>1131</v>
      </c>
      <c r="H4042" s="114"/>
      <c r="I4042" s="114"/>
      <c r="J4042" s="196"/>
      <c r="AX4042" s="117"/>
      <c r="AY4042" s="117"/>
      <c r="AZ4042" s="117"/>
      <c r="BA4042" s="117"/>
      <c r="BB4042" s="117"/>
      <c r="BC4042" s="117"/>
      <c r="BD4042" s="117"/>
    </row>
    <row r="4043" spans="1:56" ht="15">
      <c r="A4043" s="114"/>
      <c r="B4043" s="388" t="s">
        <v>1114</v>
      </c>
      <c r="C4043" s="389">
        <v>0.1</v>
      </c>
      <c r="D4043" s="390" t="s">
        <v>10</v>
      </c>
      <c r="E4043" s="288" t="s">
        <v>1121</v>
      </c>
      <c r="F4043" s="196"/>
      <c r="G4043" s="196"/>
      <c r="H4043" s="196"/>
      <c r="I4043" s="196"/>
      <c r="J4043" s="196"/>
      <c r="AX4043" s="117"/>
      <c r="AY4043" s="117"/>
      <c r="AZ4043" s="117"/>
      <c r="BA4043" s="117"/>
      <c r="BB4043" s="117"/>
      <c r="BC4043" s="117"/>
      <c r="BD4043" s="117"/>
    </row>
    <row r="4044" spans="1:56" ht="15">
      <c r="A4044" s="114"/>
      <c r="B4044" s="362"/>
      <c r="C4044" s="362"/>
      <c r="D4044" s="362"/>
      <c r="E4044" s="362"/>
      <c r="F4044" s="362"/>
      <c r="G4044" s="114"/>
      <c r="H4044" s="362"/>
      <c r="I4044" s="196"/>
      <c r="J4044" s="196"/>
      <c r="AX4044" s="117"/>
      <c r="AY4044" s="117"/>
      <c r="AZ4044" s="117"/>
      <c r="BA4044" s="117"/>
      <c r="BB4044" s="117"/>
      <c r="BC4044" s="117"/>
      <c r="BD4044" s="117"/>
    </row>
    <row r="4045" spans="1:56" ht="15">
      <c r="A4045" s="114"/>
      <c r="B4045" s="303" t="s">
        <v>1122</v>
      </c>
      <c r="C4045" s="362"/>
      <c r="D4045" s="362"/>
      <c r="E4045" s="362"/>
      <c r="F4045" s="362"/>
      <c r="G4045" s="196"/>
      <c r="H4045" s="196"/>
      <c r="I4045" s="196"/>
      <c r="J4045" s="196"/>
      <c r="AX4045" s="117"/>
      <c r="AY4045" s="117"/>
      <c r="AZ4045" s="117"/>
      <c r="BA4045" s="117"/>
      <c r="BB4045" s="117"/>
      <c r="BC4045" s="117"/>
      <c r="BD4045" s="117"/>
    </row>
    <row r="4046" spans="1:56" ht="18">
      <c r="A4046" s="114"/>
      <c r="B4046" s="398" t="s">
        <v>1123</v>
      </c>
      <c r="C4046" s="172"/>
      <c r="D4046" s="173"/>
      <c r="E4046" s="397">
        <f>C4038*((H4036+H4035)/2)*(C4036+C4037+0.05)</f>
        <v>15.963513276804639</v>
      </c>
      <c r="F4046" s="390" t="s">
        <v>1124</v>
      </c>
      <c r="G4046" s="196"/>
      <c r="H4046" s="362"/>
      <c r="I4046" s="362"/>
      <c r="J4046" s="362"/>
      <c r="AX4046" s="117"/>
      <c r="AY4046" s="117"/>
      <c r="AZ4046" s="117"/>
      <c r="BA4046" s="117"/>
      <c r="BB4046" s="117"/>
      <c r="BC4046" s="117"/>
      <c r="BD4046" s="117"/>
    </row>
    <row r="4047" spans="1:56" ht="18">
      <c r="A4047" s="114"/>
      <c r="B4047" s="398" t="s">
        <v>1125</v>
      </c>
      <c r="C4047" s="172"/>
      <c r="D4047" s="173"/>
      <c r="E4047" s="400">
        <f>E4046-(E4058+E4060)</f>
        <v>15.098513276804638</v>
      </c>
      <c r="F4047" s="390" t="s">
        <v>1124</v>
      </c>
      <c r="G4047" s="196"/>
      <c r="H4047" s="196"/>
      <c r="I4047" s="196"/>
      <c r="J4047" s="196"/>
      <c r="AX4047" s="117"/>
      <c r="AY4047" s="117"/>
      <c r="AZ4047" s="117"/>
      <c r="BA4047" s="117"/>
      <c r="BB4047" s="117"/>
      <c r="BC4047" s="117"/>
      <c r="BD4047" s="117"/>
    </row>
    <row r="4048" spans="1:56" ht="15">
      <c r="A4048" s="114"/>
      <c r="B4048" s="398" t="s">
        <v>1126</v>
      </c>
      <c r="C4048" s="172"/>
      <c r="D4048" s="173"/>
      <c r="E4048" s="400">
        <f>((C4034+2*C4043)*(C4035+2*C4043))*C4038</f>
        <v>1.6199999999999997</v>
      </c>
      <c r="F4048" s="390" t="s">
        <v>13</v>
      </c>
      <c r="G4048" s="362"/>
      <c r="H4048" s="362"/>
      <c r="I4048" s="362"/>
      <c r="J4048" s="362"/>
      <c r="AX4048" s="117"/>
      <c r="AY4048" s="117"/>
      <c r="AZ4048" s="117"/>
      <c r="BA4048" s="117"/>
      <c r="BB4048" s="117"/>
      <c r="BC4048" s="117"/>
      <c r="BD4048" s="117"/>
    </row>
    <row r="4049" spans="1:56" ht="15">
      <c r="A4049" s="114"/>
      <c r="B4049" s="362"/>
      <c r="C4049" s="362"/>
      <c r="D4049" s="362"/>
      <c r="E4049" s="401"/>
      <c r="F4049" s="196"/>
      <c r="G4049" s="362"/>
      <c r="H4049" s="362"/>
      <c r="I4049" s="362"/>
      <c r="J4049" s="362"/>
      <c r="AX4049" s="117"/>
      <c r="AY4049" s="117"/>
      <c r="AZ4049" s="117"/>
      <c r="BA4049" s="117"/>
      <c r="BB4049" s="117"/>
      <c r="BC4049" s="117"/>
      <c r="BD4049" s="117"/>
    </row>
    <row r="4050" spans="1:56" ht="15">
      <c r="A4050" s="114"/>
      <c r="B4050" s="303" t="s">
        <v>1162</v>
      </c>
      <c r="C4050" s="362"/>
      <c r="D4050" s="362"/>
      <c r="E4050" s="410"/>
      <c r="F4050" s="362"/>
      <c r="G4050" s="362"/>
      <c r="H4050" s="362"/>
      <c r="I4050" s="362"/>
      <c r="J4050" s="362"/>
      <c r="AX4050" s="117"/>
      <c r="AY4050" s="117"/>
      <c r="AZ4050" s="117"/>
      <c r="BA4050" s="117"/>
      <c r="BB4050" s="117"/>
      <c r="BC4050" s="117"/>
      <c r="BD4050" s="117"/>
    </row>
    <row r="4051" spans="1:56" ht="15">
      <c r="A4051" s="114"/>
      <c r="B4051" s="398" t="s">
        <v>1152</v>
      </c>
      <c r="C4051" s="398"/>
      <c r="D4051" s="366"/>
      <c r="E4051" s="411">
        <v>1</v>
      </c>
      <c r="F4051" s="390" t="s">
        <v>1153</v>
      </c>
      <c r="G4051" s="362"/>
      <c r="H4051" s="362"/>
      <c r="I4051" s="362"/>
      <c r="J4051" s="362"/>
      <c r="AX4051" s="117"/>
      <c r="AY4051" s="117"/>
      <c r="AZ4051" s="117"/>
      <c r="BA4051" s="117"/>
      <c r="BB4051" s="117"/>
      <c r="BC4051" s="117"/>
      <c r="BD4051" s="117"/>
    </row>
    <row r="4052" spans="1:56" ht="15">
      <c r="A4052" s="114"/>
      <c r="B4052" s="399" t="s">
        <v>1154</v>
      </c>
      <c r="C4052" s="31"/>
      <c r="D4052" s="32"/>
      <c r="E4052" s="412">
        <f>C4038*E4051</f>
        <v>2</v>
      </c>
      <c r="F4052" s="390" t="s">
        <v>1153</v>
      </c>
      <c r="G4052" s="362"/>
      <c r="H4052" s="362"/>
      <c r="I4052" s="362"/>
      <c r="J4052" s="362"/>
      <c r="AX4052" s="117"/>
      <c r="AY4052" s="117"/>
      <c r="AZ4052" s="117"/>
      <c r="BA4052" s="117"/>
      <c r="BB4052" s="117"/>
      <c r="BC4052" s="117"/>
      <c r="BD4052" s="117"/>
    </row>
    <row r="4053" spans="1:56" ht="15">
      <c r="A4053" s="114"/>
      <c r="B4053" s="398" t="s">
        <v>1155</v>
      </c>
      <c r="C4053" s="21"/>
      <c r="D4053" s="413"/>
      <c r="E4053" s="411">
        <v>350</v>
      </c>
      <c r="F4053" s="390" t="s">
        <v>1156</v>
      </c>
      <c r="G4053" s="362"/>
      <c r="H4053" s="414"/>
      <c r="I4053" s="362"/>
      <c r="J4053" s="415"/>
      <c r="AX4053" s="117"/>
      <c r="AY4053" s="117"/>
      <c r="AZ4053" s="117"/>
      <c r="BA4053" s="117"/>
      <c r="BB4053" s="117"/>
      <c r="BC4053" s="117"/>
      <c r="BD4053" s="117"/>
    </row>
    <row r="4054" spans="1:56" ht="15">
      <c r="A4054" s="114"/>
      <c r="B4054" s="398" t="s">
        <v>1157</v>
      </c>
      <c r="C4054" s="21"/>
      <c r="D4054" s="413"/>
      <c r="E4054" s="451">
        <v>17</v>
      </c>
      <c r="F4054" s="390" t="s">
        <v>10</v>
      </c>
      <c r="G4054" s="362"/>
      <c r="H4054" s="6"/>
      <c r="I4054" s="362"/>
      <c r="J4054" s="362"/>
      <c r="AX4054" s="117"/>
      <c r="AY4054" s="117"/>
      <c r="AZ4054" s="117"/>
      <c r="BA4054" s="117"/>
      <c r="BB4054" s="117"/>
      <c r="BC4054" s="117"/>
      <c r="BD4054" s="117"/>
    </row>
    <row r="4055" spans="1:56" ht="15">
      <c r="A4055" s="114"/>
      <c r="B4055" s="398" t="s">
        <v>1158</v>
      </c>
      <c r="C4055" s="21"/>
      <c r="D4055" s="413"/>
      <c r="E4055" s="397">
        <f>E4052*E4054</f>
        <v>34</v>
      </c>
      <c r="F4055" s="390" t="s">
        <v>10</v>
      </c>
      <c r="G4055" s="362"/>
      <c r="H4055" s="362"/>
      <c r="I4055" s="362"/>
      <c r="J4055" s="362"/>
      <c r="AX4055" s="117"/>
      <c r="AY4055" s="117"/>
      <c r="AZ4055" s="117"/>
      <c r="BA4055" s="117"/>
      <c r="BB4055" s="117"/>
      <c r="BC4055" s="117"/>
      <c r="BD4055" s="117"/>
    </row>
    <row r="4056" spans="1:56" ht="15">
      <c r="A4056" s="114"/>
      <c r="B4056" s="362"/>
      <c r="C4056" s="362"/>
      <c r="D4056" s="362"/>
      <c r="E4056" s="410"/>
      <c r="F4056" s="362"/>
      <c r="G4056" s="362"/>
      <c r="H4056" s="362"/>
      <c r="I4056" s="362"/>
      <c r="J4056" s="362"/>
      <c r="AX4056" s="117"/>
      <c r="AY4056" s="117"/>
      <c r="AZ4056" s="117"/>
      <c r="BA4056" s="117"/>
      <c r="BB4056" s="117"/>
      <c r="BC4056" s="117"/>
      <c r="BD4056" s="117"/>
    </row>
    <row r="4057" spans="1:56" ht="15">
      <c r="A4057" s="114"/>
      <c r="B4057" s="303" t="s">
        <v>1160</v>
      </c>
      <c r="C4057" s="362"/>
      <c r="D4057" s="362"/>
      <c r="E4057" s="410"/>
      <c r="F4057" s="362"/>
      <c r="G4057" s="362"/>
      <c r="H4057" s="362"/>
      <c r="I4057" s="362"/>
      <c r="J4057" s="362"/>
      <c r="AX4057" s="117"/>
      <c r="AY4057" s="117"/>
      <c r="AZ4057" s="117"/>
      <c r="BA4057" s="117"/>
      <c r="BB4057" s="117"/>
      <c r="BC4057" s="117"/>
      <c r="BD4057" s="117"/>
    </row>
    <row r="4058" spans="1:56" ht="18">
      <c r="A4058" s="114"/>
      <c r="B4058" s="398" t="s">
        <v>1128</v>
      </c>
      <c r="C4058" s="172"/>
      <c r="D4058" s="173"/>
      <c r="E4058" s="402">
        <f>E4048*0.05</f>
        <v>8.0999999999999989E-2</v>
      </c>
      <c r="F4058" s="390" t="s">
        <v>1124</v>
      </c>
      <c r="G4058" s="362"/>
      <c r="H4058" s="362"/>
      <c r="I4058" s="362"/>
      <c r="J4058" s="362"/>
      <c r="AX4058" s="117"/>
      <c r="AY4058" s="117"/>
      <c r="AZ4058" s="117"/>
      <c r="BA4058" s="117"/>
      <c r="BB4058" s="117"/>
      <c r="BC4058" s="117"/>
      <c r="BD4058" s="117"/>
    </row>
    <row r="4059" spans="1:56" ht="15">
      <c r="A4059" s="114"/>
      <c r="B4059" s="398" t="s">
        <v>1129</v>
      </c>
      <c r="C4059" s="172"/>
      <c r="D4059" s="173"/>
      <c r="E4059" s="397">
        <f>(2*(C4034+C4035)*C4037)*C4038</f>
        <v>4.4799999999999995</v>
      </c>
      <c r="F4059" s="390" t="s">
        <v>13</v>
      </c>
      <c r="G4059" s="362"/>
      <c r="H4059" s="362"/>
      <c r="I4059" s="362"/>
      <c r="J4059" s="362"/>
      <c r="AX4059" s="117"/>
      <c r="AY4059" s="117"/>
      <c r="AZ4059" s="117"/>
      <c r="BA4059" s="117"/>
      <c r="BB4059" s="117"/>
      <c r="BC4059" s="117"/>
      <c r="BD4059" s="117"/>
    </row>
    <row r="4060" spans="1:56" ht="18">
      <c r="A4060" s="114"/>
      <c r="B4060" s="398" t="s">
        <v>1130</v>
      </c>
      <c r="C4060" s="172"/>
      <c r="D4060" s="173"/>
      <c r="E4060" s="402">
        <f>(C4034*C4035*C4037)*C4038</f>
        <v>0.78399999999999992</v>
      </c>
      <c r="F4060" s="390" t="s">
        <v>1124</v>
      </c>
      <c r="G4060" s="362"/>
      <c r="H4060" s="362"/>
      <c r="I4060" s="362"/>
      <c r="J4060" s="362"/>
      <c r="AX4060" s="117"/>
      <c r="AY4060" s="117"/>
      <c r="AZ4060" s="117"/>
      <c r="BA4060" s="117"/>
      <c r="BB4060" s="117"/>
      <c r="BC4060" s="117"/>
      <c r="BD4060" s="117"/>
    </row>
    <row r="4061" spans="1:56" ht="15">
      <c r="A4061" s="114"/>
      <c r="B4061" s="288"/>
      <c r="C4061" s="230"/>
      <c r="D4061" s="230"/>
      <c r="E4061" s="384"/>
      <c r="F4061" s="196"/>
      <c r="G4061" s="196"/>
      <c r="H4061" s="196"/>
      <c r="I4061" s="196"/>
      <c r="J4061" s="114"/>
      <c r="AW4061" s="117"/>
      <c r="AX4061" s="117"/>
      <c r="AY4061" s="117"/>
      <c r="AZ4061" s="117"/>
      <c r="BA4061" s="117"/>
      <c r="BB4061" s="117"/>
      <c r="BC4061" s="117"/>
      <c r="BD4061" s="117"/>
    </row>
    <row r="4062" spans="1:56" ht="15">
      <c r="A4062" s="114"/>
      <c r="B4062" s="288"/>
      <c r="C4062" s="230"/>
      <c r="D4062" s="230"/>
      <c r="E4062" s="384"/>
      <c r="F4062" s="196"/>
      <c r="G4062" s="196"/>
      <c r="H4062" s="196"/>
      <c r="I4062" s="196"/>
      <c r="J4062" s="114"/>
      <c r="AW4062" s="117"/>
      <c r="AX4062" s="117"/>
      <c r="AY4062" s="117"/>
      <c r="AZ4062" s="117"/>
      <c r="BA4062" s="117"/>
      <c r="BB4062" s="117"/>
      <c r="BC4062" s="117"/>
      <c r="BD4062" s="117"/>
    </row>
    <row r="4063" spans="1:56" customFormat="1" ht="12.75">
      <c r="B4063" s="362"/>
      <c r="C4063" s="362"/>
      <c r="D4063" s="362"/>
      <c r="E4063" s="362"/>
      <c r="F4063" s="362"/>
      <c r="G4063" s="362"/>
      <c r="H4063" s="362"/>
      <c r="I4063" s="362"/>
      <c r="J4063" s="362"/>
    </row>
    <row r="4064" spans="1:56">
      <c r="A4064" s="114"/>
      <c r="B4064" s="385" t="s">
        <v>1273</v>
      </c>
      <c r="C4064" s="196"/>
      <c r="D4064" s="196"/>
      <c r="E4064" s="196"/>
      <c r="F4064" s="196"/>
      <c r="G4064" s="196"/>
      <c r="H4064" s="196"/>
      <c r="I4064" s="196"/>
      <c r="J4064" s="196"/>
      <c r="AX4064" s="117"/>
      <c r="AY4064" s="117"/>
      <c r="AZ4064" s="117"/>
      <c r="BA4064" s="117"/>
      <c r="BB4064" s="117"/>
      <c r="BC4064" s="117"/>
      <c r="BD4064" s="117"/>
    </row>
    <row r="4065" spans="1:56" ht="15">
      <c r="A4065" s="114"/>
      <c r="B4065" s="362"/>
      <c r="C4065" s="362"/>
      <c r="D4065" s="362"/>
      <c r="E4065" s="362"/>
      <c r="F4065" s="404"/>
      <c r="G4065" s="404"/>
      <c r="H4065" s="404"/>
      <c r="I4065" s="404"/>
      <c r="J4065" s="404"/>
      <c r="AX4065" s="117"/>
      <c r="AY4065" s="117"/>
      <c r="AZ4065" s="117"/>
      <c r="BA4065" s="117"/>
      <c r="BB4065" s="117"/>
      <c r="BC4065" s="117"/>
      <c r="BD4065" s="117"/>
    </row>
    <row r="4066" spans="1:56" ht="18">
      <c r="A4066" s="114"/>
      <c r="B4066" s="388" t="s">
        <v>1141</v>
      </c>
      <c r="C4066" s="389">
        <v>0</v>
      </c>
      <c r="D4066" s="390" t="s">
        <v>10</v>
      </c>
      <c r="E4066" s="196"/>
      <c r="F4066" s="405"/>
      <c r="G4066" s="406" t="s">
        <v>1142</v>
      </c>
      <c r="H4066" s="407">
        <f>C4066*C4067</f>
        <v>0</v>
      </c>
      <c r="I4066" s="405" t="s">
        <v>1143</v>
      </c>
      <c r="J4066" s="405"/>
      <c r="AX4066" s="117"/>
      <c r="AY4066" s="117"/>
      <c r="AZ4066" s="117"/>
      <c r="BA4066" s="117"/>
      <c r="BB4066" s="117"/>
      <c r="BC4066" s="117"/>
      <c r="BD4066" s="117"/>
    </row>
    <row r="4067" spans="1:56" ht="15">
      <c r="A4067" s="114"/>
      <c r="B4067" s="388" t="s">
        <v>1144</v>
      </c>
      <c r="C4067" s="389">
        <v>0</v>
      </c>
      <c r="D4067" s="390" t="s">
        <v>10</v>
      </c>
      <c r="E4067" s="196"/>
      <c r="F4067" s="405"/>
      <c r="G4067" s="406" t="e">
        <f>TEXT(C4074,"tg 0°=")</f>
        <v>#VALUE!</v>
      </c>
      <c r="H4067" s="408">
        <f>TAN(3.14159265359*C4074/180)</f>
        <v>1.732050807569153</v>
      </c>
      <c r="I4067" s="405"/>
      <c r="J4067" s="405"/>
      <c r="AX4067" s="117"/>
      <c r="AY4067" s="117"/>
      <c r="AZ4067" s="117"/>
      <c r="BA4067" s="117"/>
      <c r="BB4067" s="117"/>
      <c r="BC4067" s="117"/>
      <c r="BD4067" s="117"/>
    </row>
    <row r="4068" spans="1:56" ht="15">
      <c r="A4068" s="114"/>
      <c r="B4068" s="388" t="s">
        <v>1145</v>
      </c>
      <c r="C4068" s="389">
        <v>1.75</v>
      </c>
      <c r="D4068" s="390" t="s">
        <v>10</v>
      </c>
      <c r="E4068" s="196"/>
      <c r="F4068" s="405"/>
      <c r="G4068" s="406"/>
      <c r="H4068" s="407"/>
      <c r="I4068" s="405"/>
      <c r="J4068" s="405"/>
      <c r="AX4068" s="117"/>
      <c r="AY4068" s="117"/>
      <c r="AZ4068" s="117"/>
      <c r="BA4068" s="117"/>
      <c r="BB4068" s="117"/>
      <c r="BC4068" s="117"/>
      <c r="BD4068" s="117"/>
    </row>
    <row r="4069" spans="1:56" ht="18">
      <c r="A4069" s="114"/>
      <c r="B4069" s="388" t="s">
        <v>1146</v>
      </c>
      <c r="C4069" s="389">
        <v>0.7</v>
      </c>
      <c r="D4069" s="390" t="s">
        <v>10</v>
      </c>
      <c r="E4069" s="196"/>
      <c r="F4069" s="405"/>
      <c r="G4069" s="406" t="s">
        <v>1142</v>
      </c>
      <c r="H4069" s="409">
        <f>(C4068+2*C4076+((C4070+C4071+0.05)/H4067)*2)*(C4069+2*C4076+((C4070+C4071+0.05)/H4067)*2)</f>
        <v>14.929038557223375</v>
      </c>
      <c r="I4069" s="405" t="s">
        <v>1143</v>
      </c>
      <c r="J4069" s="405"/>
      <c r="AX4069" s="117"/>
      <c r="AY4069" s="117"/>
      <c r="AZ4069" s="117"/>
      <c r="BA4069" s="117"/>
      <c r="BB4069" s="117"/>
      <c r="BC4069" s="117"/>
      <c r="BD4069" s="117"/>
    </row>
    <row r="4070" spans="1:56" ht="18">
      <c r="A4070" s="114"/>
      <c r="B4070" s="388" t="s">
        <v>1112</v>
      </c>
      <c r="C4070" s="389">
        <v>0.4</v>
      </c>
      <c r="D4070" s="390" t="s">
        <v>10</v>
      </c>
      <c r="E4070" s="196"/>
      <c r="F4070" s="405"/>
      <c r="G4070" s="406" t="s">
        <v>1147</v>
      </c>
      <c r="H4070" s="409">
        <f>(C4068+2*C4076)*(C4069+2*C4076)</f>
        <v>4.6749999999999998</v>
      </c>
      <c r="I4070" s="405" t="s">
        <v>1143</v>
      </c>
      <c r="J4070" s="405"/>
      <c r="AX4070" s="117"/>
      <c r="AY4070" s="117"/>
      <c r="AZ4070" s="117"/>
      <c r="BA4070" s="117"/>
      <c r="BB4070" s="117"/>
      <c r="BC4070" s="117"/>
      <c r="BD4070" s="117"/>
    </row>
    <row r="4071" spans="1:56" ht="15">
      <c r="A4071" s="114"/>
      <c r="B4071" s="388" t="s">
        <v>1113</v>
      </c>
      <c r="C4071" s="389">
        <v>1</v>
      </c>
      <c r="D4071" s="390" t="s">
        <v>10</v>
      </c>
      <c r="E4071" s="196"/>
      <c r="F4071" s="405"/>
      <c r="G4071" s="406"/>
      <c r="H4071" s="407"/>
      <c r="I4071" s="405"/>
      <c r="J4071" s="405"/>
      <c r="AX4071" s="117"/>
      <c r="AY4071" s="117"/>
      <c r="AZ4071" s="117"/>
      <c r="BA4071" s="117"/>
      <c r="BB4071" s="117"/>
      <c r="BC4071" s="117"/>
      <c r="BD4071" s="117"/>
    </row>
    <row r="4072" spans="1:56" ht="15">
      <c r="A4072" s="114"/>
      <c r="B4072" s="388" t="s">
        <v>1117</v>
      </c>
      <c r="C4072" s="391">
        <v>1</v>
      </c>
      <c r="D4072" s="390" t="s">
        <v>1118</v>
      </c>
      <c r="E4072" s="196"/>
      <c r="F4072" s="405"/>
      <c r="G4072" s="406"/>
      <c r="H4072" s="407"/>
      <c r="I4072" s="405"/>
      <c r="J4072" s="405"/>
      <c r="AX4072" s="117"/>
      <c r="AY4072" s="117"/>
      <c r="AZ4072" s="117"/>
      <c r="BA4072" s="117"/>
      <c r="BB4072" s="117"/>
      <c r="BC4072" s="117"/>
      <c r="BD4072" s="117"/>
    </row>
    <row r="4073" spans="1:56" ht="15">
      <c r="A4073" s="114"/>
      <c r="B4073" s="196" t="s">
        <v>1148</v>
      </c>
      <c r="C4073" s="393"/>
      <c r="D4073" s="196"/>
      <c r="E4073" s="196"/>
      <c r="F4073" s="405"/>
      <c r="G4073" s="406"/>
      <c r="H4073" s="407"/>
      <c r="I4073" s="405"/>
      <c r="J4073" s="405"/>
      <c r="AX4073" s="117"/>
      <c r="AY4073" s="117"/>
      <c r="AZ4073" s="117"/>
      <c r="BA4073" s="117"/>
      <c r="BB4073" s="117"/>
      <c r="BC4073" s="117"/>
      <c r="BD4073" s="117"/>
    </row>
    <row r="4074" spans="1:56" ht="15">
      <c r="A4074" s="114"/>
      <c r="B4074" s="388" t="s">
        <v>1149</v>
      </c>
      <c r="C4074" s="389">
        <v>60</v>
      </c>
      <c r="D4074" s="390" t="s">
        <v>1150</v>
      </c>
      <c r="E4074" s="196"/>
      <c r="F4074" s="196"/>
      <c r="G4074" s="392"/>
      <c r="H4074" s="393"/>
      <c r="I4074" s="196"/>
      <c r="J4074" s="196"/>
      <c r="AX4074" s="117"/>
      <c r="AY4074" s="117"/>
      <c r="AZ4074" s="117"/>
      <c r="BA4074" s="117"/>
      <c r="BB4074" s="117"/>
      <c r="BC4074" s="117"/>
      <c r="BD4074" s="117"/>
    </row>
    <row r="4075" spans="1:56" ht="15">
      <c r="A4075" s="114"/>
      <c r="B4075" s="362"/>
      <c r="C4075" s="196"/>
      <c r="D4075" s="196"/>
      <c r="E4075" s="196"/>
      <c r="F4075" s="196"/>
      <c r="G4075" s="362"/>
      <c r="H4075" s="362"/>
      <c r="I4075" s="362"/>
      <c r="J4075" s="196"/>
      <c r="AX4075" s="117"/>
      <c r="AY4075" s="117"/>
      <c r="AZ4075" s="117"/>
      <c r="BA4075" s="117"/>
      <c r="BB4075" s="117"/>
      <c r="BC4075" s="117"/>
      <c r="BD4075" s="117"/>
    </row>
    <row r="4076" spans="1:56" ht="15">
      <c r="A4076" s="114"/>
      <c r="B4076" s="388" t="s">
        <v>1114</v>
      </c>
      <c r="C4076" s="389">
        <v>0.5</v>
      </c>
      <c r="D4076" s="390" t="s">
        <v>10</v>
      </c>
      <c r="E4076" s="288" t="s">
        <v>1120</v>
      </c>
      <c r="F4076" s="196"/>
      <c r="G4076" s="196" t="s">
        <v>1131</v>
      </c>
      <c r="H4076" s="114"/>
      <c r="I4076" s="114"/>
      <c r="J4076" s="196"/>
      <c r="AX4076" s="117"/>
      <c r="AY4076" s="117"/>
      <c r="AZ4076" s="117"/>
      <c r="BA4076" s="117"/>
      <c r="BB4076" s="117"/>
      <c r="BC4076" s="117"/>
      <c r="BD4076" s="117"/>
    </row>
    <row r="4077" spans="1:56" ht="15">
      <c r="A4077" s="114"/>
      <c r="B4077" s="388" t="s">
        <v>1114</v>
      </c>
      <c r="C4077" s="389">
        <v>0.1</v>
      </c>
      <c r="D4077" s="390" t="s">
        <v>10</v>
      </c>
      <c r="E4077" s="288" t="s">
        <v>1121</v>
      </c>
      <c r="F4077" s="196"/>
      <c r="G4077" s="196"/>
      <c r="H4077" s="196"/>
      <c r="I4077" s="196"/>
      <c r="J4077" s="196"/>
      <c r="AX4077" s="117"/>
      <c r="AY4077" s="117"/>
      <c r="AZ4077" s="117"/>
      <c r="BA4077" s="117"/>
      <c r="BB4077" s="117"/>
      <c r="BC4077" s="117"/>
      <c r="BD4077" s="117"/>
    </row>
    <row r="4078" spans="1:56" ht="15">
      <c r="A4078" s="114"/>
      <c r="B4078" s="362"/>
      <c r="C4078" s="362"/>
      <c r="D4078" s="362"/>
      <c r="E4078" s="362"/>
      <c r="F4078" s="362"/>
      <c r="G4078" s="114"/>
      <c r="H4078" s="362"/>
      <c r="I4078" s="196"/>
      <c r="J4078" s="196"/>
      <c r="AX4078" s="117"/>
      <c r="AY4078" s="117"/>
      <c r="AZ4078" s="117"/>
      <c r="BA4078" s="117"/>
      <c r="BB4078" s="117"/>
      <c r="BC4078" s="117"/>
      <c r="BD4078" s="117"/>
    </row>
    <row r="4079" spans="1:56" ht="15">
      <c r="A4079" s="114"/>
      <c r="B4079" s="303" t="s">
        <v>1122</v>
      </c>
      <c r="C4079" s="362"/>
      <c r="D4079" s="362"/>
      <c r="E4079" s="362"/>
      <c r="F4079" s="362"/>
      <c r="G4079" s="196"/>
      <c r="H4079" s="196"/>
      <c r="I4079" s="196"/>
      <c r="J4079" s="196"/>
      <c r="AX4079" s="117"/>
      <c r="AY4079" s="117"/>
      <c r="AZ4079" s="117"/>
      <c r="BA4079" s="117"/>
      <c r="BB4079" s="117"/>
      <c r="BC4079" s="117"/>
      <c r="BD4079" s="117"/>
    </row>
    <row r="4080" spans="1:56" ht="18">
      <c r="A4080" s="114"/>
      <c r="B4080" s="398" t="s">
        <v>1123</v>
      </c>
      <c r="C4080" s="172"/>
      <c r="D4080" s="173"/>
      <c r="E4080" s="397">
        <f>C4072*((H4070+H4069)/2)*(C4070+C4071+0.05)</f>
        <v>14.212927953986947</v>
      </c>
      <c r="F4080" s="390" t="s">
        <v>1124</v>
      </c>
      <c r="G4080" s="196"/>
      <c r="H4080" s="362"/>
      <c r="I4080" s="362"/>
      <c r="J4080" s="362"/>
      <c r="AX4080" s="117"/>
      <c r="AY4080" s="117"/>
      <c r="AZ4080" s="117"/>
      <c r="BA4080" s="117"/>
      <c r="BB4080" s="117"/>
      <c r="BC4080" s="117"/>
      <c r="BD4080" s="117"/>
    </row>
    <row r="4081" spans="1:56" ht="18">
      <c r="A4081" s="114"/>
      <c r="B4081" s="398" t="s">
        <v>1125</v>
      </c>
      <c r="C4081" s="172"/>
      <c r="D4081" s="173"/>
      <c r="E4081" s="400">
        <f>E4080-(E4092+E4094)</f>
        <v>12.900177953986947</v>
      </c>
      <c r="F4081" s="390" t="s">
        <v>1124</v>
      </c>
      <c r="G4081" s="196"/>
      <c r="H4081" s="196"/>
      <c r="I4081" s="196"/>
      <c r="J4081" s="196"/>
      <c r="AX4081" s="117"/>
      <c r="AY4081" s="117"/>
      <c r="AZ4081" s="117"/>
      <c r="BA4081" s="117"/>
      <c r="BB4081" s="117"/>
      <c r="BC4081" s="117"/>
      <c r="BD4081" s="117"/>
    </row>
    <row r="4082" spans="1:56" ht="15">
      <c r="A4082" s="114"/>
      <c r="B4082" s="398" t="s">
        <v>1126</v>
      </c>
      <c r="C4082" s="172"/>
      <c r="D4082" s="173"/>
      <c r="E4082" s="400">
        <f>((C4068+2*C4077)*(C4069+2*C4077))*C4072</f>
        <v>1.7549999999999999</v>
      </c>
      <c r="F4082" s="390" t="s">
        <v>13</v>
      </c>
      <c r="G4082" s="362"/>
      <c r="H4082" s="362"/>
      <c r="I4082" s="362"/>
      <c r="J4082" s="362"/>
      <c r="AX4082" s="117"/>
      <c r="AY4082" s="117"/>
      <c r="AZ4082" s="117"/>
      <c r="BA4082" s="117"/>
      <c r="BB4082" s="117"/>
      <c r="BC4082" s="117"/>
      <c r="BD4082" s="117"/>
    </row>
    <row r="4083" spans="1:56" ht="15">
      <c r="A4083" s="114"/>
      <c r="B4083" s="362"/>
      <c r="C4083" s="362"/>
      <c r="D4083" s="362"/>
      <c r="E4083" s="401"/>
      <c r="F4083" s="196"/>
      <c r="G4083" s="362"/>
      <c r="H4083" s="362"/>
      <c r="I4083" s="362"/>
      <c r="J4083" s="362"/>
      <c r="AX4083" s="117"/>
      <c r="AY4083" s="117"/>
      <c r="AZ4083" s="117"/>
      <c r="BA4083" s="117"/>
      <c r="BB4083" s="117"/>
      <c r="BC4083" s="117"/>
      <c r="BD4083" s="117"/>
    </row>
    <row r="4084" spans="1:56" ht="15">
      <c r="A4084" s="114"/>
      <c r="B4084" s="303" t="s">
        <v>1162</v>
      </c>
      <c r="C4084" s="362"/>
      <c r="D4084" s="362"/>
      <c r="E4084" s="410"/>
      <c r="F4084" s="362"/>
      <c r="G4084" s="362"/>
      <c r="H4084" s="362"/>
      <c r="I4084" s="362"/>
      <c r="J4084" s="362"/>
      <c r="AX4084" s="117"/>
      <c r="AY4084" s="117"/>
      <c r="AZ4084" s="117"/>
      <c r="BA4084" s="117"/>
      <c r="BB4084" s="117"/>
      <c r="BC4084" s="117"/>
      <c r="BD4084" s="117"/>
    </row>
    <row r="4085" spans="1:56" ht="15">
      <c r="A4085" s="114"/>
      <c r="B4085" s="398" t="s">
        <v>1152</v>
      </c>
      <c r="C4085" s="398"/>
      <c r="D4085" s="366"/>
      <c r="E4085" s="411">
        <v>2</v>
      </c>
      <c r="F4085" s="390" t="s">
        <v>1153</v>
      </c>
      <c r="G4085" s="362"/>
      <c r="H4085" s="362"/>
      <c r="I4085" s="362"/>
      <c r="J4085" s="362"/>
      <c r="AX4085" s="117"/>
      <c r="AY4085" s="117"/>
      <c r="AZ4085" s="117"/>
      <c r="BA4085" s="117"/>
      <c r="BB4085" s="117"/>
      <c r="BC4085" s="117"/>
      <c r="BD4085" s="117"/>
    </row>
    <row r="4086" spans="1:56" ht="15">
      <c r="A4086" s="114"/>
      <c r="B4086" s="399" t="s">
        <v>1154</v>
      </c>
      <c r="C4086" s="31"/>
      <c r="D4086" s="32"/>
      <c r="E4086" s="412">
        <f>C4072*E4085</f>
        <v>2</v>
      </c>
      <c r="F4086" s="390" t="s">
        <v>1153</v>
      </c>
      <c r="G4086" s="362"/>
      <c r="H4086" s="362"/>
      <c r="I4086" s="362"/>
      <c r="J4086" s="362"/>
      <c r="AX4086" s="117"/>
      <c r="AY4086" s="117"/>
      <c r="AZ4086" s="117"/>
      <c r="BA4086" s="117"/>
      <c r="BB4086" s="117"/>
      <c r="BC4086" s="117"/>
      <c r="BD4086" s="117"/>
    </row>
    <row r="4087" spans="1:56" ht="15">
      <c r="A4087" s="114"/>
      <c r="B4087" s="398" t="s">
        <v>1155</v>
      </c>
      <c r="C4087" s="21"/>
      <c r="D4087" s="413"/>
      <c r="E4087" s="411">
        <v>350</v>
      </c>
      <c r="F4087" s="390" t="s">
        <v>1156</v>
      </c>
      <c r="G4087" s="362"/>
      <c r="H4087" s="414"/>
      <c r="I4087" s="362"/>
      <c r="J4087" s="415"/>
      <c r="AX4087" s="117"/>
      <c r="AY4087" s="117"/>
      <c r="AZ4087" s="117"/>
      <c r="BA4087" s="117"/>
      <c r="BB4087" s="117"/>
      <c r="BC4087" s="117"/>
      <c r="BD4087" s="117"/>
    </row>
    <row r="4088" spans="1:56" ht="15">
      <c r="A4088" s="114"/>
      <c r="B4088" s="398" t="s">
        <v>1157</v>
      </c>
      <c r="C4088" s="21"/>
      <c r="D4088" s="413"/>
      <c r="E4088" s="451">
        <v>17</v>
      </c>
      <c r="F4088" s="390" t="s">
        <v>10</v>
      </c>
      <c r="G4088" s="362"/>
      <c r="H4088" s="6"/>
      <c r="I4088" s="362"/>
      <c r="J4088" s="362"/>
      <c r="AX4088" s="117"/>
      <c r="AY4088" s="117"/>
      <c r="AZ4088" s="117"/>
      <c r="BA4088" s="117"/>
      <c r="BB4088" s="117"/>
      <c r="BC4088" s="117"/>
      <c r="BD4088" s="117"/>
    </row>
    <row r="4089" spans="1:56" ht="15">
      <c r="A4089" s="114"/>
      <c r="B4089" s="398" t="s">
        <v>1158</v>
      </c>
      <c r="C4089" s="21"/>
      <c r="D4089" s="413"/>
      <c r="E4089" s="412">
        <f>E4086*E4088</f>
        <v>34</v>
      </c>
      <c r="F4089" s="390" t="s">
        <v>10</v>
      </c>
      <c r="G4089" s="362"/>
      <c r="H4089" s="362"/>
      <c r="I4089" s="362"/>
      <c r="J4089" s="362"/>
      <c r="AX4089" s="117"/>
      <c r="AY4089" s="117"/>
      <c r="AZ4089" s="117"/>
      <c r="BA4089" s="117"/>
      <c r="BB4089" s="117"/>
      <c r="BC4089" s="117"/>
      <c r="BD4089" s="117"/>
    </row>
    <row r="4090" spans="1:56" ht="15">
      <c r="A4090" s="114"/>
      <c r="B4090" s="362"/>
      <c r="C4090" s="362"/>
      <c r="D4090" s="362"/>
      <c r="E4090" s="410"/>
      <c r="F4090" s="362"/>
      <c r="G4090" s="362"/>
      <c r="H4090" s="362"/>
      <c r="I4090" s="362"/>
      <c r="J4090" s="362"/>
      <c r="AX4090" s="117"/>
      <c r="AY4090" s="117"/>
      <c r="AZ4090" s="117"/>
      <c r="BA4090" s="117"/>
      <c r="BB4090" s="117"/>
      <c r="BC4090" s="117"/>
      <c r="BD4090" s="117"/>
    </row>
    <row r="4091" spans="1:56" ht="15">
      <c r="A4091" s="114"/>
      <c r="B4091" s="303" t="s">
        <v>1160</v>
      </c>
      <c r="C4091" s="362"/>
      <c r="D4091" s="362"/>
      <c r="E4091" s="410"/>
      <c r="F4091" s="362"/>
      <c r="G4091" s="362"/>
      <c r="H4091" s="362"/>
      <c r="I4091" s="362"/>
      <c r="J4091" s="362"/>
      <c r="AX4091" s="117"/>
      <c r="AY4091" s="117"/>
      <c r="AZ4091" s="117"/>
      <c r="BA4091" s="117"/>
      <c r="BB4091" s="117"/>
      <c r="BC4091" s="117"/>
      <c r="BD4091" s="117"/>
    </row>
    <row r="4092" spans="1:56" ht="18">
      <c r="A4092" s="114"/>
      <c r="B4092" s="398" t="s">
        <v>1128</v>
      </c>
      <c r="C4092" s="172"/>
      <c r="D4092" s="173"/>
      <c r="E4092" s="402">
        <f>E4082*0.05</f>
        <v>8.7749999999999995E-2</v>
      </c>
      <c r="F4092" s="390" t="s">
        <v>1124</v>
      </c>
      <c r="G4092" s="362"/>
      <c r="H4092" s="362"/>
      <c r="I4092" s="362"/>
      <c r="J4092" s="362"/>
      <c r="AX4092" s="117"/>
      <c r="AY4092" s="117"/>
      <c r="AZ4092" s="117"/>
      <c r="BA4092" s="117"/>
      <c r="BB4092" s="117"/>
      <c r="BC4092" s="117"/>
      <c r="BD4092" s="117"/>
    </row>
    <row r="4093" spans="1:56" ht="15">
      <c r="A4093" s="114"/>
      <c r="B4093" s="398" t="s">
        <v>1129</v>
      </c>
      <c r="C4093" s="172"/>
      <c r="D4093" s="173"/>
      <c r="E4093" s="397">
        <f>(2*(C4068+C4069)*C4071)*C4072</f>
        <v>4.9000000000000004</v>
      </c>
      <c r="F4093" s="390" t="s">
        <v>13</v>
      </c>
      <c r="G4093" s="362"/>
      <c r="H4093" s="362"/>
      <c r="I4093" s="362"/>
      <c r="J4093" s="362"/>
      <c r="AX4093" s="117"/>
      <c r="AY4093" s="117"/>
      <c r="AZ4093" s="117"/>
      <c r="BA4093" s="117"/>
      <c r="BB4093" s="117"/>
      <c r="BC4093" s="117"/>
      <c r="BD4093" s="117"/>
    </row>
    <row r="4094" spans="1:56" ht="18">
      <c r="A4094" s="114"/>
      <c r="B4094" s="398" t="s">
        <v>1130</v>
      </c>
      <c r="C4094" s="172"/>
      <c r="D4094" s="173"/>
      <c r="E4094" s="402">
        <f>(C4068*C4069*C4071)*C4072</f>
        <v>1.2249999999999999</v>
      </c>
      <c r="F4094" s="390" t="s">
        <v>1124</v>
      </c>
      <c r="G4094" s="362"/>
      <c r="H4094" s="362"/>
      <c r="I4094" s="362"/>
      <c r="J4094" s="362"/>
      <c r="AX4094" s="117"/>
      <c r="AY4094" s="117"/>
      <c r="AZ4094" s="117"/>
      <c r="BA4094" s="117"/>
      <c r="BB4094" s="117"/>
      <c r="BC4094" s="117"/>
      <c r="BD4094" s="117"/>
    </row>
    <row r="4095" spans="1:56" ht="15">
      <c r="A4095" s="114"/>
      <c r="B4095" s="288"/>
      <c r="C4095" s="230"/>
      <c r="D4095" s="230"/>
      <c r="E4095" s="384"/>
      <c r="F4095" s="196"/>
      <c r="G4095" s="196"/>
      <c r="H4095" s="196"/>
      <c r="I4095" s="196"/>
      <c r="J4095" s="114"/>
      <c r="AW4095" s="117"/>
      <c r="AX4095" s="117"/>
      <c r="AY4095" s="117"/>
      <c r="AZ4095" s="117"/>
      <c r="BA4095" s="117"/>
      <c r="BB4095" s="117"/>
      <c r="BC4095" s="117"/>
      <c r="BD4095" s="117"/>
    </row>
    <row r="4096" spans="1:56" ht="15">
      <c r="A4096" s="114"/>
      <c r="B4096" s="288"/>
      <c r="C4096" s="230"/>
      <c r="D4096" s="230"/>
      <c r="E4096" s="384"/>
      <c r="F4096" s="196"/>
      <c r="G4096" s="196"/>
      <c r="H4096" s="196"/>
      <c r="I4096" s="196"/>
      <c r="J4096" s="114"/>
      <c r="AW4096" s="117"/>
      <c r="AX4096" s="117"/>
      <c r="AY4096" s="117"/>
      <c r="AZ4096" s="117"/>
      <c r="BA4096" s="117"/>
      <c r="BB4096" s="117"/>
      <c r="BC4096" s="117"/>
      <c r="BD4096" s="117"/>
    </row>
    <row r="4097" spans="1:56" customFormat="1" ht="12.75">
      <c r="B4097" s="362"/>
      <c r="C4097" s="362"/>
      <c r="D4097" s="362"/>
      <c r="E4097" s="362"/>
      <c r="F4097" s="362"/>
      <c r="G4097" s="362"/>
      <c r="H4097" s="362"/>
      <c r="I4097" s="362"/>
      <c r="J4097" s="362"/>
    </row>
    <row r="4098" spans="1:56">
      <c r="A4098" s="114"/>
      <c r="B4098" s="385" t="s">
        <v>1274</v>
      </c>
      <c r="C4098" s="196"/>
      <c r="D4098" s="196"/>
      <c r="E4098" s="196"/>
      <c r="F4098" s="196"/>
      <c r="G4098" s="196"/>
      <c r="H4098" s="196"/>
      <c r="I4098" s="196"/>
      <c r="J4098" s="196"/>
      <c r="AX4098" s="117"/>
      <c r="AY4098" s="117"/>
      <c r="AZ4098" s="117"/>
      <c r="BA4098" s="117"/>
      <c r="BB4098" s="117"/>
      <c r="BC4098" s="117"/>
      <c r="BD4098" s="117"/>
    </row>
    <row r="4099" spans="1:56" ht="15">
      <c r="A4099" s="114"/>
      <c r="B4099" s="362"/>
      <c r="C4099" s="362"/>
      <c r="D4099" s="362"/>
      <c r="E4099" s="362"/>
      <c r="F4099" s="404"/>
      <c r="G4099" s="404"/>
      <c r="H4099" s="404"/>
      <c r="I4099" s="404"/>
      <c r="J4099" s="404"/>
      <c r="AX4099" s="117"/>
      <c r="AY4099" s="117"/>
      <c r="AZ4099" s="117"/>
      <c r="BA4099" s="117"/>
      <c r="BB4099" s="117"/>
      <c r="BC4099" s="117"/>
      <c r="BD4099" s="117"/>
    </row>
    <row r="4100" spans="1:56" ht="18">
      <c r="A4100" s="114"/>
      <c r="B4100" s="388" t="s">
        <v>1141</v>
      </c>
      <c r="C4100" s="389">
        <v>0</v>
      </c>
      <c r="D4100" s="390" t="s">
        <v>10</v>
      </c>
      <c r="E4100" s="196"/>
      <c r="F4100" s="405"/>
      <c r="G4100" s="406" t="s">
        <v>1142</v>
      </c>
      <c r="H4100" s="407">
        <f>C4100*C4101</f>
        <v>0</v>
      </c>
      <c r="I4100" s="405" t="s">
        <v>1143</v>
      </c>
      <c r="J4100" s="405"/>
      <c r="AX4100" s="117"/>
      <c r="AY4100" s="117"/>
      <c r="AZ4100" s="117"/>
      <c r="BA4100" s="117"/>
      <c r="BB4100" s="117"/>
      <c r="BC4100" s="117"/>
      <c r="BD4100" s="117"/>
    </row>
    <row r="4101" spans="1:56" ht="15">
      <c r="A4101" s="114"/>
      <c r="B4101" s="388" t="s">
        <v>1144</v>
      </c>
      <c r="C4101" s="389">
        <v>0</v>
      </c>
      <c r="D4101" s="390" t="s">
        <v>10</v>
      </c>
      <c r="E4101" s="196"/>
      <c r="F4101" s="405"/>
      <c r="G4101" s="406" t="e">
        <f>TEXT(C4108,"tg 0°=")</f>
        <v>#VALUE!</v>
      </c>
      <c r="H4101" s="408">
        <f>TAN(3.14159265359*C4108/180)</f>
        <v>1.732050807569153</v>
      </c>
      <c r="I4101" s="405"/>
      <c r="J4101" s="405"/>
      <c r="AX4101" s="117"/>
      <c r="AY4101" s="117"/>
      <c r="AZ4101" s="117"/>
      <c r="BA4101" s="117"/>
      <c r="BB4101" s="117"/>
      <c r="BC4101" s="117"/>
      <c r="BD4101" s="117"/>
    </row>
    <row r="4102" spans="1:56" ht="15">
      <c r="A4102" s="114"/>
      <c r="B4102" s="388" t="s">
        <v>1145</v>
      </c>
      <c r="C4102" s="389">
        <v>1.75</v>
      </c>
      <c r="D4102" s="390" t="s">
        <v>10</v>
      </c>
      <c r="E4102" s="196"/>
      <c r="F4102" s="405"/>
      <c r="G4102" s="406"/>
      <c r="H4102" s="407"/>
      <c r="I4102" s="405"/>
      <c r="J4102" s="405"/>
      <c r="AX4102" s="117"/>
      <c r="AY4102" s="117"/>
      <c r="AZ4102" s="117"/>
      <c r="BA4102" s="117"/>
      <c r="BB4102" s="117"/>
      <c r="BC4102" s="117"/>
      <c r="BD4102" s="117"/>
    </row>
    <row r="4103" spans="1:56" ht="18">
      <c r="A4103" s="114"/>
      <c r="B4103" s="388" t="s">
        <v>1146</v>
      </c>
      <c r="C4103" s="389">
        <v>1.75</v>
      </c>
      <c r="D4103" s="390" t="s">
        <v>10</v>
      </c>
      <c r="E4103" s="196"/>
      <c r="F4103" s="405"/>
      <c r="G4103" s="406" t="s">
        <v>1142</v>
      </c>
      <c r="H4103" s="409">
        <f>(C4102+2*C4110+((C4104+C4105+0.05)/H4101)*2)*(C4103+2*C4110+((C4104+C4105+0.05)/H4101)*2)</f>
        <v>19.574570126905506</v>
      </c>
      <c r="I4103" s="405" t="s">
        <v>1143</v>
      </c>
      <c r="J4103" s="405"/>
      <c r="AX4103" s="117"/>
      <c r="AY4103" s="117"/>
      <c r="AZ4103" s="117"/>
      <c r="BA4103" s="117"/>
      <c r="BB4103" s="117"/>
      <c r="BC4103" s="117"/>
      <c r="BD4103" s="117"/>
    </row>
    <row r="4104" spans="1:56" ht="18">
      <c r="A4104" s="114"/>
      <c r="B4104" s="388" t="s">
        <v>1112</v>
      </c>
      <c r="C4104" s="389">
        <v>0.4</v>
      </c>
      <c r="D4104" s="390" t="s">
        <v>10</v>
      </c>
      <c r="E4104" s="196"/>
      <c r="F4104" s="405"/>
      <c r="G4104" s="406" t="s">
        <v>1147</v>
      </c>
      <c r="H4104" s="409">
        <f>(C4102+2*C4110)*(C4103+2*C4110)</f>
        <v>7.5625</v>
      </c>
      <c r="I4104" s="405" t="s">
        <v>1143</v>
      </c>
      <c r="J4104" s="405"/>
      <c r="AX4104" s="117"/>
      <c r="AY4104" s="117"/>
      <c r="AZ4104" s="117"/>
      <c r="BA4104" s="117"/>
      <c r="BB4104" s="117"/>
      <c r="BC4104" s="117"/>
      <c r="BD4104" s="117"/>
    </row>
    <row r="4105" spans="1:56" ht="15">
      <c r="A4105" s="114"/>
      <c r="B4105" s="388" t="s">
        <v>1113</v>
      </c>
      <c r="C4105" s="389">
        <v>1</v>
      </c>
      <c r="D4105" s="390" t="s">
        <v>10</v>
      </c>
      <c r="E4105" s="196"/>
      <c r="F4105" s="405"/>
      <c r="G4105" s="406"/>
      <c r="H4105" s="407"/>
      <c r="I4105" s="405"/>
      <c r="J4105" s="405"/>
      <c r="AX4105" s="117"/>
      <c r="AY4105" s="117"/>
      <c r="AZ4105" s="117"/>
      <c r="BA4105" s="117"/>
      <c r="BB4105" s="117"/>
      <c r="BC4105" s="117"/>
      <c r="BD4105" s="117"/>
    </row>
    <row r="4106" spans="1:56" ht="15">
      <c r="A4106" s="114"/>
      <c r="B4106" s="388" t="s">
        <v>1117</v>
      </c>
      <c r="C4106" s="391">
        <v>1</v>
      </c>
      <c r="D4106" s="390" t="s">
        <v>1118</v>
      </c>
      <c r="E4106" s="196"/>
      <c r="F4106" s="405"/>
      <c r="G4106" s="406"/>
      <c r="H4106" s="407"/>
      <c r="I4106" s="405"/>
      <c r="J4106" s="405"/>
      <c r="AX4106" s="117"/>
      <c r="AY4106" s="117"/>
      <c r="AZ4106" s="117"/>
      <c r="BA4106" s="117"/>
      <c r="BB4106" s="117"/>
      <c r="BC4106" s="117"/>
      <c r="BD4106" s="117"/>
    </row>
    <row r="4107" spans="1:56" ht="15">
      <c r="A4107" s="114"/>
      <c r="B4107" s="196" t="s">
        <v>1148</v>
      </c>
      <c r="C4107" s="393"/>
      <c r="D4107" s="196"/>
      <c r="E4107" s="196"/>
      <c r="F4107" s="405"/>
      <c r="G4107" s="406"/>
      <c r="H4107" s="407"/>
      <c r="I4107" s="405"/>
      <c r="J4107" s="405"/>
      <c r="AX4107" s="117"/>
      <c r="AY4107" s="117"/>
      <c r="AZ4107" s="117"/>
      <c r="BA4107" s="117"/>
      <c r="BB4107" s="117"/>
      <c r="BC4107" s="117"/>
      <c r="BD4107" s="117"/>
    </row>
    <row r="4108" spans="1:56" ht="15">
      <c r="A4108" s="114"/>
      <c r="B4108" s="388" t="s">
        <v>1149</v>
      </c>
      <c r="C4108" s="389">
        <v>60</v>
      </c>
      <c r="D4108" s="390" t="s">
        <v>1150</v>
      </c>
      <c r="E4108" s="196"/>
      <c r="F4108" s="196"/>
      <c r="G4108" s="392"/>
      <c r="H4108" s="393"/>
      <c r="I4108" s="196"/>
      <c r="J4108" s="196"/>
      <c r="AX4108" s="117"/>
      <c r="AY4108" s="117"/>
      <c r="AZ4108" s="117"/>
      <c r="BA4108" s="117"/>
      <c r="BB4108" s="117"/>
      <c r="BC4108" s="117"/>
      <c r="BD4108" s="117"/>
    </row>
    <row r="4109" spans="1:56" ht="15">
      <c r="A4109" s="114"/>
      <c r="B4109" s="362"/>
      <c r="C4109" s="196"/>
      <c r="D4109" s="196"/>
      <c r="E4109" s="196"/>
      <c r="F4109" s="196"/>
      <c r="G4109" s="362"/>
      <c r="H4109" s="362"/>
      <c r="I4109" s="362"/>
      <c r="J4109" s="196"/>
      <c r="AX4109" s="117"/>
      <c r="AY4109" s="117"/>
      <c r="AZ4109" s="117"/>
      <c r="BA4109" s="117"/>
      <c r="BB4109" s="117"/>
      <c r="BC4109" s="117"/>
      <c r="BD4109" s="117"/>
    </row>
    <row r="4110" spans="1:56" ht="15">
      <c r="A4110" s="114"/>
      <c r="B4110" s="388" t="s">
        <v>1114</v>
      </c>
      <c r="C4110" s="389">
        <v>0.5</v>
      </c>
      <c r="D4110" s="390" t="s">
        <v>10</v>
      </c>
      <c r="E4110" s="288" t="s">
        <v>1120</v>
      </c>
      <c r="F4110" s="196"/>
      <c r="G4110" s="196" t="s">
        <v>1131</v>
      </c>
      <c r="H4110" s="114"/>
      <c r="I4110" s="114"/>
      <c r="J4110" s="196"/>
      <c r="AX4110" s="117"/>
      <c r="AY4110" s="117"/>
      <c r="AZ4110" s="117"/>
      <c r="BA4110" s="117"/>
      <c r="BB4110" s="117"/>
      <c r="BC4110" s="117"/>
      <c r="BD4110" s="117"/>
    </row>
    <row r="4111" spans="1:56" ht="15">
      <c r="A4111" s="114"/>
      <c r="B4111" s="388" t="s">
        <v>1114</v>
      </c>
      <c r="C4111" s="389">
        <v>0.1</v>
      </c>
      <c r="D4111" s="390" t="s">
        <v>10</v>
      </c>
      <c r="E4111" s="288" t="s">
        <v>1121</v>
      </c>
      <c r="F4111" s="196"/>
      <c r="G4111" s="196"/>
      <c r="H4111" s="196"/>
      <c r="I4111" s="196"/>
      <c r="J4111" s="196"/>
      <c r="AX4111" s="117"/>
      <c r="AY4111" s="117"/>
      <c r="AZ4111" s="117"/>
      <c r="BA4111" s="117"/>
      <c r="BB4111" s="117"/>
      <c r="BC4111" s="117"/>
      <c r="BD4111" s="117"/>
    </row>
    <row r="4112" spans="1:56" ht="15">
      <c r="A4112" s="114"/>
      <c r="B4112" s="362"/>
      <c r="C4112" s="362"/>
      <c r="D4112" s="362"/>
      <c r="E4112" s="362"/>
      <c r="F4112" s="362"/>
      <c r="G4112" s="114"/>
      <c r="H4112" s="362"/>
      <c r="I4112" s="196"/>
      <c r="J4112" s="196"/>
      <c r="AX4112" s="117"/>
      <c r="AY4112" s="117"/>
      <c r="AZ4112" s="117"/>
      <c r="BA4112" s="117"/>
      <c r="BB4112" s="117"/>
      <c r="BC4112" s="117"/>
      <c r="BD4112" s="117"/>
    </row>
    <row r="4113" spans="1:56" ht="15">
      <c r="A4113" s="114"/>
      <c r="B4113" s="303" t="s">
        <v>1122</v>
      </c>
      <c r="C4113" s="362"/>
      <c r="D4113" s="362"/>
      <c r="E4113" s="362"/>
      <c r="F4113" s="362"/>
      <c r="G4113" s="196"/>
      <c r="H4113" s="196"/>
      <c r="I4113" s="196"/>
      <c r="J4113" s="196"/>
      <c r="AX4113" s="117"/>
      <c r="AY4113" s="117"/>
      <c r="AZ4113" s="117"/>
      <c r="BA4113" s="117"/>
      <c r="BB4113" s="117"/>
      <c r="BC4113" s="117"/>
      <c r="BD4113" s="117"/>
    </row>
    <row r="4114" spans="1:56" ht="18">
      <c r="A4114" s="114"/>
      <c r="B4114" s="398" t="s">
        <v>1123</v>
      </c>
      <c r="C4114" s="172"/>
      <c r="D4114" s="173"/>
      <c r="E4114" s="397">
        <f>C4106*((H4104+H4103)/2)*(C4104+C4105+0.05)</f>
        <v>19.674375842006491</v>
      </c>
      <c r="F4114" s="390" t="s">
        <v>1124</v>
      </c>
      <c r="G4114" s="196"/>
      <c r="H4114" s="362"/>
      <c r="I4114" s="362"/>
      <c r="J4114" s="362"/>
      <c r="AX4114" s="117"/>
      <c r="AY4114" s="117"/>
      <c r="AZ4114" s="117"/>
      <c r="BA4114" s="117"/>
      <c r="BB4114" s="117"/>
      <c r="BC4114" s="117"/>
      <c r="BD4114" s="117"/>
    </row>
    <row r="4115" spans="1:56" ht="18">
      <c r="A4115" s="114"/>
      <c r="B4115" s="398" t="s">
        <v>1125</v>
      </c>
      <c r="C4115" s="172"/>
      <c r="D4115" s="173"/>
      <c r="E4115" s="400">
        <f>E4114-(E4126+E4128)</f>
        <v>16.421750842006489</v>
      </c>
      <c r="F4115" s="390" t="s">
        <v>1124</v>
      </c>
      <c r="G4115" s="196"/>
      <c r="H4115" s="196"/>
      <c r="I4115" s="196"/>
      <c r="J4115" s="196"/>
      <c r="AX4115" s="117"/>
      <c r="AY4115" s="117"/>
      <c r="AZ4115" s="117"/>
      <c r="BA4115" s="117"/>
      <c r="BB4115" s="117"/>
      <c r="BC4115" s="117"/>
      <c r="BD4115" s="117"/>
    </row>
    <row r="4116" spans="1:56" ht="15">
      <c r="A4116" s="114"/>
      <c r="B4116" s="398" t="s">
        <v>1126</v>
      </c>
      <c r="C4116" s="172"/>
      <c r="D4116" s="173"/>
      <c r="E4116" s="400">
        <f>((C4102+2*C4111)*(C4103+2*C4111))*C4106</f>
        <v>3.8024999999999998</v>
      </c>
      <c r="F4116" s="390" t="s">
        <v>13</v>
      </c>
      <c r="G4116" s="362"/>
      <c r="H4116" s="362"/>
      <c r="I4116" s="362"/>
      <c r="J4116" s="362"/>
      <c r="AX4116" s="117"/>
      <c r="AY4116" s="117"/>
      <c r="AZ4116" s="117"/>
      <c r="BA4116" s="117"/>
      <c r="BB4116" s="117"/>
      <c r="BC4116" s="117"/>
      <c r="BD4116" s="117"/>
    </row>
    <row r="4117" spans="1:56" ht="15">
      <c r="A4117" s="114"/>
      <c r="B4117" s="362"/>
      <c r="C4117" s="362"/>
      <c r="D4117" s="362"/>
      <c r="E4117" s="401"/>
      <c r="F4117" s="196"/>
      <c r="G4117" s="362"/>
      <c r="H4117" s="362"/>
      <c r="I4117" s="362"/>
      <c r="J4117" s="362"/>
      <c r="AX4117" s="117"/>
      <c r="AY4117" s="117"/>
      <c r="AZ4117" s="117"/>
      <c r="BA4117" s="117"/>
      <c r="BB4117" s="117"/>
      <c r="BC4117" s="117"/>
      <c r="BD4117" s="117"/>
    </row>
    <row r="4118" spans="1:56" ht="15">
      <c r="A4118" s="114"/>
      <c r="B4118" s="303" t="s">
        <v>1162</v>
      </c>
      <c r="C4118" s="362"/>
      <c r="D4118" s="362"/>
      <c r="E4118" s="410"/>
      <c r="F4118" s="362"/>
      <c r="G4118" s="362"/>
      <c r="H4118" s="362"/>
      <c r="I4118" s="362"/>
      <c r="J4118" s="362"/>
      <c r="AX4118" s="117"/>
      <c r="AY4118" s="117"/>
      <c r="AZ4118" s="117"/>
      <c r="BA4118" s="117"/>
      <c r="BB4118" s="117"/>
      <c r="BC4118" s="117"/>
      <c r="BD4118" s="117"/>
    </row>
    <row r="4119" spans="1:56" ht="15">
      <c r="A4119" s="114"/>
      <c r="B4119" s="398" t="s">
        <v>1152</v>
      </c>
      <c r="C4119" s="398"/>
      <c r="D4119" s="366"/>
      <c r="E4119" s="411">
        <v>4</v>
      </c>
      <c r="F4119" s="390" t="s">
        <v>1153</v>
      </c>
      <c r="G4119" s="362"/>
      <c r="H4119" s="362"/>
      <c r="I4119" s="362"/>
      <c r="J4119" s="362"/>
      <c r="AX4119" s="117"/>
      <c r="AY4119" s="117"/>
      <c r="AZ4119" s="117"/>
      <c r="BA4119" s="117"/>
      <c r="BB4119" s="117"/>
      <c r="BC4119" s="117"/>
      <c r="BD4119" s="117"/>
    </row>
    <row r="4120" spans="1:56" ht="15">
      <c r="A4120" s="114"/>
      <c r="B4120" s="399" t="s">
        <v>1154</v>
      </c>
      <c r="C4120" s="31"/>
      <c r="D4120" s="32"/>
      <c r="E4120" s="412">
        <f>C4106*E4119</f>
        <v>4</v>
      </c>
      <c r="F4120" s="390" t="s">
        <v>1153</v>
      </c>
      <c r="G4120" s="362"/>
      <c r="H4120" s="362"/>
      <c r="I4120" s="362"/>
      <c r="J4120" s="362"/>
      <c r="AX4120" s="117"/>
      <c r="AY4120" s="117"/>
      <c r="AZ4120" s="117"/>
      <c r="BA4120" s="117"/>
      <c r="BB4120" s="117"/>
      <c r="BC4120" s="117"/>
      <c r="BD4120" s="117"/>
    </row>
    <row r="4121" spans="1:56" ht="15">
      <c r="A4121" s="114"/>
      <c r="B4121" s="398" t="s">
        <v>1155</v>
      </c>
      <c r="C4121" s="21"/>
      <c r="D4121" s="413"/>
      <c r="E4121" s="411">
        <v>350</v>
      </c>
      <c r="F4121" s="390" t="s">
        <v>1156</v>
      </c>
      <c r="G4121" s="362"/>
      <c r="H4121" s="414"/>
      <c r="I4121" s="362"/>
      <c r="J4121" s="415"/>
      <c r="AX4121" s="117"/>
      <c r="AY4121" s="117"/>
      <c r="AZ4121" s="117"/>
      <c r="BA4121" s="117"/>
      <c r="BB4121" s="117"/>
      <c r="BC4121" s="117"/>
      <c r="BD4121" s="117"/>
    </row>
    <row r="4122" spans="1:56" ht="15">
      <c r="A4122" s="114"/>
      <c r="B4122" s="398" t="s">
        <v>1157</v>
      </c>
      <c r="C4122" s="21"/>
      <c r="D4122" s="413"/>
      <c r="E4122" s="451">
        <v>17</v>
      </c>
      <c r="F4122" s="390" t="s">
        <v>10</v>
      </c>
      <c r="G4122" s="362"/>
      <c r="H4122" s="6"/>
      <c r="I4122" s="362"/>
      <c r="J4122" s="362"/>
      <c r="AX4122" s="117"/>
      <c r="AY4122" s="117"/>
      <c r="AZ4122" s="117"/>
      <c r="BA4122" s="117"/>
      <c r="BB4122" s="117"/>
      <c r="BC4122" s="117"/>
      <c r="BD4122" s="117"/>
    </row>
    <row r="4123" spans="1:56" ht="15">
      <c r="A4123" s="114"/>
      <c r="B4123" s="398" t="s">
        <v>1158</v>
      </c>
      <c r="C4123" s="21"/>
      <c r="D4123" s="413"/>
      <c r="E4123" s="412">
        <f>E4120*E4122</f>
        <v>68</v>
      </c>
      <c r="F4123" s="390" t="s">
        <v>10</v>
      </c>
      <c r="G4123" s="362"/>
      <c r="H4123" s="362"/>
      <c r="I4123" s="362"/>
      <c r="J4123" s="362"/>
      <c r="AX4123" s="117"/>
      <c r="AY4123" s="117"/>
      <c r="AZ4123" s="117"/>
      <c r="BA4123" s="117"/>
      <c r="BB4123" s="117"/>
      <c r="BC4123" s="117"/>
      <c r="BD4123" s="117"/>
    </row>
    <row r="4124" spans="1:56" ht="15">
      <c r="A4124" s="114"/>
      <c r="B4124" s="362"/>
      <c r="C4124" s="362"/>
      <c r="D4124" s="362"/>
      <c r="E4124" s="410"/>
      <c r="F4124" s="362"/>
      <c r="G4124" s="362"/>
      <c r="H4124" s="362"/>
      <c r="I4124" s="362"/>
      <c r="J4124" s="362"/>
      <c r="AX4124" s="117"/>
      <c r="AY4124" s="117"/>
      <c r="AZ4124" s="117"/>
      <c r="BA4124" s="117"/>
      <c r="BB4124" s="117"/>
      <c r="BC4124" s="117"/>
      <c r="BD4124" s="117"/>
    </row>
    <row r="4125" spans="1:56" ht="15">
      <c r="A4125" s="114"/>
      <c r="B4125" s="303" t="s">
        <v>1160</v>
      </c>
      <c r="C4125" s="362"/>
      <c r="D4125" s="362"/>
      <c r="E4125" s="410"/>
      <c r="F4125" s="362"/>
      <c r="G4125" s="362"/>
      <c r="H4125" s="362"/>
      <c r="I4125" s="362"/>
      <c r="J4125" s="362"/>
      <c r="AX4125" s="117"/>
      <c r="AY4125" s="117"/>
      <c r="AZ4125" s="117"/>
      <c r="BA4125" s="117"/>
      <c r="BB4125" s="117"/>
      <c r="BC4125" s="117"/>
      <c r="BD4125" s="117"/>
    </row>
    <row r="4126" spans="1:56" ht="18">
      <c r="A4126" s="114"/>
      <c r="B4126" s="398" t="s">
        <v>1128</v>
      </c>
      <c r="C4126" s="172"/>
      <c r="D4126" s="173"/>
      <c r="E4126" s="402">
        <f>E4116*0.05</f>
        <v>0.19012499999999999</v>
      </c>
      <c r="F4126" s="390" t="s">
        <v>1124</v>
      </c>
      <c r="G4126" s="362"/>
      <c r="H4126" s="362"/>
      <c r="I4126" s="362"/>
      <c r="J4126" s="362"/>
      <c r="AX4126" s="117"/>
      <c r="AY4126" s="117"/>
      <c r="AZ4126" s="117"/>
      <c r="BA4126" s="117"/>
      <c r="BB4126" s="117"/>
      <c r="BC4126" s="117"/>
      <c r="BD4126" s="117"/>
    </row>
    <row r="4127" spans="1:56" ht="15">
      <c r="A4127" s="114"/>
      <c r="B4127" s="398" t="s">
        <v>1129</v>
      </c>
      <c r="C4127" s="172"/>
      <c r="D4127" s="173"/>
      <c r="E4127" s="397">
        <f>(2*(C4102+C4103)*C4105)*C4106</f>
        <v>7</v>
      </c>
      <c r="F4127" s="390" t="s">
        <v>13</v>
      </c>
      <c r="G4127" s="362"/>
      <c r="H4127" s="362"/>
      <c r="I4127" s="362"/>
      <c r="J4127" s="362"/>
      <c r="AX4127" s="117"/>
      <c r="AY4127" s="117"/>
      <c r="AZ4127" s="117"/>
      <c r="BA4127" s="117"/>
      <c r="BB4127" s="117"/>
      <c r="BC4127" s="117"/>
      <c r="BD4127" s="117"/>
    </row>
    <row r="4128" spans="1:56" ht="18">
      <c r="A4128" s="114"/>
      <c r="B4128" s="398" t="s">
        <v>1130</v>
      </c>
      <c r="C4128" s="172"/>
      <c r="D4128" s="173"/>
      <c r="E4128" s="402">
        <f>(C4102*C4103*C4105)*C4106</f>
        <v>3.0625</v>
      </c>
      <c r="F4128" s="390" t="s">
        <v>1124</v>
      </c>
      <c r="G4128" s="362"/>
      <c r="H4128" s="362"/>
      <c r="I4128" s="362"/>
      <c r="J4128" s="362"/>
      <c r="AX4128" s="117"/>
      <c r="AY4128" s="117"/>
      <c r="AZ4128" s="117"/>
      <c r="BA4128" s="117"/>
      <c r="BB4128" s="117"/>
      <c r="BC4128" s="117"/>
      <c r="BD4128" s="117"/>
    </row>
    <row r="4129" spans="1:56">
      <c r="A4129" s="114"/>
      <c r="B4129" s="115"/>
      <c r="C4129" s="115"/>
      <c r="D4129" s="115"/>
      <c r="E4129" s="115"/>
      <c r="F4129" s="115"/>
      <c r="G4129" s="115"/>
      <c r="H4129" s="115"/>
      <c r="I4129" s="115"/>
      <c r="J4129" s="114"/>
      <c r="AW4129" s="117"/>
      <c r="AX4129" s="117"/>
      <c r="AY4129" s="117"/>
      <c r="AZ4129" s="117"/>
      <c r="BA4129" s="117"/>
      <c r="BB4129" s="117"/>
      <c r="BC4129" s="117"/>
      <c r="BD4129" s="117"/>
    </row>
    <row r="4130" spans="1:56">
      <c r="A4130" s="114"/>
      <c r="B4130" s="115"/>
      <c r="C4130" s="115"/>
      <c r="D4130" s="115"/>
      <c r="E4130" s="115"/>
      <c r="F4130" s="115"/>
      <c r="G4130" s="115"/>
      <c r="H4130" s="115"/>
      <c r="I4130" s="115"/>
      <c r="J4130" s="114"/>
      <c r="AW4130" s="117"/>
      <c r="AX4130" s="117"/>
      <c r="AY4130" s="117"/>
      <c r="AZ4130" s="117"/>
      <c r="BA4130" s="117"/>
      <c r="BB4130" s="117"/>
      <c r="BC4130" s="117"/>
      <c r="BD4130" s="117"/>
    </row>
    <row r="4131" spans="1:56" ht="16.5" thickBot="1">
      <c r="A4131" s="114"/>
      <c r="B4131" s="115"/>
      <c r="C4131" s="115"/>
      <c r="D4131" s="115"/>
      <c r="E4131" s="115"/>
      <c r="F4131" s="115"/>
      <c r="G4131" s="115"/>
      <c r="H4131" s="115"/>
      <c r="I4131" s="115"/>
      <c r="J4131" s="114"/>
      <c r="AW4131" s="117"/>
      <c r="AX4131" s="117"/>
      <c r="AY4131" s="117"/>
      <c r="AZ4131" s="117"/>
      <c r="BA4131" s="117"/>
      <c r="BB4131" s="117"/>
      <c r="BC4131" s="117"/>
      <c r="BD4131" s="117"/>
    </row>
    <row r="4132" spans="1:56">
      <c r="A4132" s="114"/>
      <c r="B4132" s="702" t="s">
        <v>1189</v>
      </c>
      <c r="C4132" s="282"/>
      <c r="D4132" s="282"/>
      <c r="E4132" s="282"/>
      <c r="F4132" s="283"/>
      <c r="G4132" s="362"/>
      <c r="H4132" s="362"/>
      <c r="I4132" s="362"/>
      <c r="J4132" s="114"/>
      <c r="AU4132" s="117"/>
      <c r="AV4132" s="117"/>
      <c r="AW4132" s="117"/>
      <c r="AX4132" s="117"/>
      <c r="AY4132" s="117"/>
      <c r="AZ4132" s="117"/>
      <c r="BA4132" s="117"/>
      <c r="BB4132" s="117"/>
      <c r="BC4132" s="117"/>
      <c r="BD4132" s="117"/>
    </row>
    <row r="4133" spans="1:56" ht="15">
      <c r="A4133" s="114"/>
      <c r="B4133" s="693"/>
      <c r="C4133" s="196"/>
      <c r="D4133" s="196"/>
      <c r="E4133" s="196"/>
      <c r="F4133" s="284"/>
      <c r="G4133" s="362"/>
      <c r="H4133" s="362"/>
      <c r="I4133" s="362"/>
      <c r="J4133" s="114"/>
      <c r="AU4133" s="117"/>
      <c r="AV4133" s="117"/>
      <c r="AW4133" s="117"/>
      <c r="AX4133" s="117"/>
      <c r="AY4133" s="117"/>
      <c r="AZ4133" s="117"/>
      <c r="BA4133" s="117"/>
      <c r="BB4133" s="117"/>
      <c r="BC4133" s="117"/>
      <c r="BD4133" s="117"/>
    </row>
    <row r="4134" spans="1:56" ht="15">
      <c r="A4134" s="114"/>
      <c r="B4134" s="691" t="s">
        <v>1122</v>
      </c>
      <c r="C4134" s="410"/>
      <c r="D4134" s="1008"/>
      <c r="E4134" s="1008"/>
      <c r="F4134" s="424"/>
      <c r="G4134" s="362"/>
      <c r="H4134" s="362"/>
      <c r="I4134" s="362"/>
      <c r="J4134" s="114"/>
      <c r="AU4134" s="117"/>
      <c r="AV4134" s="117"/>
      <c r="AW4134" s="117"/>
      <c r="AX4134" s="117"/>
      <c r="AY4134" s="117"/>
      <c r="AZ4134" s="117"/>
      <c r="BA4134" s="117"/>
      <c r="BB4134" s="117"/>
      <c r="BC4134" s="117"/>
      <c r="BD4134" s="117"/>
    </row>
    <row r="4135" spans="1:56" ht="18">
      <c r="A4135" s="114"/>
      <c r="B4135" s="1011" t="s">
        <v>1123</v>
      </c>
      <c r="C4135" s="172"/>
      <c r="D4135" s="173"/>
      <c r="E4135" s="425">
        <f>E4114+E4080+E4046+E4012+E3978+E3944+E3910+E3876+E3715+E3692+E3783+E3760+E3849+E3827+E3805+E3738</f>
        <v>255.48261659282937</v>
      </c>
      <c r="F4135" s="139" t="s">
        <v>1124</v>
      </c>
      <c r="G4135" s="362"/>
      <c r="H4135" s="362"/>
      <c r="I4135" s="362"/>
      <c r="J4135" s="114"/>
      <c r="AU4135" s="117"/>
      <c r="AV4135" s="117"/>
      <c r="AW4135" s="117"/>
      <c r="AX4135" s="117"/>
      <c r="AY4135" s="117"/>
      <c r="AZ4135" s="117"/>
      <c r="BA4135" s="117"/>
      <c r="BB4135" s="117"/>
      <c r="BC4135" s="117"/>
      <c r="BD4135" s="117"/>
    </row>
    <row r="4136" spans="1:56" ht="18">
      <c r="A4136" s="114"/>
      <c r="B4136" s="1011" t="s">
        <v>1190</v>
      </c>
      <c r="C4136" s="172"/>
      <c r="D4136" s="173"/>
      <c r="E4136" s="425">
        <f>E4115+E4081+E4047+E4013+E3979+E3945+E3911+E3877+E3716+E3693+E3784+E3761+E3850+E3828+E3806+E3739</f>
        <v>228.48169159282935</v>
      </c>
      <c r="F4136" s="139" t="s">
        <v>1124</v>
      </c>
      <c r="G4136" s="362"/>
      <c r="H4136" s="362"/>
      <c r="I4136" s="362"/>
      <c r="J4136" s="114"/>
      <c r="AU4136" s="117"/>
      <c r="AV4136" s="117"/>
      <c r="AW4136" s="117"/>
      <c r="AX4136" s="117"/>
      <c r="AY4136" s="117"/>
      <c r="AZ4136" s="117"/>
      <c r="BA4136" s="117"/>
      <c r="BB4136" s="117"/>
      <c r="BC4136" s="117"/>
      <c r="BD4136" s="117"/>
    </row>
    <row r="4137" spans="1:56" ht="15">
      <c r="A4137" s="114"/>
      <c r="B4137" s="1011" t="s">
        <v>1191</v>
      </c>
      <c r="C4137" s="172"/>
      <c r="D4137" s="173"/>
      <c r="E4137" s="425">
        <f>E4116+E4082+E4048+E4014+E3980+E3946+E3912+E3878+E3717+E3694+E3785+E3762+E3851+E3829+E3807+E3740</f>
        <v>42.802500000000002</v>
      </c>
      <c r="F4137" s="139" t="s">
        <v>13</v>
      </c>
      <c r="G4137" s="362"/>
      <c r="H4137" s="362"/>
      <c r="I4137" s="362"/>
      <c r="J4137" s="114"/>
      <c r="AU4137" s="117"/>
      <c r="AV4137" s="117"/>
      <c r="AW4137" s="117"/>
      <c r="AX4137" s="117"/>
      <c r="AY4137" s="117"/>
      <c r="AZ4137" s="117"/>
      <c r="BA4137" s="117"/>
      <c r="BB4137" s="117"/>
      <c r="BC4137" s="117"/>
      <c r="BD4137" s="117"/>
    </row>
    <row r="4138" spans="1:56" ht="15">
      <c r="A4138" s="114"/>
      <c r="B4138" s="40"/>
      <c r="C4138" s="1008"/>
      <c r="D4138" s="1008"/>
      <c r="E4138" s="401"/>
      <c r="F4138" s="284"/>
      <c r="G4138" s="362"/>
      <c r="H4138" s="362"/>
      <c r="I4138" s="362"/>
      <c r="J4138" s="114"/>
      <c r="AU4138" s="117"/>
      <c r="AV4138" s="117"/>
      <c r="AW4138" s="117"/>
      <c r="AX4138" s="117"/>
      <c r="AY4138" s="117"/>
      <c r="AZ4138" s="117"/>
      <c r="BA4138" s="117"/>
      <c r="BB4138" s="117"/>
      <c r="BC4138" s="117"/>
      <c r="BD4138" s="117"/>
    </row>
    <row r="4139" spans="1:56" ht="18">
      <c r="A4139" s="114"/>
      <c r="B4139" s="1011" t="s">
        <v>317</v>
      </c>
      <c r="C4139" s="172"/>
      <c r="D4139" s="173"/>
      <c r="E4139" s="425">
        <f>E4126+E4092+E4058+E4024+E3990+E3956+E3922+E3888+E3720+E3697+E3788+E3765+E3854+E3832+E3810+E3743</f>
        <v>2.1401250000000003</v>
      </c>
      <c r="F4139" s="139" t="s">
        <v>1124</v>
      </c>
      <c r="G4139" s="196"/>
      <c r="H4139" s="196"/>
      <c r="I4139" s="196"/>
      <c r="J4139" s="114"/>
      <c r="AU4139" s="117"/>
      <c r="AV4139" s="117"/>
      <c r="AW4139" s="117"/>
      <c r="AX4139" s="117"/>
      <c r="AY4139" s="117"/>
      <c r="AZ4139" s="117"/>
      <c r="BA4139" s="117"/>
      <c r="BB4139" s="117"/>
      <c r="BC4139" s="117"/>
      <c r="BD4139" s="117"/>
    </row>
    <row r="4140" spans="1:56" ht="15">
      <c r="A4140" s="114"/>
      <c r="B4140" s="1011" t="s">
        <v>1192</v>
      </c>
      <c r="C4140" s="172"/>
      <c r="D4140" s="173"/>
      <c r="E4140" s="425">
        <f>E4127+E4093+E4059+E4025+E3991+E3957+E3923+E3889+E3721+E3698+E3789+E3766+E3855+E3833+E3811+E3744</f>
        <v>154.29600000000002</v>
      </c>
      <c r="F4140" s="139" t="s">
        <v>13</v>
      </c>
      <c r="G4140" s="196"/>
      <c r="H4140" s="196"/>
      <c r="I4140" s="196"/>
      <c r="J4140" s="114"/>
      <c r="AU4140" s="117"/>
      <c r="AV4140" s="117"/>
      <c r="AW4140" s="117"/>
      <c r="AX4140" s="117"/>
      <c r="AY4140" s="117"/>
      <c r="AZ4140" s="117"/>
      <c r="BA4140" s="117"/>
      <c r="BB4140" s="117"/>
      <c r="BC4140" s="117"/>
      <c r="BD4140" s="117"/>
    </row>
    <row r="4141" spans="1:56" ht="18">
      <c r="A4141" s="114"/>
      <c r="B4141" s="1011" t="s">
        <v>316</v>
      </c>
      <c r="C4141" s="172"/>
      <c r="D4141" s="173"/>
      <c r="E4141" s="425">
        <f>E4128+E4094+E4060+E4026+E3992+E3958+E3924+E3890+E3722+E3699+E3790+E3767+E3856+E3834+E3812+E3745</f>
        <v>24.860800000000005</v>
      </c>
      <c r="F4141" s="139" t="s">
        <v>1124</v>
      </c>
      <c r="G4141" s="196"/>
      <c r="H4141" s="196"/>
      <c r="I4141" s="196"/>
      <c r="J4141" s="114"/>
      <c r="AU4141" s="117"/>
      <c r="AV4141" s="117"/>
      <c r="AW4141" s="117"/>
      <c r="AX4141" s="117"/>
      <c r="AY4141" s="117"/>
      <c r="AZ4141" s="117"/>
      <c r="BA4141" s="117"/>
      <c r="BB4141" s="117"/>
      <c r="BC4141" s="117"/>
      <c r="BD4141" s="117"/>
    </row>
    <row r="4142" spans="1:56">
      <c r="A4142" s="114"/>
      <c r="B4142" s="690"/>
      <c r="C4142" s="115"/>
      <c r="D4142" s="115"/>
      <c r="E4142" s="115"/>
      <c r="F4142" s="182"/>
      <c r="G4142" s="362"/>
      <c r="H4142" s="362"/>
      <c r="I4142" s="362"/>
      <c r="J4142" s="114"/>
      <c r="AU4142" s="117"/>
      <c r="AV4142" s="117"/>
      <c r="AW4142" s="117"/>
      <c r="AX4142" s="117"/>
      <c r="AY4142" s="117"/>
      <c r="AZ4142" s="117"/>
      <c r="BA4142" s="117"/>
      <c r="BB4142" s="117"/>
      <c r="BC4142" s="117"/>
      <c r="BD4142" s="117"/>
    </row>
    <row r="4143" spans="1:56">
      <c r="A4143" s="114"/>
      <c r="B4143" s="745" t="s">
        <v>1193</v>
      </c>
      <c r="C4143" s="413"/>
      <c r="D4143" s="452" t="s">
        <v>1194</v>
      </c>
      <c r="E4143" s="452" t="s">
        <v>67</v>
      </c>
      <c r="F4143" s="182"/>
      <c r="G4143" s="362"/>
      <c r="H4143" s="362"/>
      <c r="I4143" s="362"/>
      <c r="J4143" s="114"/>
      <c r="AU4143" s="117"/>
      <c r="AV4143" s="117"/>
      <c r="AW4143" s="117"/>
      <c r="AX4143" s="117"/>
      <c r="AY4143" s="117"/>
      <c r="AZ4143" s="117"/>
      <c r="BA4143" s="117"/>
      <c r="BB4143" s="117"/>
      <c r="BC4143" s="117"/>
      <c r="BD4143" s="117"/>
    </row>
    <row r="4144" spans="1:56">
      <c r="A4144" s="114"/>
      <c r="B4144" s="1011" t="s">
        <v>1195</v>
      </c>
      <c r="C4144" s="413"/>
      <c r="D4144" s="291">
        <f>E3919+E3885</f>
        <v>56</v>
      </c>
      <c r="E4144" s="427">
        <f>E3916+E3882</f>
        <v>4</v>
      </c>
      <c r="F4144" s="182"/>
      <c r="G4144" s="362"/>
      <c r="H4144" s="362"/>
      <c r="I4144" s="362"/>
      <c r="J4144" s="114"/>
      <c r="AU4144" s="117"/>
      <c r="AV4144" s="117"/>
      <c r="AW4144" s="117"/>
      <c r="AX4144" s="117"/>
      <c r="AY4144" s="117"/>
      <c r="AZ4144" s="117"/>
      <c r="BA4144" s="117"/>
      <c r="BB4144" s="117"/>
      <c r="BC4144" s="117"/>
      <c r="BD4144" s="117"/>
    </row>
    <row r="4145" spans="1:56">
      <c r="A4145" s="114"/>
      <c r="B4145" s="1011" t="s">
        <v>1214</v>
      </c>
      <c r="C4145" s="413"/>
      <c r="D4145" s="291">
        <f>E4021+E3987+E3953</f>
        <v>170</v>
      </c>
      <c r="E4145" s="427">
        <f>E4018+E3984+E3950</f>
        <v>10</v>
      </c>
      <c r="F4145" s="182"/>
      <c r="G4145" s="362"/>
      <c r="H4145" s="362"/>
      <c r="I4145" s="362"/>
      <c r="J4145" s="114"/>
      <c r="AU4145" s="117"/>
      <c r="AV4145" s="117"/>
      <c r="AW4145" s="117"/>
      <c r="AX4145" s="117"/>
      <c r="AY4145" s="117"/>
      <c r="AZ4145" s="117"/>
      <c r="BA4145" s="117"/>
      <c r="BB4145" s="117"/>
      <c r="BC4145" s="117"/>
      <c r="BD4145" s="117"/>
    </row>
    <row r="4146" spans="1:56">
      <c r="A4146" s="114"/>
      <c r="B4146" s="1011" t="s">
        <v>1196</v>
      </c>
      <c r="C4146" s="413"/>
      <c r="D4146" s="291">
        <f>E4123+E4089+E4055</f>
        <v>136</v>
      </c>
      <c r="E4146" s="1021">
        <f>E4120+E4086+E4052</f>
        <v>8</v>
      </c>
      <c r="F4146" s="182"/>
      <c r="G4146" s="362"/>
      <c r="H4146" s="362"/>
      <c r="I4146" s="362"/>
      <c r="J4146" s="114"/>
      <c r="AU4146" s="117"/>
      <c r="AV4146" s="117"/>
      <c r="AW4146" s="117"/>
      <c r="AX4146" s="117"/>
      <c r="AY4146" s="117"/>
      <c r="AZ4146" s="117"/>
      <c r="BA4146" s="117"/>
      <c r="BB4146" s="117"/>
      <c r="BC4146" s="117"/>
      <c r="BD4146" s="117"/>
    </row>
    <row r="4147" spans="1:56">
      <c r="A4147" s="114"/>
      <c r="B4147" s="694"/>
      <c r="C4147" s="1008"/>
      <c r="D4147" s="430"/>
      <c r="E4147" s="430"/>
      <c r="F4147" s="182"/>
      <c r="G4147" s="1008"/>
      <c r="H4147" s="1008"/>
      <c r="I4147" s="1008"/>
      <c r="J4147" s="114"/>
      <c r="AU4147" s="117"/>
      <c r="AV4147" s="117"/>
      <c r="AW4147" s="117"/>
      <c r="AX4147" s="117"/>
      <c r="AY4147" s="117"/>
      <c r="AZ4147" s="117"/>
      <c r="BA4147" s="117"/>
      <c r="BB4147" s="117"/>
      <c r="BC4147" s="117"/>
      <c r="BD4147" s="117"/>
    </row>
    <row r="4148" spans="1:56" ht="15">
      <c r="A4148" s="114"/>
      <c r="B4148" s="1014" t="s">
        <v>2356</v>
      </c>
      <c r="C4148" s="285">
        <v>207</v>
      </c>
      <c r="D4148" s="431" t="s">
        <v>12</v>
      </c>
      <c r="E4148" s="1199" t="s">
        <v>1275</v>
      </c>
      <c r="F4148" s="1200"/>
      <c r="G4148" s="1008"/>
      <c r="H4148" s="1008"/>
      <c r="I4148" s="1008"/>
      <c r="J4148" s="114"/>
      <c r="AU4148" s="117"/>
      <c r="AV4148" s="117"/>
      <c r="AW4148" s="117"/>
      <c r="AX4148" s="117"/>
      <c r="AY4148" s="117"/>
      <c r="AZ4148" s="117"/>
      <c r="BA4148" s="117"/>
      <c r="BB4148" s="117"/>
      <c r="BC4148" s="117"/>
      <c r="BD4148" s="117"/>
    </row>
    <row r="4149" spans="1:56" ht="15">
      <c r="A4149" s="114"/>
      <c r="B4149" s="717" t="s">
        <v>2373</v>
      </c>
      <c r="C4149" s="285">
        <v>653</v>
      </c>
      <c r="D4149" s="434" t="s">
        <v>12</v>
      </c>
      <c r="E4149" s="1216"/>
      <c r="F4149" s="1217"/>
      <c r="G4149" s="1008"/>
      <c r="H4149" s="1008"/>
      <c r="I4149" s="1008"/>
      <c r="J4149" s="114"/>
      <c r="AU4149" s="117"/>
      <c r="AV4149" s="117"/>
      <c r="AW4149" s="117"/>
      <c r="AX4149" s="117"/>
      <c r="AY4149" s="117"/>
      <c r="AZ4149" s="117"/>
      <c r="BA4149" s="117"/>
      <c r="BB4149" s="117"/>
      <c r="BC4149" s="117"/>
      <c r="BD4149" s="117"/>
    </row>
    <row r="4150" spans="1:56" thickBot="1">
      <c r="A4150" s="114"/>
      <c r="B4150" s="1025" t="s">
        <v>2357</v>
      </c>
      <c r="C4150" s="1016">
        <v>736</v>
      </c>
      <c r="D4150" s="1017" t="s">
        <v>12</v>
      </c>
      <c r="E4150" s="1205"/>
      <c r="F4150" s="1206"/>
      <c r="G4150" s="362"/>
      <c r="H4150" s="362"/>
      <c r="I4150" s="362"/>
      <c r="J4150" s="114"/>
      <c r="AU4150" s="117"/>
      <c r="AV4150" s="117"/>
      <c r="AW4150" s="117"/>
      <c r="AX4150" s="117"/>
      <c r="AY4150" s="117"/>
      <c r="AZ4150" s="117"/>
      <c r="BA4150" s="117"/>
      <c r="BB4150" s="117"/>
      <c r="BC4150" s="117"/>
      <c r="BD4150" s="117"/>
    </row>
    <row r="4151" spans="1:56" thickBot="1">
      <c r="A4151" s="114"/>
      <c r="B4151" s="196"/>
      <c r="C4151" s="196"/>
      <c r="D4151" s="196"/>
      <c r="E4151" s="196"/>
      <c r="F4151" s="196"/>
      <c r="G4151" s="196"/>
      <c r="H4151" s="196"/>
      <c r="I4151" s="196"/>
      <c r="J4151" s="114"/>
      <c r="AW4151" s="117"/>
      <c r="AX4151" s="117"/>
      <c r="AY4151" s="117"/>
      <c r="AZ4151" s="117"/>
      <c r="BA4151" s="117"/>
      <c r="BB4151" s="117"/>
      <c r="BC4151" s="117"/>
      <c r="BD4151" s="117"/>
    </row>
    <row r="4152" spans="1:56">
      <c r="A4152" s="114"/>
      <c r="B4152" s="702" t="s">
        <v>320</v>
      </c>
      <c r="C4152" s="282"/>
      <c r="D4152" s="282"/>
      <c r="E4152" s="282"/>
      <c r="F4152" s="283"/>
      <c r="G4152" s="196"/>
      <c r="H4152" s="196"/>
      <c r="I4152" s="196"/>
      <c r="J4152" s="114"/>
      <c r="AW4152" s="117"/>
      <c r="AX4152" s="117"/>
      <c r="AY4152" s="117"/>
      <c r="AZ4152" s="117"/>
      <c r="BA4152" s="117"/>
      <c r="BB4152" s="117"/>
      <c r="BC4152" s="117"/>
      <c r="BD4152" s="117"/>
    </row>
    <row r="4153" spans="1:56" ht="15">
      <c r="A4153" s="114"/>
      <c r="B4153" s="693"/>
      <c r="C4153" s="196"/>
      <c r="D4153" s="196"/>
      <c r="E4153" s="196"/>
      <c r="F4153" s="284"/>
      <c r="G4153" s="196"/>
      <c r="H4153" s="196"/>
      <c r="I4153" s="196"/>
      <c r="J4153" s="114"/>
      <c r="AW4153" s="117"/>
      <c r="AX4153" s="117"/>
      <c r="AY4153" s="117"/>
      <c r="AZ4153" s="117"/>
      <c r="BA4153" s="117"/>
      <c r="BB4153" s="117"/>
      <c r="BC4153" s="117"/>
      <c r="BD4153" s="117"/>
    </row>
    <row r="4154" spans="1:56" ht="15">
      <c r="A4154" s="114"/>
      <c r="B4154" s="691" t="s">
        <v>1276</v>
      </c>
      <c r="C4154" s="196"/>
      <c r="D4154" s="196"/>
      <c r="E4154" s="196"/>
      <c r="F4154" s="284"/>
      <c r="G4154" s="196"/>
      <c r="H4154" s="196"/>
      <c r="I4154" s="196"/>
      <c r="J4154" s="114"/>
      <c r="AY4154" s="117"/>
      <c r="AZ4154" s="117"/>
      <c r="BA4154" s="117"/>
      <c r="BB4154" s="117"/>
      <c r="BC4154" s="117"/>
      <c r="BD4154" s="117"/>
    </row>
    <row r="4155" spans="1:56" ht="15">
      <c r="A4155" s="114"/>
      <c r="B4155" s="703" t="s">
        <v>102</v>
      </c>
      <c r="C4155" s="285">
        <v>633</v>
      </c>
      <c r="D4155" s="286" t="s">
        <v>12</v>
      </c>
      <c r="E4155" s="769" t="s">
        <v>1277</v>
      </c>
      <c r="F4155" s="336"/>
      <c r="G4155" s="196"/>
      <c r="H4155" s="196"/>
      <c r="I4155" s="196"/>
      <c r="J4155" s="114"/>
      <c r="AY4155" s="117"/>
      <c r="AZ4155" s="117"/>
      <c r="BA4155" s="117"/>
      <c r="BB4155" s="117"/>
      <c r="BC4155" s="117"/>
      <c r="BD4155" s="117"/>
    </row>
    <row r="4156" spans="1:56" ht="15">
      <c r="A4156" s="114"/>
      <c r="B4156" s="693"/>
      <c r="C4156" s="196"/>
      <c r="D4156" s="196"/>
      <c r="E4156" s="196"/>
      <c r="F4156" s="284"/>
      <c r="G4156" s="196"/>
      <c r="H4156" s="196"/>
      <c r="I4156" s="196"/>
      <c r="J4156" s="114"/>
      <c r="AW4156" s="117"/>
      <c r="AX4156" s="117"/>
      <c r="AY4156" s="117"/>
      <c r="AZ4156" s="117"/>
      <c r="BA4156" s="117"/>
      <c r="BB4156" s="117"/>
      <c r="BC4156" s="117"/>
      <c r="BD4156" s="117"/>
    </row>
    <row r="4157" spans="1:56" ht="15">
      <c r="A4157" s="114"/>
      <c r="B4157" s="691" t="s">
        <v>2206</v>
      </c>
      <c r="C4157" s="196"/>
      <c r="D4157" s="196"/>
      <c r="E4157" s="196"/>
      <c r="F4157" s="284"/>
      <c r="G4157" s="196"/>
      <c r="H4157" s="196"/>
      <c r="I4157" s="196"/>
      <c r="J4157" s="114"/>
      <c r="AW4157" s="117"/>
      <c r="AX4157" s="117"/>
      <c r="AY4157" s="117"/>
      <c r="AZ4157" s="117"/>
      <c r="BA4157" s="117"/>
      <c r="BB4157" s="117"/>
      <c r="BC4157" s="117"/>
      <c r="BD4157" s="117"/>
    </row>
    <row r="4158" spans="1:56" ht="15">
      <c r="A4158" s="114"/>
      <c r="B4158" s="1203" t="s">
        <v>102</v>
      </c>
      <c r="C4158" s="285">
        <v>6391</v>
      </c>
      <c r="D4158" s="286" t="s">
        <v>12</v>
      </c>
      <c r="E4158" s="1199" t="s">
        <v>1278</v>
      </c>
      <c r="F4158" s="1200"/>
      <c r="G4158" s="196"/>
      <c r="H4158" s="196"/>
      <c r="I4158" s="196"/>
      <c r="J4158" s="114"/>
      <c r="AW4158" s="117"/>
      <c r="AX4158" s="117"/>
      <c r="AY4158" s="117"/>
      <c r="AZ4158" s="117"/>
      <c r="BA4158" s="117"/>
      <c r="BB4158" s="117"/>
      <c r="BC4158" s="117"/>
      <c r="BD4158" s="117"/>
    </row>
    <row r="4159" spans="1:56" ht="15">
      <c r="A4159" s="114"/>
      <c r="B4159" s="1204"/>
      <c r="C4159" s="285">
        <v>288</v>
      </c>
      <c r="D4159" s="286" t="s">
        <v>12</v>
      </c>
      <c r="E4159" s="1201"/>
      <c r="F4159" s="1202"/>
      <c r="G4159" s="196"/>
      <c r="H4159" s="196"/>
      <c r="I4159" s="196"/>
      <c r="J4159" s="114"/>
      <c r="AW4159" s="117"/>
      <c r="AX4159" s="117"/>
      <c r="AY4159" s="117"/>
      <c r="AZ4159" s="117"/>
      <c r="BA4159" s="117"/>
      <c r="BB4159" s="117"/>
      <c r="BC4159" s="117"/>
      <c r="BD4159" s="117"/>
    </row>
    <row r="4160" spans="1:56" ht="15">
      <c r="A4160" s="114"/>
      <c r="B4160" s="694"/>
      <c r="C4160" s="287"/>
      <c r="D4160" s="196"/>
      <c r="E4160" s="288"/>
      <c r="F4160" s="284"/>
      <c r="G4160" s="196"/>
      <c r="H4160" s="196"/>
      <c r="I4160" s="196"/>
      <c r="J4160" s="114"/>
      <c r="AW4160" s="117"/>
      <c r="AX4160" s="117"/>
      <c r="AY4160" s="117"/>
      <c r="AZ4160" s="117"/>
      <c r="BA4160" s="117"/>
      <c r="BB4160" s="117"/>
      <c r="BC4160" s="117"/>
      <c r="BD4160" s="117"/>
    </row>
    <row r="4161" spans="1:56">
      <c r="A4161" s="114"/>
      <c r="B4161" s="691" t="s">
        <v>351</v>
      </c>
      <c r="C4161" s="115"/>
      <c r="D4161" s="115"/>
      <c r="E4161" s="115"/>
      <c r="F4161" s="182"/>
      <c r="G4161" s="115"/>
      <c r="H4161" s="115"/>
      <c r="I4161" s="115"/>
      <c r="J4161" s="114"/>
      <c r="AW4161" s="117"/>
      <c r="AX4161" s="117"/>
      <c r="AY4161" s="117"/>
      <c r="AZ4161" s="117"/>
      <c r="BA4161" s="117"/>
      <c r="BB4161" s="117"/>
      <c r="BC4161" s="117"/>
      <c r="BD4161" s="117"/>
    </row>
    <row r="4162" spans="1:56" thickBot="1">
      <c r="A4162" s="114"/>
      <c r="B4162" s="720" t="s">
        <v>352</v>
      </c>
      <c r="C4162" s="174"/>
      <c r="D4162" s="176"/>
      <c r="E4162" s="428">
        <f>C4148+C4149+C4150+C4155+C4158+C4159</f>
        <v>8908</v>
      </c>
      <c r="F4162" s="440" t="s">
        <v>12</v>
      </c>
      <c r="G4162" s="362"/>
      <c r="H4162" s="362"/>
      <c r="I4162" s="362"/>
      <c r="J4162" s="114"/>
      <c r="AU4162" s="117"/>
      <c r="AV4162" s="117"/>
      <c r="AW4162" s="117"/>
      <c r="AX4162" s="117"/>
      <c r="AY4162" s="117"/>
      <c r="AZ4162" s="117"/>
      <c r="BA4162" s="117"/>
      <c r="BB4162" s="117"/>
      <c r="BC4162" s="117"/>
      <c r="BD4162" s="117"/>
    </row>
    <row r="4163" spans="1:56">
      <c r="A4163" s="114"/>
      <c r="B4163" s="115"/>
      <c r="C4163" s="115"/>
      <c r="D4163" s="115"/>
      <c r="E4163" s="115"/>
      <c r="F4163" s="115"/>
      <c r="G4163" s="115"/>
      <c r="H4163" s="115"/>
      <c r="I4163" s="115"/>
      <c r="J4163" s="114"/>
      <c r="AW4163" s="117"/>
      <c r="AX4163" s="117"/>
      <c r="AY4163" s="117"/>
      <c r="AZ4163" s="117"/>
      <c r="BA4163" s="117"/>
      <c r="BB4163" s="117"/>
      <c r="BC4163" s="117"/>
      <c r="BD4163" s="117"/>
    </row>
    <row r="4164" spans="1:56" ht="15">
      <c r="A4164" s="114"/>
      <c r="B4164" s="760" t="s">
        <v>2280</v>
      </c>
      <c r="C4164" s="382"/>
      <c r="D4164" s="382"/>
      <c r="E4164" s="382"/>
      <c r="F4164" s="382"/>
      <c r="G4164" s="382"/>
      <c r="H4164" s="383"/>
      <c r="I4164" s="383"/>
      <c r="J4164" s="351"/>
      <c r="AW4164" s="117"/>
      <c r="AX4164" s="117"/>
      <c r="AY4164" s="117"/>
      <c r="AZ4164" s="117"/>
      <c r="BA4164" s="117"/>
      <c r="BB4164" s="117"/>
      <c r="BC4164" s="117"/>
      <c r="BD4164" s="117"/>
    </row>
    <row r="4165" spans="1:56" ht="15">
      <c r="A4165" s="114"/>
      <c r="B4165" s="386"/>
      <c r="C4165" s="386"/>
      <c r="D4165" s="386"/>
      <c r="E4165" s="386"/>
      <c r="F4165" s="386"/>
      <c r="G4165" s="386"/>
      <c r="H4165" s="386"/>
      <c r="I4165" s="386"/>
      <c r="J4165" s="114"/>
      <c r="AW4165" s="117"/>
      <c r="AX4165" s="117"/>
      <c r="AY4165" s="117"/>
      <c r="AZ4165" s="117"/>
      <c r="BA4165" s="117"/>
      <c r="BB4165" s="117"/>
      <c r="BC4165" s="117"/>
      <c r="BD4165" s="117"/>
    </row>
    <row r="4166" spans="1:56" ht="15">
      <c r="A4166" s="114"/>
      <c r="B4166" s="288" t="s">
        <v>1787</v>
      </c>
      <c r="C4166" s="230"/>
      <c r="D4166" s="230"/>
      <c r="E4166" s="384"/>
      <c r="F4166" s="196"/>
      <c r="G4166" s="196"/>
      <c r="H4166" s="196"/>
      <c r="I4166" s="196"/>
      <c r="J4166" s="114"/>
      <c r="AW4166" s="117"/>
      <c r="AX4166" s="117"/>
      <c r="AY4166" s="117"/>
      <c r="AZ4166" s="117"/>
      <c r="BA4166" s="117"/>
      <c r="BB4166" s="117"/>
      <c r="BC4166" s="117"/>
      <c r="BD4166" s="117"/>
    </row>
    <row r="4167" spans="1:56" ht="15">
      <c r="A4167" s="114"/>
      <c r="B4167" s="386"/>
      <c r="C4167" s="386"/>
      <c r="D4167" s="386"/>
      <c r="E4167" s="386"/>
      <c r="F4167" s="386"/>
      <c r="G4167" s="386"/>
      <c r="H4167" s="386"/>
      <c r="I4167" s="386"/>
      <c r="J4167" s="114"/>
      <c r="AW4167" s="117"/>
      <c r="AX4167" s="117"/>
      <c r="AY4167" s="117"/>
      <c r="AZ4167" s="117"/>
      <c r="BA4167" s="117"/>
      <c r="BB4167" s="117"/>
      <c r="BC4167" s="117"/>
      <c r="BD4167" s="117"/>
    </row>
    <row r="4168" spans="1:56" ht="15">
      <c r="A4168" s="114"/>
      <c r="B4168" s="293"/>
      <c r="C4168" s="387"/>
      <c r="D4168" s="387"/>
      <c r="E4168" s="387"/>
      <c r="F4168" s="387"/>
      <c r="G4168" s="387"/>
      <c r="H4168" s="386"/>
      <c r="I4168" s="386"/>
      <c r="J4168" s="114"/>
      <c r="AW4168" s="117"/>
      <c r="AX4168" s="117"/>
      <c r="AY4168" s="117"/>
      <c r="AZ4168" s="117"/>
      <c r="BA4168" s="117"/>
      <c r="BB4168" s="117"/>
      <c r="BC4168" s="117"/>
      <c r="BD4168" s="117"/>
    </row>
    <row r="4169" spans="1:56">
      <c r="A4169" s="114"/>
      <c r="B4169" s="385" t="s">
        <v>1279</v>
      </c>
      <c r="C4169" s="196"/>
      <c r="D4169" s="196"/>
      <c r="E4169" s="196"/>
      <c r="F4169" s="196"/>
      <c r="G4169" s="196"/>
      <c r="H4169" s="196"/>
      <c r="I4169" s="196"/>
      <c r="J4169" s="114"/>
      <c r="AW4169" s="117"/>
      <c r="AX4169" s="117"/>
      <c r="AY4169" s="117"/>
      <c r="AZ4169" s="117"/>
      <c r="BA4169" s="117"/>
      <c r="BB4169" s="117"/>
      <c r="BC4169" s="117"/>
      <c r="BD4169" s="117"/>
    </row>
    <row r="4170" spans="1:56" ht="15">
      <c r="A4170" s="114"/>
      <c r="B4170" s="196"/>
      <c r="C4170" s="196"/>
      <c r="D4170" s="196"/>
      <c r="E4170" s="196"/>
      <c r="F4170" s="196"/>
      <c r="G4170" s="196"/>
      <c r="H4170" s="196"/>
      <c r="I4170" s="196"/>
      <c r="J4170" s="114"/>
      <c r="AW4170" s="117"/>
      <c r="AX4170" s="117"/>
      <c r="AY4170" s="117"/>
      <c r="AZ4170" s="117"/>
      <c r="BA4170" s="117"/>
      <c r="BB4170" s="117"/>
      <c r="BC4170" s="117"/>
      <c r="BD4170" s="117"/>
    </row>
    <row r="4171" spans="1:56" ht="15">
      <c r="A4171" s="114"/>
      <c r="B4171" s="388" t="s">
        <v>1110</v>
      </c>
      <c r="C4171" s="389">
        <v>0.4</v>
      </c>
      <c r="D4171" s="390" t="s">
        <v>10</v>
      </c>
      <c r="E4171" s="196"/>
      <c r="F4171" s="196"/>
      <c r="G4171" s="392"/>
      <c r="H4171" s="393"/>
      <c r="I4171" s="196"/>
      <c r="J4171" s="114"/>
      <c r="AW4171" s="117"/>
      <c r="AX4171" s="117"/>
      <c r="AY4171" s="117"/>
      <c r="AZ4171" s="117"/>
      <c r="BA4171" s="117"/>
      <c r="BB4171" s="117"/>
      <c r="BC4171" s="117"/>
      <c r="BD4171" s="117"/>
    </row>
    <row r="4172" spans="1:56" ht="15">
      <c r="A4172" s="114"/>
      <c r="B4172" s="388" t="s">
        <v>1111</v>
      </c>
      <c r="C4172" s="942">
        <f>3.29+1.895+1.895+3.29+2.095+1.695+1.04+0.595+0.795+0.795+1.04+0.995+0.595</f>
        <v>20.015000000000004</v>
      </c>
      <c r="D4172" s="390" t="s">
        <v>10</v>
      </c>
      <c r="E4172" s="196"/>
      <c r="F4172" s="196"/>
      <c r="G4172" s="392"/>
      <c r="H4172" s="393"/>
      <c r="I4172" s="196"/>
      <c r="J4172" s="114"/>
      <c r="AW4172" s="117"/>
      <c r="AX4172" s="117"/>
      <c r="AY4172" s="117"/>
      <c r="AZ4172" s="117"/>
      <c r="BA4172" s="117"/>
      <c r="BB4172" s="117"/>
      <c r="BC4172" s="117"/>
      <c r="BD4172" s="117"/>
    </row>
    <row r="4173" spans="1:56" ht="15">
      <c r="A4173" s="114"/>
      <c r="B4173" s="388" t="s">
        <v>1112</v>
      </c>
      <c r="C4173" s="389">
        <v>0.4</v>
      </c>
      <c r="D4173" s="390" t="s">
        <v>10</v>
      </c>
      <c r="E4173" s="196"/>
      <c r="F4173" s="196"/>
      <c r="G4173" s="392"/>
      <c r="H4173" s="393"/>
      <c r="I4173" s="196"/>
      <c r="J4173" s="114"/>
      <c r="AW4173" s="117"/>
      <c r="AX4173" s="117"/>
      <c r="AY4173" s="117"/>
      <c r="AZ4173" s="117"/>
      <c r="BA4173" s="117"/>
      <c r="BB4173" s="117"/>
      <c r="BC4173" s="117"/>
      <c r="BD4173" s="117"/>
    </row>
    <row r="4174" spans="1:56" ht="15">
      <c r="A4174" s="114"/>
      <c r="B4174" s="388" t="s">
        <v>1113</v>
      </c>
      <c r="C4174" s="389">
        <v>0.5</v>
      </c>
      <c r="D4174" s="390" t="s">
        <v>10</v>
      </c>
      <c r="E4174" s="196"/>
      <c r="F4174" s="196"/>
      <c r="G4174" s="392"/>
      <c r="H4174" s="394"/>
      <c r="I4174" s="196"/>
      <c r="J4174" s="114"/>
      <c r="AW4174" s="117"/>
      <c r="AX4174" s="117"/>
      <c r="AY4174" s="117"/>
      <c r="AZ4174" s="117"/>
      <c r="BA4174" s="117"/>
      <c r="BB4174" s="117"/>
      <c r="BC4174" s="117"/>
      <c r="BD4174" s="117"/>
    </row>
    <row r="4175" spans="1:56" ht="15">
      <c r="A4175" s="114"/>
      <c r="B4175" s="388" t="s">
        <v>1117</v>
      </c>
      <c r="C4175" s="389">
        <v>1</v>
      </c>
      <c r="D4175" s="390" t="s">
        <v>1118</v>
      </c>
      <c r="E4175" s="196"/>
      <c r="F4175" s="196"/>
      <c r="G4175" s="392"/>
      <c r="H4175" s="393"/>
      <c r="I4175" s="196"/>
      <c r="J4175" s="114"/>
      <c r="AW4175" s="117"/>
      <c r="AX4175" s="117"/>
      <c r="AY4175" s="117"/>
      <c r="AZ4175" s="117"/>
      <c r="BA4175" s="117"/>
      <c r="BB4175" s="117"/>
      <c r="BC4175" s="117"/>
      <c r="BD4175" s="117"/>
    </row>
    <row r="4176" spans="1:56" ht="15">
      <c r="A4176" s="114"/>
      <c r="B4176" s="392"/>
      <c r="C4176" s="393"/>
      <c r="D4176" s="196"/>
      <c r="E4176" s="196"/>
      <c r="F4176" s="196"/>
      <c r="G4176" s="392"/>
      <c r="H4176" s="393"/>
      <c r="I4176" s="196"/>
      <c r="J4176" s="114"/>
      <c r="AW4176" s="117"/>
      <c r="AX4176" s="117"/>
      <c r="AY4176" s="117"/>
      <c r="AZ4176" s="117"/>
      <c r="BA4176" s="117"/>
      <c r="BB4176" s="117"/>
      <c r="BC4176" s="117"/>
      <c r="BD4176" s="117"/>
    </row>
    <row r="4177" spans="1:56" ht="15">
      <c r="A4177" s="114"/>
      <c r="B4177" s="388" t="s">
        <v>1114</v>
      </c>
      <c r="C4177" s="389">
        <v>0.6</v>
      </c>
      <c r="D4177" s="390" t="s">
        <v>10</v>
      </c>
      <c r="E4177" s="288" t="s">
        <v>1120</v>
      </c>
      <c r="F4177" s="288"/>
      <c r="G4177" s="230"/>
      <c r="H4177" s="395"/>
      <c r="I4177" s="196"/>
      <c r="J4177" s="114"/>
      <c r="AW4177" s="117"/>
      <c r="AX4177" s="117"/>
      <c r="AY4177" s="117"/>
      <c r="AZ4177" s="117"/>
      <c r="BA4177" s="117"/>
      <c r="BB4177" s="117"/>
      <c r="BC4177" s="117"/>
      <c r="BD4177" s="117"/>
    </row>
    <row r="4178" spans="1:56" ht="15">
      <c r="A4178" s="114"/>
      <c r="B4178" s="388" t="s">
        <v>1114</v>
      </c>
      <c r="C4178" s="389">
        <v>0.2</v>
      </c>
      <c r="D4178" s="390" t="s">
        <v>10</v>
      </c>
      <c r="E4178" s="288" t="s">
        <v>1121</v>
      </c>
      <c r="F4178" s="288"/>
      <c r="G4178" s="230"/>
      <c r="H4178" s="395"/>
      <c r="I4178" s="196"/>
      <c r="J4178" s="114"/>
      <c r="AW4178" s="117"/>
      <c r="AX4178" s="117"/>
      <c r="AY4178" s="117"/>
      <c r="AZ4178" s="117"/>
      <c r="BA4178" s="117"/>
      <c r="BB4178" s="117"/>
      <c r="BC4178" s="117"/>
      <c r="BD4178" s="117"/>
    </row>
    <row r="4179" spans="1:56" ht="15">
      <c r="A4179" s="114"/>
      <c r="B4179" s="196"/>
      <c r="C4179" s="196"/>
      <c r="D4179" s="196"/>
      <c r="E4179" s="196"/>
      <c r="F4179" s="196"/>
      <c r="G4179" s="196"/>
      <c r="H4179" s="196"/>
      <c r="I4179" s="196"/>
      <c r="J4179" s="114"/>
      <c r="AW4179" s="117"/>
      <c r="AX4179" s="117"/>
      <c r="AY4179" s="117"/>
      <c r="AZ4179" s="117"/>
      <c r="BA4179" s="117"/>
      <c r="BB4179" s="117"/>
      <c r="BC4179" s="117"/>
      <c r="BD4179" s="117"/>
    </row>
    <row r="4180" spans="1:56" ht="15">
      <c r="A4180" s="114"/>
      <c r="B4180" s="303" t="s">
        <v>1122</v>
      </c>
      <c r="C4180" s="362"/>
      <c r="D4180" s="362"/>
      <c r="E4180" s="196"/>
      <c r="F4180" s="196"/>
      <c r="G4180" s="196"/>
      <c r="H4180" s="196"/>
      <c r="I4180" s="196"/>
      <c r="J4180" s="114"/>
      <c r="AW4180" s="117"/>
      <c r="AX4180" s="117"/>
      <c r="AY4180" s="117"/>
      <c r="AZ4180" s="117"/>
      <c r="BA4180" s="117"/>
      <c r="BB4180" s="117"/>
      <c r="BC4180" s="117"/>
      <c r="BD4180" s="117"/>
    </row>
    <row r="4181" spans="1:56" ht="18">
      <c r="A4181" s="114"/>
      <c r="B4181" s="396" t="s">
        <v>1123</v>
      </c>
      <c r="C4181" s="289"/>
      <c r="D4181" s="290"/>
      <c r="E4181" s="397">
        <f>C4175*(C4177*2*(0.05+C4174+C4173)*C4172)</f>
        <v>22.817100000000007</v>
      </c>
      <c r="F4181" s="390" t="s">
        <v>1124</v>
      </c>
      <c r="G4181" s="196"/>
      <c r="H4181" s="196"/>
      <c r="I4181" s="196"/>
      <c r="J4181" s="114"/>
      <c r="AW4181" s="117"/>
      <c r="AX4181" s="117"/>
      <c r="AY4181" s="117"/>
      <c r="AZ4181" s="117"/>
      <c r="BA4181" s="117"/>
      <c r="BB4181" s="117"/>
      <c r="BC4181" s="117"/>
      <c r="BD4181" s="117"/>
    </row>
    <row r="4182" spans="1:56" ht="18">
      <c r="A4182" s="114"/>
      <c r="B4182" s="398" t="s">
        <v>1125</v>
      </c>
      <c r="C4182" s="172"/>
      <c r="D4182" s="173"/>
      <c r="E4182" s="397">
        <f>E4181-(E4186+E4188)</f>
        <v>18.413800000000005</v>
      </c>
      <c r="F4182" s="390" t="s">
        <v>1124</v>
      </c>
      <c r="G4182" s="196"/>
      <c r="H4182" s="196"/>
      <c r="I4182" s="196"/>
      <c r="J4182" s="114"/>
      <c r="AW4182" s="117"/>
      <c r="AX4182" s="117"/>
      <c r="AY4182" s="117"/>
      <c r="AZ4182" s="117"/>
      <c r="BA4182" s="117"/>
      <c r="BB4182" s="117"/>
      <c r="BC4182" s="117"/>
      <c r="BD4182" s="117"/>
    </row>
    <row r="4183" spans="1:56" ht="15">
      <c r="A4183" s="114"/>
      <c r="B4183" s="399" t="s">
        <v>1126</v>
      </c>
      <c r="C4183" s="317"/>
      <c r="D4183" s="318"/>
      <c r="E4183" s="400">
        <f>(2*C4178)*C4172</f>
        <v>8.006000000000002</v>
      </c>
      <c r="F4183" s="390" t="s">
        <v>13</v>
      </c>
      <c r="G4183" s="196"/>
      <c r="H4183" s="196"/>
      <c r="I4183" s="196"/>
      <c r="J4183" s="114"/>
      <c r="AW4183" s="117"/>
      <c r="AX4183" s="117"/>
      <c r="AY4183" s="117"/>
      <c r="AZ4183" s="117"/>
      <c r="BA4183" s="117"/>
      <c r="BB4183" s="117"/>
      <c r="BC4183" s="117"/>
      <c r="BD4183" s="117"/>
    </row>
    <row r="4184" spans="1:56" ht="15">
      <c r="A4184" s="114"/>
      <c r="B4184" s="196"/>
      <c r="C4184" s="196"/>
      <c r="D4184" s="196"/>
      <c r="E4184" s="401"/>
      <c r="F4184" s="196"/>
      <c r="G4184" s="196"/>
      <c r="H4184" s="196"/>
      <c r="I4184" s="196"/>
      <c r="J4184" s="114"/>
      <c r="AW4184" s="117"/>
      <c r="AX4184" s="117"/>
      <c r="AY4184" s="117"/>
      <c r="AZ4184" s="117"/>
      <c r="BA4184" s="117"/>
      <c r="BB4184" s="117"/>
      <c r="BC4184" s="117"/>
      <c r="BD4184" s="117"/>
    </row>
    <row r="4185" spans="1:56" ht="15">
      <c r="A4185" s="114"/>
      <c r="B4185" s="303" t="s">
        <v>1127</v>
      </c>
      <c r="C4185" s="196"/>
      <c r="D4185" s="196"/>
      <c r="E4185" s="401"/>
      <c r="F4185" s="196"/>
      <c r="G4185" s="196"/>
      <c r="H4185" s="196"/>
      <c r="I4185" s="196"/>
      <c r="J4185" s="114"/>
      <c r="AW4185" s="117"/>
      <c r="AX4185" s="117"/>
      <c r="AY4185" s="117"/>
      <c r="AZ4185" s="117"/>
      <c r="BA4185" s="117"/>
      <c r="BB4185" s="117"/>
      <c r="BC4185" s="117"/>
      <c r="BD4185" s="117"/>
    </row>
    <row r="4186" spans="1:56" ht="18">
      <c r="A4186" s="114"/>
      <c r="B4186" s="398" t="s">
        <v>1128</v>
      </c>
      <c r="C4186" s="172"/>
      <c r="D4186" s="173"/>
      <c r="E4186" s="402">
        <f>E4183*0.05</f>
        <v>0.4003000000000001</v>
      </c>
      <c r="F4186" s="390" t="s">
        <v>1124</v>
      </c>
      <c r="G4186" s="196"/>
      <c r="H4186" s="196"/>
      <c r="I4186" s="196"/>
      <c r="J4186" s="114"/>
      <c r="AW4186" s="117"/>
      <c r="AX4186" s="117"/>
      <c r="AY4186" s="117"/>
      <c r="AZ4186" s="117"/>
      <c r="BA4186" s="117"/>
      <c r="BB4186" s="117"/>
      <c r="BC4186" s="117"/>
      <c r="BD4186" s="117"/>
    </row>
    <row r="4187" spans="1:56" ht="15">
      <c r="A4187" s="114"/>
      <c r="B4187" s="398" t="s">
        <v>1129</v>
      </c>
      <c r="C4187" s="172"/>
      <c r="D4187" s="173"/>
      <c r="E4187" s="397">
        <f>C4174*2*C4172</f>
        <v>20.015000000000004</v>
      </c>
      <c r="F4187" s="390" t="s">
        <v>13</v>
      </c>
      <c r="G4187" s="393" t="s">
        <v>1108</v>
      </c>
      <c r="H4187" s="196" t="s">
        <v>1131</v>
      </c>
      <c r="I4187" s="393"/>
      <c r="J4187" s="114"/>
      <c r="AW4187" s="117"/>
      <c r="AX4187" s="117"/>
      <c r="AY4187" s="117"/>
      <c r="AZ4187" s="117"/>
      <c r="BA4187" s="117"/>
      <c r="BB4187" s="117"/>
      <c r="BC4187" s="117"/>
      <c r="BD4187" s="117"/>
    </row>
    <row r="4188" spans="1:56" ht="18">
      <c r="A4188" s="114"/>
      <c r="B4188" s="398" t="s">
        <v>1130</v>
      </c>
      <c r="C4188" s="172"/>
      <c r="D4188" s="173"/>
      <c r="E4188" s="402">
        <f>C4171*C4172*C4174</f>
        <v>4.003000000000001</v>
      </c>
      <c r="F4188" s="390" t="s">
        <v>1124</v>
      </c>
      <c r="G4188" s="196"/>
      <c r="H4188" s="196"/>
      <c r="I4188" s="196"/>
      <c r="J4188" s="114"/>
      <c r="AW4188" s="117"/>
      <c r="AX4188" s="117"/>
      <c r="AY4188" s="117"/>
      <c r="AZ4188" s="117"/>
      <c r="BA4188" s="117"/>
      <c r="BB4188" s="117"/>
      <c r="BC4188" s="117"/>
      <c r="BD4188" s="117"/>
    </row>
    <row r="4189" spans="1:56" ht="15">
      <c r="A4189" s="114"/>
      <c r="B4189" s="288"/>
      <c r="C4189" s="230"/>
      <c r="D4189" s="230"/>
      <c r="E4189" s="384"/>
      <c r="F4189" s="196"/>
      <c r="G4189" s="196"/>
      <c r="H4189" s="196"/>
      <c r="I4189" s="196"/>
      <c r="J4189" s="114"/>
      <c r="AW4189" s="117"/>
      <c r="AX4189" s="117"/>
      <c r="AY4189" s="117"/>
      <c r="AZ4189" s="117"/>
      <c r="BA4189" s="117"/>
      <c r="BB4189" s="117"/>
      <c r="BC4189" s="117"/>
      <c r="BD4189" s="117"/>
    </row>
    <row r="4190" spans="1:56" ht="15">
      <c r="A4190" s="114"/>
      <c r="B4190" s="386"/>
      <c r="C4190" s="386"/>
      <c r="D4190" s="386"/>
      <c r="E4190" s="386"/>
      <c r="F4190" s="386"/>
      <c r="G4190" s="386"/>
      <c r="H4190" s="386"/>
      <c r="I4190" s="386"/>
      <c r="J4190" s="114"/>
      <c r="AW4190" s="117"/>
      <c r="AX4190" s="117"/>
      <c r="AY4190" s="117"/>
      <c r="AZ4190" s="117"/>
      <c r="BA4190" s="117"/>
      <c r="BB4190" s="117"/>
      <c r="BC4190" s="117"/>
      <c r="BD4190" s="117"/>
    </row>
    <row r="4191" spans="1:56" ht="15">
      <c r="A4191" s="114"/>
      <c r="B4191" s="293"/>
      <c r="C4191" s="387"/>
      <c r="D4191" s="387"/>
      <c r="E4191" s="387"/>
      <c r="F4191" s="387"/>
      <c r="G4191" s="387"/>
      <c r="H4191" s="386"/>
      <c r="I4191" s="386"/>
      <c r="J4191" s="114"/>
      <c r="AW4191" s="117"/>
      <c r="AX4191" s="117"/>
      <c r="AY4191" s="117"/>
      <c r="AZ4191" s="117"/>
      <c r="BA4191" s="117"/>
      <c r="BB4191" s="117"/>
      <c r="BC4191" s="117"/>
      <c r="BD4191" s="117"/>
    </row>
    <row r="4192" spans="1:56">
      <c r="A4192" s="114"/>
      <c r="B4192" s="385" t="s">
        <v>1280</v>
      </c>
      <c r="C4192" s="196"/>
      <c r="D4192" s="196"/>
      <c r="E4192" s="196"/>
      <c r="F4192" s="196"/>
      <c r="G4192" s="196"/>
      <c r="H4192" s="196"/>
      <c r="I4192" s="196"/>
      <c r="J4192" s="114"/>
      <c r="AW4192" s="117"/>
      <c r="AX4192" s="117"/>
      <c r="AY4192" s="117"/>
      <c r="AZ4192" s="117"/>
      <c r="BA4192" s="117"/>
      <c r="BB4192" s="117"/>
      <c r="BC4192" s="117"/>
      <c r="BD4192" s="117"/>
    </row>
    <row r="4193" spans="1:56" ht="15">
      <c r="A4193" s="114"/>
      <c r="B4193" s="196"/>
      <c r="C4193" s="196"/>
      <c r="D4193" s="196"/>
      <c r="E4193" s="196"/>
      <c r="F4193" s="196"/>
      <c r="G4193" s="196"/>
      <c r="H4193" s="196"/>
      <c r="I4193" s="196"/>
      <c r="J4193" s="114"/>
      <c r="AW4193" s="117"/>
      <c r="AX4193" s="117"/>
      <c r="AY4193" s="117"/>
      <c r="AZ4193" s="117"/>
      <c r="BA4193" s="117"/>
      <c r="BB4193" s="117"/>
      <c r="BC4193" s="117"/>
      <c r="BD4193" s="117"/>
    </row>
    <row r="4194" spans="1:56" ht="15">
      <c r="A4194" s="114"/>
      <c r="B4194" s="388" t="s">
        <v>1110</v>
      </c>
      <c r="C4194" s="389">
        <v>0.2</v>
      </c>
      <c r="D4194" s="390" t="s">
        <v>10</v>
      </c>
      <c r="E4194" s="196"/>
      <c r="F4194" s="196"/>
      <c r="G4194" s="392"/>
      <c r="H4194" s="393"/>
      <c r="I4194" s="196"/>
      <c r="J4194" s="114"/>
      <c r="AW4194" s="117"/>
      <c r="AX4194" s="117"/>
      <c r="AY4194" s="117"/>
      <c r="AZ4194" s="117"/>
      <c r="BA4194" s="117"/>
      <c r="BB4194" s="117"/>
      <c r="BC4194" s="117"/>
      <c r="BD4194" s="117"/>
    </row>
    <row r="4195" spans="1:56" ht="15">
      <c r="A4195" s="114"/>
      <c r="B4195" s="388" t="s">
        <v>1111</v>
      </c>
      <c r="C4195" s="391">
        <v>0.55000000000000004</v>
      </c>
      <c r="D4195" s="390" t="s">
        <v>10</v>
      </c>
      <c r="E4195" s="196"/>
      <c r="F4195" s="196"/>
      <c r="G4195" s="392"/>
      <c r="H4195" s="393"/>
      <c r="I4195" s="196"/>
      <c r="J4195" s="114"/>
      <c r="AW4195" s="117"/>
      <c r="AX4195" s="117"/>
      <c r="AY4195" s="117"/>
      <c r="AZ4195" s="117"/>
      <c r="BA4195" s="117"/>
      <c r="BB4195" s="117"/>
      <c r="BC4195" s="117"/>
      <c r="BD4195" s="117"/>
    </row>
    <row r="4196" spans="1:56" ht="15">
      <c r="A4196" s="114"/>
      <c r="B4196" s="388" t="s">
        <v>1112</v>
      </c>
      <c r="C4196" s="389">
        <v>0.4</v>
      </c>
      <c r="D4196" s="390" t="s">
        <v>10</v>
      </c>
      <c r="E4196" s="196"/>
      <c r="F4196" s="196"/>
      <c r="G4196" s="392"/>
      <c r="H4196" s="393"/>
      <c r="I4196" s="196"/>
      <c r="J4196" s="114"/>
      <c r="AW4196" s="117"/>
      <c r="AX4196" s="117"/>
      <c r="AY4196" s="117"/>
      <c r="AZ4196" s="117"/>
      <c r="BA4196" s="117"/>
      <c r="BB4196" s="117"/>
      <c r="BC4196" s="117"/>
      <c r="BD4196" s="117"/>
    </row>
    <row r="4197" spans="1:56" ht="15">
      <c r="A4197" s="114"/>
      <c r="B4197" s="388" t="s">
        <v>1113</v>
      </c>
      <c r="C4197" s="389">
        <v>0.5</v>
      </c>
      <c r="D4197" s="390" t="s">
        <v>10</v>
      </c>
      <c r="E4197" s="196"/>
      <c r="F4197" s="196"/>
      <c r="G4197" s="392"/>
      <c r="H4197" s="394"/>
      <c r="I4197" s="196"/>
      <c r="J4197" s="114"/>
      <c r="AW4197" s="117"/>
      <c r="AX4197" s="117"/>
      <c r="AY4197" s="117"/>
      <c r="AZ4197" s="117"/>
      <c r="BA4197" s="117"/>
      <c r="BB4197" s="117"/>
      <c r="BC4197" s="117"/>
      <c r="BD4197" s="117"/>
    </row>
    <row r="4198" spans="1:56" ht="15">
      <c r="A4198" s="114"/>
      <c r="B4198" s="388" t="s">
        <v>1117</v>
      </c>
      <c r="C4198" s="389">
        <v>1</v>
      </c>
      <c r="D4198" s="390" t="s">
        <v>1118</v>
      </c>
      <c r="E4198" s="196"/>
      <c r="F4198" s="196"/>
      <c r="G4198" s="392"/>
      <c r="H4198" s="393"/>
      <c r="I4198" s="196"/>
      <c r="J4198" s="114"/>
      <c r="AW4198" s="117"/>
      <c r="AX4198" s="117"/>
      <c r="AY4198" s="117"/>
      <c r="AZ4198" s="117"/>
      <c r="BA4198" s="117"/>
      <c r="BB4198" s="117"/>
      <c r="BC4198" s="117"/>
      <c r="BD4198" s="117"/>
    </row>
    <row r="4199" spans="1:56" ht="15">
      <c r="A4199" s="114"/>
      <c r="B4199" s="392"/>
      <c r="C4199" s="393"/>
      <c r="D4199" s="196"/>
      <c r="E4199" s="196"/>
      <c r="F4199" s="196"/>
      <c r="G4199" s="392"/>
      <c r="H4199" s="393"/>
      <c r="I4199" s="196"/>
      <c r="J4199" s="114"/>
      <c r="AW4199" s="117"/>
      <c r="AX4199" s="117"/>
      <c r="AY4199" s="117"/>
      <c r="AZ4199" s="117"/>
      <c r="BA4199" s="117"/>
      <c r="BB4199" s="117"/>
      <c r="BC4199" s="117"/>
      <c r="BD4199" s="117"/>
    </row>
    <row r="4200" spans="1:56" ht="15">
      <c r="A4200" s="114"/>
      <c r="B4200" s="388" t="s">
        <v>1114</v>
      </c>
      <c r="C4200" s="389">
        <v>0.6</v>
      </c>
      <c r="D4200" s="390" t="s">
        <v>10</v>
      </c>
      <c r="E4200" s="288" t="s">
        <v>1120</v>
      </c>
      <c r="F4200" s="288"/>
      <c r="G4200" s="230"/>
      <c r="H4200" s="395"/>
      <c r="I4200" s="196"/>
      <c r="J4200" s="114"/>
      <c r="AW4200" s="117"/>
      <c r="AX4200" s="117"/>
      <c r="AY4200" s="117"/>
      <c r="AZ4200" s="117"/>
      <c r="BA4200" s="117"/>
      <c r="BB4200" s="117"/>
      <c r="BC4200" s="117"/>
      <c r="BD4200" s="117"/>
    </row>
    <row r="4201" spans="1:56" ht="15">
      <c r="A4201" s="114"/>
      <c r="B4201" s="388" t="s">
        <v>1114</v>
      </c>
      <c r="C4201" s="389">
        <v>0.2</v>
      </c>
      <c r="D4201" s="390" t="s">
        <v>10</v>
      </c>
      <c r="E4201" s="288" t="s">
        <v>1121</v>
      </c>
      <c r="F4201" s="288"/>
      <c r="G4201" s="230"/>
      <c r="H4201" s="395"/>
      <c r="I4201" s="196"/>
      <c r="J4201" s="114"/>
      <c r="AW4201" s="117"/>
      <c r="AX4201" s="117"/>
      <c r="AY4201" s="117"/>
      <c r="AZ4201" s="117"/>
      <c r="BA4201" s="117"/>
      <c r="BB4201" s="117"/>
      <c r="BC4201" s="117"/>
      <c r="BD4201" s="117"/>
    </row>
    <row r="4202" spans="1:56" ht="15">
      <c r="A4202" s="114"/>
      <c r="B4202" s="196"/>
      <c r="C4202" s="196"/>
      <c r="D4202" s="196"/>
      <c r="E4202" s="196"/>
      <c r="F4202" s="196"/>
      <c r="G4202" s="196"/>
      <c r="H4202" s="196"/>
      <c r="I4202" s="196"/>
      <c r="J4202" s="114"/>
      <c r="AW4202" s="117"/>
      <c r="AX4202" s="117"/>
      <c r="AY4202" s="117"/>
      <c r="AZ4202" s="117"/>
      <c r="BA4202" s="117"/>
      <c r="BB4202" s="117"/>
      <c r="BC4202" s="117"/>
      <c r="BD4202" s="117"/>
    </row>
    <row r="4203" spans="1:56" ht="15">
      <c r="A4203" s="114"/>
      <c r="B4203" s="303" t="s">
        <v>1122</v>
      </c>
      <c r="C4203" s="362"/>
      <c r="D4203" s="362"/>
      <c r="E4203" s="196"/>
      <c r="F4203" s="196"/>
      <c r="G4203" s="196"/>
      <c r="H4203" s="196"/>
      <c r="I4203" s="196"/>
      <c r="J4203" s="114"/>
      <c r="AW4203" s="117"/>
      <c r="AX4203" s="117"/>
      <c r="AY4203" s="117"/>
      <c r="AZ4203" s="117"/>
      <c r="BA4203" s="117"/>
      <c r="BB4203" s="117"/>
      <c r="BC4203" s="117"/>
      <c r="BD4203" s="117"/>
    </row>
    <row r="4204" spans="1:56" ht="18">
      <c r="A4204" s="114"/>
      <c r="B4204" s="396" t="s">
        <v>1123</v>
      </c>
      <c r="C4204" s="289"/>
      <c r="D4204" s="290"/>
      <c r="E4204" s="397">
        <f>C4198*(C4200*2*(0.05+C4197+C4196)*C4195)</f>
        <v>0.62700000000000011</v>
      </c>
      <c r="F4204" s="390" t="s">
        <v>1124</v>
      </c>
      <c r="G4204" s="196"/>
      <c r="H4204" s="196"/>
      <c r="I4204" s="196"/>
      <c r="J4204" s="114"/>
      <c r="AW4204" s="117"/>
      <c r="AX4204" s="117"/>
      <c r="AY4204" s="117"/>
      <c r="AZ4204" s="117"/>
      <c r="BA4204" s="117"/>
      <c r="BB4204" s="117"/>
      <c r="BC4204" s="117"/>
      <c r="BD4204" s="117"/>
    </row>
    <row r="4205" spans="1:56" ht="18">
      <c r="A4205" s="114"/>
      <c r="B4205" s="398" t="s">
        <v>1125</v>
      </c>
      <c r="C4205" s="172"/>
      <c r="D4205" s="173"/>
      <c r="E4205" s="397">
        <f>E4204-(E4209+E4211)</f>
        <v>0.56100000000000017</v>
      </c>
      <c r="F4205" s="390" t="s">
        <v>1124</v>
      </c>
      <c r="G4205" s="196"/>
      <c r="H4205" s="196"/>
      <c r="I4205" s="196"/>
      <c r="J4205" s="114"/>
      <c r="AW4205" s="117"/>
      <c r="AX4205" s="117"/>
      <c r="AY4205" s="117"/>
      <c r="AZ4205" s="117"/>
      <c r="BA4205" s="117"/>
      <c r="BB4205" s="117"/>
      <c r="BC4205" s="117"/>
      <c r="BD4205" s="117"/>
    </row>
    <row r="4206" spans="1:56" ht="15">
      <c r="A4206" s="114"/>
      <c r="B4206" s="399" t="s">
        <v>1126</v>
      </c>
      <c r="C4206" s="317"/>
      <c r="D4206" s="318"/>
      <c r="E4206" s="400">
        <f>(2*C4201)*C4195</f>
        <v>0.22000000000000003</v>
      </c>
      <c r="F4206" s="390" t="s">
        <v>13</v>
      </c>
      <c r="G4206" s="196"/>
      <c r="H4206" s="196"/>
      <c r="I4206" s="196"/>
      <c r="J4206" s="114"/>
      <c r="AW4206" s="117"/>
      <c r="AX4206" s="117"/>
      <c r="AY4206" s="117"/>
      <c r="AZ4206" s="117"/>
      <c r="BA4206" s="117"/>
      <c r="BB4206" s="117"/>
      <c r="BC4206" s="117"/>
      <c r="BD4206" s="117"/>
    </row>
    <row r="4207" spans="1:56" ht="15">
      <c r="A4207" s="114"/>
      <c r="B4207" s="196"/>
      <c r="C4207" s="196"/>
      <c r="D4207" s="196"/>
      <c r="E4207" s="401"/>
      <c r="F4207" s="196"/>
      <c r="G4207" s="196"/>
      <c r="H4207" s="196"/>
      <c r="I4207" s="196"/>
      <c r="J4207" s="114"/>
      <c r="AW4207" s="117"/>
      <c r="AX4207" s="117"/>
      <c r="AY4207" s="117"/>
      <c r="AZ4207" s="117"/>
      <c r="BA4207" s="117"/>
      <c r="BB4207" s="117"/>
      <c r="BC4207" s="117"/>
      <c r="BD4207" s="117"/>
    </row>
    <row r="4208" spans="1:56" ht="15">
      <c r="A4208" s="114"/>
      <c r="B4208" s="303" t="s">
        <v>1127</v>
      </c>
      <c r="C4208" s="196"/>
      <c r="D4208" s="196"/>
      <c r="E4208" s="401"/>
      <c r="F4208" s="196"/>
      <c r="G4208" s="196"/>
      <c r="H4208" s="196"/>
      <c r="I4208" s="196"/>
      <c r="J4208" s="114"/>
      <c r="AW4208" s="117"/>
      <c r="AX4208" s="117"/>
      <c r="AY4208" s="117"/>
      <c r="AZ4208" s="117"/>
      <c r="BA4208" s="117"/>
      <c r="BB4208" s="117"/>
      <c r="BC4208" s="117"/>
      <c r="BD4208" s="117"/>
    </row>
    <row r="4209" spans="1:56" ht="18">
      <c r="A4209" s="114"/>
      <c r="B4209" s="398" t="s">
        <v>1128</v>
      </c>
      <c r="C4209" s="172"/>
      <c r="D4209" s="173"/>
      <c r="E4209" s="402">
        <f>E4206*0.05</f>
        <v>1.1000000000000003E-2</v>
      </c>
      <c r="F4209" s="390" t="s">
        <v>1124</v>
      </c>
      <c r="G4209" s="196"/>
      <c r="H4209" s="196"/>
      <c r="I4209" s="196"/>
      <c r="J4209" s="114"/>
      <c r="AW4209" s="117"/>
      <c r="AX4209" s="117"/>
      <c r="AY4209" s="117"/>
      <c r="AZ4209" s="117"/>
      <c r="BA4209" s="117"/>
      <c r="BB4209" s="117"/>
      <c r="BC4209" s="117"/>
      <c r="BD4209" s="117"/>
    </row>
    <row r="4210" spans="1:56" ht="15">
      <c r="A4210" s="114"/>
      <c r="B4210" s="398" t="s">
        <v>1129</v>
      </c>
      <c r="C4210" s="172"/>
      <c r="D4210" s="173"/>
      <c r="E4210" s="397">
        <f>C4197*2*C4195</f>
        <v>0.55000000000000004</v>
      </c>
      <c r="F4210" s="390" t="s">
        <v>13</v>
      </c>
      <c r="G4210" s="393" t="s">
        <v>1108</v>
      </c>
      <c r="H4210" s="196" t="s">
        <v>1131</v>
      </c>
      <c r="I4210" s="393"/>
      <c r="J4210" s="114"/>
      <c r="AW4210" s="117"/>
      <c r="AX4210" s="117"/>
      <c r="AY4210" s="117"/>
      <c r="AZ4210" s="117"/>
      <c r="BA4210" s="117"/>
      <c r="BB4210" s="117"/>
      <c r="BC4210" s="117"/>
      <c r="BD4210" s="117"/>
    </row>
    <row r="4211" spans="1:56" ht="18">
      <c r="A4211" s="114"/>
      <c r="B4211" s="398" t="s">
        <v>1130</v>
      </c>
      <c r="C4211" s="172"/>
      <c r="D4211" s="173"/>
      <c r="E4211" s="402">
        <f>C4194*C4195*C4197</f>
        <v>5.5000000000000007E-2</v>
      </c>
      <c r="F4211" s="390" t="s">
        <v>1124</v>
      </c>
      <c r="G4211" s="196"/>
      <c r="H4211" s="196"/>
      <c r="I4211" s="196"/>
      <c r="J4211" s="114"/>
      <c r="AW4211" s="117"/>
      <c r="AX4211" s="117"/>
      <c r="AY4211" s="117"/>
      <c r="AZ4211" s="117"/>
      <c r="BA4211" s="117"/>
      <c r="BB4211" s="117"/>
      <c r="BC4211" s="117"/>
      <c r="BD4211" s="117"/>
    </row>
    <row r="4212" spans="1:56" ht="15">
      <c r="A4212" s="114"/>
      <c r="B4212" s="288"/>
      <c r="C4212" s="230"/>
      <c r="D4212" s="230"/>
      <c r="E4212" s="384"/>
      <c r="F4212" s="196"/>
      <c r="G4212" s="196"/>
      <c r="H4212" s="196"/>
      <c r="I4212" s="196"/>
      <c r="J4212" s="114"/>
      <c r="AW4212" s="117"/>
      <c r="AX4212" s="117"/>
      <c r="AY4212" s="117"/>
      <c r="AZ4212" s="117"/>
      <c r="BA4212" s="117"/>
      <c r="BB4212" s="117"/>
      <c r="BC4212" s="117"/>
      <c r="BD4212" s="117"/>
    </row>
    <row r="4213" spans="1:56" ht="15">
      <c r="A4213" s="114"/>
      <c r="B4213" s="386"/>
      <c r="C4213" s="386"/>
      <c r="D4213" s="386"/>
      <c r="E4213" s="386"/>
      <c r="F4213" s="386"/>
      <c r="G4213" s="386"/>
      <c r="H4213" s="386"/>
      <c r="I4213" s="386"/>
      <c r="J4213" s="114"/>
      <c r="AW4213" s="117"/>
      <c r="AX4213" s="117"/>
      <c r="AY4213" s="117"/>
      <c r="AZ4213" s="117"/>
      <c r="BA4213" s="117"/>
      <c r="BB4213" s="117"/>
      <c r="BC4213" s="117"/>
      <c r="BD4213" s="117"/>
    </row>
    <row r="4214" spans="1:56" ht="15">
      <c r="A4214" s="114"/>
      <c r="B4214" s="293"/>
      <c r="C4214" s="387"/>
      <c r="D4214" s="387"/>
      <c r="E4214" s="387"/>
      <c r="F4214" s="387"/>
      <c r="G4214" s="387"/>
      <c r="H4214" s="386"/>
      <c r="I4214" s="386"/>
      <c r="J4214" s="114"/>
      <c r="AW4214" s="117"/>
      <c r="AX4214" s="117"/>
      <c r="AY4214" s="117"/>
      <c r="AZ4214" s="117"/>
      <c r="BA4214" s="117"/>
      <c r="BB4214" s="117"/>
      <c r="BC4214" s="117"/>
      <c r="BD4214" s="117"/>
    </row>
    <row r="4215" spans="1:56">
      <c r="A4215" s="114"/>
      <c r="B4215" s="385" t="s">
        <v>1281</v>
      </c>
      <c r="C4215" s="196"/>
      <c r="D4215" s="196"/>
      <c r="E4215" s="196"/>
      <c r="F4215" s="196"/>
      <c r="G4215" s="196"/>
      <c r="H4215" s="196"/>
      <c r="I4215" s="196"/>
      <c r="J4215" s="114"/>
      <c r="AW4215" s="117"/>
      <c r="AX4215" s="117"/>
      <c r="AY4215" s="117"/>
      <c r="AZ4215" s="117"/>
      <c r="BA4215" s="117"/>
      <c r="BB4215" s="117"/>
      <c r="BC4215" s="117"/>
      <c r="BD4215" s="117"/>
    </row>
    <row r="4216" spans="1:56" ht="15">
      <c r="A4216" s="114"/>
      <c r="B4216" s="196"/>
      <c r="C4216" s="196"/>
      <c r="D4216" s="196"/>
      <c r="E4216" s="196"/>
      <c r="F4216" s="196"/>
      <c r="G4216" s="196"/>
      <c r="H4216" s="196"/>
      <c r="I4216" s="196"/>
      <c r="J4216" s="114"/>
      <c r="AW4216" s="117"/>
      <c r="AX4216" s="117"/>
      <c r="AY4216" s="117"/>
      <c r="AZ4216" s="117"/>
      <c r="BA4216" s="117"/>
      <c r="BB4216" s="117"/>
      <c r="BC4216" s="117"/>
      <c r="BD4216" s="117"/>
    </row>
    <row r="4217" spans="1:56" ht="15">
      <c r="A4217" s="114"/>
      <c r="B4217" s="388" t="s">
        <v>1110</v>
      </c>
      <c r="C4217" s="389">
        <v>0.2</v>
      </c>
      <c r="D4217" s="390" t="s">
        <v>10</v>
      </c>
      <c r="E4217" s="196"/>
      <c r="F4217" s="196"/>
      <c r="G4217" s="392"/>
      <c r="H4217" s="393"/>
      <c r="I4217" s="196"/>
      <c r="J4217" s="114"/>
      <c r="AW4217" s="117"/>
      <c r="AX4217" s="117"/>
      <c r="AY4217" s="117"/>
      <c r="AZ4217" s="117"/>
      <c r="BA4217" s="117"/>
      <c r="BB4217" s="117"/>
      <c r="BC4217" s="117"/>
      <c r="BD4217" s="117"/>
    </row>
    <row r="4218" spans="1:56" ht="15">
      <c r="A4218" s="114"/>
      <c r="B4218" s="388" t="s">
        <v>1111</v>
      </c>
      <c r="C4218" s="391">
        <v>1.2</v>
      </c>
      <c r="D4218" s="390" t="s">
        <v>10</v>
      </c>
      <c r="E4218" s="196"/>
      <c r="F4218" s="196"/>
      <c r="G4218" s="392"/>
      <c r="H4218" s="393"/>
      <c r="I4218" s="196"/>
      <c r="J4218" s="114"/>
      <c r="AW4218" s="117"/>
      <c r="AX4218" s="117"/>
      <c r="AY4218" s="117"/>
      <c r="AZ4218" s="117"/>
      <c r="BA4218" s="117"/>
      <c r="BB4218" s="117"/>
      <c r="BC4218" s="117"/>
      <c r="BD4218" s="117"/>
    </row>
    <row r="4219" spans="1:56" ht="15">
      <c r="A4219" s="114"/>
      <c r="B4219" s="388" t="s">
        <v>1112</v>
      </c>
      <c r="C4219" s="389">
        <v>0</v>
      </c>
      <c r="D4219" s="390" t="s">
        <v>10</v>
      </c>
      <c r="E4219" s="196"/>
      <c r="F4219" s="196"/>
      <c r="G4219" s="392"/>
      <c r="H4219" s="393"/>
      <c r="I4219" s="196"/>
      <c r="J4219" s="114"/>
      <c r="AW4219" s="117"/>
      <c r="AX4219" s="117"/>
      <c r="AY4219" s="117"/>
      <c r="AZ4219" s="117"/>
      <c r="BA4219" s="117"/>
      <c r="BB4219" s="117"/>
      <c r="BC4219" s="117"/>
      <c r="BD4219" s="117"/>
    </row>
    <row r="4220" spans="1:56" ht="15">
      <c r="A4220" s="114"/>
      <c r="B4220" s="388" t="s">
        <v>1113</v>
      </c>
      <c r="C4220" s="389">
        <v>1.08</v>
      </c>
      <c r="D4220" s="390" t="s">
        <v>10</v>
      </c>
      <c r="E4220" s="196"/>
      <c r="F4220" s="196"/>
      <c r="G4220" s="392"/>
      <c r="H4220" s="394"/>
      <c r="I4220" s="196"/>
      <c r="J4220" s="114"/>
      <c r="AW4220" s="117"/>
      <c r="AX4220" s="117"/>
      <c r="AY4220" s="117"/>
      <c r="AZ4220" s="117"/>
      <c r="BA4220" s="117"/>
      <c r="BB4220" s="117"/>
      <c r="BC4220" s="117"/>
      <c r="BD4220" s="117"/>
    </row>
    <row r="4221" spans="1:56" ht="15">
      <c r="A4221" s="114"/>
      <c r="B4221" s="388" t="s">
        <v>1117</v>
      </c>
      <c r="C4221" s="389">
        <v>1</v>
      </c>
      <c r="D4221" s="390" t="s">
        <v>1118</v>
      </c>
      <c r="E4221" s="196"/>
      <c r="F4221" s="196"/>
      <c r="G4221" s="392"/>
      <c r="H4221" s="393"/>
      <c r="I4221" s="196"/>
      <c r="J4221" s="114"/>
      <c r="AW4221" s="117"/>
      <c r="AX4221" s="117"/>
      <c r="AY4221" s="117"/>
      <c r="AZ4221" s="117"/>
      <c r="BA4221" s="117"/>
      <c r="BB4221" s="117"/>
      <c r="BC4221" s="117"/>
      <c r="BD4221" s="117"/>
    </row>
    <row r="4222" spans="1:56" ht="15">
      <c r="A4222" s="114"/>
      <c r="B4222" s="392"/>
      <c r="C4222" s="393"/>
      <c r="D4222" s="196"/>
      <c r="E4222" s="196"/>
      <c r="F4222" s="196"/>
      <c r="G4222" s="392"/>
      <c r="H4222" s="393"/>
      <c r="I4222" s="196"/>
      <c r="J4222" s="114"/>
      <c r="AW4222" s="117"/>
      <c r="AX4222" s="117"/>
      <c r="AY4222" s="117"/>
      <c r="AZ4222" s="117"/>
      <c r="BA4222" s="117"/>
      <c r="BB4222" s="117"/>
      <c r="BC4222" s="117"/>
      <c r="BD4222" s="117"/>
    </row>
    <row r="4223" spans="1:56" ht="15">
      <c r="A4223" s="114"/>
      <c r="B4223" s="388" t="s">
        <v>1114</v>
      </c>
      <c r="C4223" s="389">
        <v>0.6</v>
      </c>
      <c r="D4223" s="390" t="s">
        <v>10</v>
      </c>
      <c r="E4223" s="288" t="s">
        <v>1120</v>
      </c>
      <c r="F4223" s="288"/>
      <c r="G4223" s="230"/>
      <c r="H4223" s="395"/>
      <c r="I4223" s="196"/>
      <c r="J4223" s="114"/>
      <c r="AW4223" s="117"/>
      <c r="AX4223" s="117"/>
      <c r="AY4223" s="117"/>
      <c r="AZ4223" s="117"/>
      <c r="BA4223" s="117"/>
      <c r="BB4223" s="117"/>
      <c r="BC4223" s="117"/>
      <c r="BD4223" s="117"/>
    </row>
    <row r="4224" spans="1:56" ht="15">
      <c r="A4224" s="114"/>
      <c r="B4224" s="388" t="s">
        <v>1114</v>
      </c>
      <c r="C4224" s="389">
        <v>0.2</v>
      </c>
      <c r="D4224" s="390" t="s">
        <v>10</v>
      </c>
      <c r="E4224" s="288" t="s">
        <v>1121</v>
      </c>
      <c r="F4224" s="288"/>
      <c r="G4224" s="230"/>
      <c r="H4224" s="395"/>
      <c r="I4224" s="196"/>
      <c r="J4224" s="114"/>
      <c r="AW4224" s="117"/>
      <c r="AX4224" s="117"/>
      <c r="AY4224" s="117"/>
      <c r="AZ4224" s="117"/>
      <c r="BA4224" s="117"/>
      <c r="BB4224" s="117"/>
      <c r="BC4224" s="117"/>
      <c r="BD4224" s="117"/>
    </row>
    <row r="4225" spans="1:56" ht="15">
      <c r="A4225" s="114"/>
      <c r="B4225" s="196"/>
      <c r="C4225" s="196"/>
      <c r="D4225" s="196"/>
      <c r="E4225" s="196"/>
      <c r="F4225" s="196"/>
      <c r="G4225" s="196"/>
      <c r="H4225" s="196"/>
      <c r="I4225" s="196"/>
      <c r="J4225" s="114"/>
      <c r="AW4225" s="117"/>
      <c r="AX4225" s="117"/>
      <c r="AY4225" s="117"/>
      <c r="AZ4225" s="117"/>
      <c r="BA4225" s="117"/>
      <c r="BB4225" s="117"/>
      <c r="BC4225" s="117"/>
      <c r="BD4225" s="117"/>
    </row>
    <row r="4226" spans="1:56" ht="15">
      <c r="A4226" s="114"/>
      <c r="B4226" s="303" t="s">
        <v>1122</v>
      </c>
      <c r="C4226" s="362"/>
      <c r="D4226" s="362"/>
      <c r="E4226" s="196"/>
      <c r="F4226" s="196"/>
      <c r="G4226" s="196"/>
      <c r="H4226" s="196"/>
      <c r="I4226" s="196"/>
      <c r="J4226" s="114"/>
      <c r="AW4226" s="117"/>
      <c r="AX4226" s="117"/>
      <c r="AY4226" s="117"/>
      <c r="AZ4226" s="117"/>
      <c r="BA4226" s="117"/>
      <c r="BB4226" s="117"/>
      <c r="BC4226" s="117"/>
      <c r="BD4226" s="117"/>
    </row>
    <row r="4227" spans="1:56" ht="18">
      <c r="A4227" s="114"/>
      <c r="B4227" s="396" t="s">
        <v>1123</v>
      </c>
      <c r="C4227" s="289"/>
      <c r="D4227" s="290"/>
      <c r="E4227" s="397">
        <f>C4221*(C4223*2*(0.05+C4220+C4219)*C4218)</f>
        <v>1.6272</v>
      </c>
      <c r="F4227" s="390" t="s">
        <v>1124</v>
      </c>
      <c r="G4227" s="196"/>
      <c r="H4227" s="196"/>
      <c r="I4227" s="196"/>
      <c r="J4227" s="114"/>
      <c r="AW4227" s="117"/>
      <c r="AX4227" s="117"/>
      <c r="AY4227" s="117"/>
      <c r="AZ4227" s="117"/>
      <c r="BA4227" s="117"/>
      <c r="BB4227" s="117"/>
      <c r="BC4227" s="117"/>
      <c r="BD4227" s="117"/>
    </row>
    <row r="4228" spans="1:56" ht="18">
      <c r="A4228" s="114"/>
      <c r="B4228" s="398" t="s">
        <v>1125</v>
      </c>
      <c r="C4228" s="172"/>
      <c r="D4228" s="173"/>
      <c r="E4228" s="397">
        <f>E4227-(E4232+E4234)</f>
        <v>1.3439999999999999</v>
      </c>
      <c r="F4228" s="390" t="s">
        <v>1124</v>
      </c>
      <c r="G4228" s="196"/>
      <c r="H4228" s="196"/>
      <c r="I4228" s="196"/>
      <c r="J4228" s="114"/>
      <c r="AW4228" s="117"/>
      <c r="AX4228" s="117"/>
      <c r="AY4228" s="117"/>
      <c r="AZ4228" s="117"/>
      <c r="BA4228" s="117"/>
      <c r="BB4228" s="117"/>
      <c r="BC4228" s="117"/>
      <c r="BD4228" s="117"/>
    </row>
    <row r="4229" spans="1:56" ht="15">
      <c r="A4229" s="114"/>
      <c r="B4229" s="399" t="s">
        <v>1126</v>
      </c>
      <c r="C4229" s="317"/>
      <c r="D4229" s="318"/>
      <c r="E4229" s="400">
        <f>(2*C4224)*C4218</f>
        <v>0.48</v>
      </c>
      <c r="F4229" s="390" t="s">
        <v>13</v>
      </c>
      <c r="G4229" s="196"/>
      <c r="H4229" s="196"/>
      <c r="I4229" s="196"/>
      <c r="J4229" s="114"/>
      <c r="AW4229" s="117"/>
      <c r="AX4229" s="117"/>
      <c r="AY4229" s="117"/>
      <c r="AZ4229" s="117"/>
      <c r="BA4229" s="117"/>
      <c r="BB4229" s="117"/>
      <c r="BC4229" s="117"/>
      <c r="BD4229" s="117"/>
    </row>
    <row r="4230" spans="1:56" ht="15">
      <c r="A4230" s="114"/>
      <c r="B4230" s="196"/>
      <c r="C4230" s="196"/>
      <c r="D4230" s="196"/>
      <c r="E4230" s="401"/>
      <c r="F4230" s="196"/>
      <c r="G4230" s="196"/>
      <c r="H4230" s="196"/>
      <c r="I4230" s="196"/>
      <c r="J4230" s="114"/>
      <c r="AW4230" s="117"/>
      <c r="AX4230" s="117"/>
      <c r="AY4230" s="117"/>
      <c r="AZ4230" s="117"/>
      <c r="BA4230" s="117"/>
      <c r="BB4230" s="117"/>
      <c r="BC4230" s="117"/>
      <c r="BD4230" s="117"/>
    </row>
    <row r="4231" spans="1:56" ht="15">
      <c r="A4231" s="114"/>
      <c r="B4231" s="303" t="s">
        <v>1127</v>
      </c>
      <c r="C4231" s="196"/>
      <c r="D4231" s="196"/>
      <c r="E4231" s="401"/>
      <c r="F4231" s="196"/>
      <c r="G4231" s="196"/>
      <c r="H4231" s="196"/>
      <c r="I4231" s="196"/>
      <c r="J4231" s="114"/>
      <c r="AW4231" s="117"/>
      <c r="AX4231" s="117"/>
      <c r="AY4231" s="117"/>
      <c r="AZ4231" s="117"/>
      <c r="BA4231" s="117"/>
      <c r="BB4231" s="117"/>
      <c r="BC4231" s="117"/>
      <c r="BD4231" s="117"/>
    </row>
    <row r="4232" spans="1:56" ht="18">
      <c r="A4232" s="114"/>
      <c r="B4232" s="398" t="s">
        <v>1128</v>
      </c>
      <c r="C4232" s="172"/>
      <c r="D4232" s="173"/>
      <c r="E4232" s="402">
        <f>E4229*0.05</f>
        <v>2.4E-2</v>
      </c>
      <c r="F4232" s="390" t="s">
        <v>1124</v>
      </c>
      <c r="G4232" s="196"/>
      <c r="H4232" s="196"/>
      <c r="I4232" s="196"/>
      <c r="J4232" s="114"/>
      <c r="AW4232" s="117"/>
      <c r="AX4232" s="117"/>
      <c r="AY4232" s="117"/>
      <c r="AZ4232" s="117"/>
      <c r="BA4232" s="117"/>
      <c r="BB4232" s="117"/>
      <c r="BC4232" s="117"/>
      <c r="BD4232" s="117"/>
    </row>
    <row r="4233" spans="1:56" ht="15">
      <c r="A4233" s="114"/>
      <c r="B4233" s="398" t="s">
        <v>1129</v>
      </c>
      <c r="C4233" s="172"/>
      <c r="D4233" s="173"/>
      <c r="E4233" s="397">
        <f>C4220*2*C4218</f>
        <v>2.5920000000000001</v>
      </c>
      <c r="F4233" s="390" t="s">
        <v>13</v>
      </c>
      <c r="G4233" s="393" t="s">
        <v>1108</v>
      </c>
      <c r="H4233" s="196" t="s">
        <v>1131</v>
      </c>
      <c r="I4233" s="393"/>
      <c r="J4233" s="114"/>
      <c r="AW4233" s="117"/>
      <c r="AX4233" s="117"/>
      <c r="AY4233" s="117"/>
      <c r="AZ4233" s="117"/>
      <c r="BA4233" s="117"/>
      <c r="BB4233" s="117"/>
      <c r="BC4233" s="117"/>
      <c r="BD4233" s="117"/>
    </row>
    <row r="4234" spans="1:56" ht="18">
      <c r="A4234" s="114"/>
      <c r="B4234" s="398" t="s">
        <v>1130</v>
      </c>
      <c r="C4234" s="172"/>
      <c r="D4234" s="173"/>
      <c r="E4234" s="402">
        <f>C4217*C4218*C4220</f>
        <v>0.25919999999999999</v>
      </c>
      <c r="F4234" s="390" t="s">
        <v>1124</v>
      </c>
      <c r="G4234" s="196"/>
      <c r="H4234" s="196"/>
      <c r="I4234" s="196"/>
      <c r="J4234" s="114"/>
      <c r="AW4234" s="117"/>
      <c r="AX4234" s="117"/>
      <c r="AY4234" s="117"/>
      <c r="AZ4234" s="117"/>
      <c r="BA4234" s="117"/>
      <c r="BB4234" s="117"/>
      <c r="BC4234" s="117"/>
      <c r="BD4234" s="117"/>
    </row>
    <row r="4235" spans="1:56" ht="15">
      <c r="A4235" s="114"/>
      <c r="B4235" s="288"/>
      <c r="C4235" s="230"/>
      <c r="D4235" s="230"/>
      <c r="E4235" s="384"/>
      <c r="F4235" s="196"/>
      <c r="G4235" s="196"/>
      <c r="H4235" s="196"/>
      <c r="I4235" s="196"/>
      <c r="J4235" s="114"/>
      <c r="AW4235" s="117"/>
      <c r="AX4235" s="117"/>
      <c r="AY4235" s="117"/>
      <c r="AZ4235" s="117"/>
      <c r="BA4235" s="117"/>
      <c r="BB4235" s="117"/>
      <c r="BC4235" s="117"/>
      <c r="BD4235" s="117"/>
    </row>
    <row r="4236" spans="1:56" ht="15">
      <c r="A4236" s="114"/>
      <c r="B4236" s="114"/>
      <c r="C4236" s="114"/>
      <c r="D4236" s="114"/>
      <c r="E4236" s="114"/>
      <c r="F4236" s="114"/>
      <c r="G4236" s="114"/>
      <c r="H4236" s="114"/>
      <c r="I4236" s="386"/>
      <c r="J4236" s="114"/>
      <c r="AW4236" s="117"/>
      <c r="AX4236" s="117"/>
      <c r="AY4236" s="117"/>
      <c r="AZ4236" s="117"/>
      <c r="BA4236" s="117"/>
      <c r="BB4236" s="117"/>
      <c r="BC4236" s="117"/>
      <c r="BD4236" s="117"/>
    </row>
    <row r="4237" spans="1:56" ht="15">
      <c r="A4237" s="114"/>
      <c r="B4237" s="114"/>
      <c r="C4237" s="114"/>
      <c r="D4237" s="114"/>
      <c r="E4237" s="114"/>
      <c r="F4237" s="114"/>
      <c r="G4237" s="196"/>
      <c r="H4237" s="196"/>
      <c r="I4237" s="196"/>
      <c r="J4237" s="114"/>
      <c r="AW4237" s="117"/>
      <c r="AX4237" s="117"/>
      <c r="AY4237" s="117"/>
      <c r="AZ4237" s="117"/>
      <c r="BA4237" s="117"/>
      <c r="BB4237" s="117"/>
      <c r="BC4237" s="117"/>
      <c r="BD4237" s="117"/>
    </row>
    <row r="4238" spans="1:56">
      <c r="A4238" s="114"/>
      <c r="B4238" s="483" t="s">
        <v>1282</v>
      </c>
      <c r="C4238" s="196"/>
      <c r="D4238" s="196"/>
      <c r="E4238" s="196"/>
      <c r="F4238" s="196"/>
      <c r="G4238" s="404"/>
      <c r="H4238" s="404"/>
      <c r="I4238" s="404"/>
      <c r="J4238" s="196"/>
      <c r="AX4238" s="117"/>
      <c r="AY4238" s="117"/>
      <c r="AZ4238" s="117"/>
      <c r="BA4238" s="117"/>
      <c r="BB4238" s="117"/>
      <c r="BC4238" s="117"/>
      <c r="BD4238" s="117"/>
    </row>
    <row r="4239" spans="1:56" ht="18">
      <c r="A4239" s="114"/>
      <c r="B4239" s="362"/>
      <c r="C4239" s="362"/>
      <c r="D4239" s="362"/>
      <c r="E4239" s="362"/>
      <c r="F4239" s="404"/>
      <c r="G4239" s="406" t="s">
        <v>1142</v>
      </c>
      <c r="H4239" s="407">
        <f>C4240</f>
        <v>0.4</v>
      </c>
      <c r="I4239" s="405" t="s">
        <v>1143</v>
      </c>
      <c r="J4239" s="404"/>
      <c r="AX4239" s="117"/>
      <c r="AY4239" s="117"/>
      <c r="AZ4239" s="117"/>
      <c r="BA4239" s="117"/>
      <c r="BB4239" s="117"/>
      <c r="BC4239" s="117"/>
      <c r="BD4239" s="117"/>
    </row>
    <row r="4240" spans="1:56" ht="15">
      <c r="A4240" s="114"/>
      <c r="B4240" s="388" t="s">
        <v>1169</v>
      </c>
      <c r="C4240" s="389">
        <v>0.4</v>
      </c>
      <c r="D4240" s="390" t="s">
        <v>13</v>
      </c>
      <c r="E4240" s="196"/>
      <c r="F4240" s="405"/>
      <c r="G4240" s="406" t="e">
        <f>TEXT(C4247,"tg 0°=")</f>
        <v>#VALUE!</v>
      </c>
      <c r="H4240" s="408">
        <f>TAN(3.14159265359*C4247/180)</f>
        <v>1.732050807569153</v>
      </c>
      <c r="I4240" s="405"/>
      <c r="J4240" s="405"/>
      <c r="AX4240" s="117"/>
      <c r="AY4240" s="117"/>
      <c r="AZ4240" s="117"/>
      <c r="BA4240" s="117"/>
      <c r="BB4240" s="117"/>
      <c r="BC4240" s="117"/>
      <c r="BD4240" s="117"/>
    </row>
    <row r="4241" spans="1:56" ht="15">
      <c r="A4241" s="114"/>
      <c r="B4241" s="388" t="s">
        <v>1110</v>
      </c>
      <c r="C4241" s="389">
        <v>1.9</v>
      </c>
      <c r="D4241" s="390" t="s">
        <v>10</v>
      </c>
      <c r="E4241" s="196"/>
      <c r="F4241" s="405"/>
      <c r="G4241" s="406"/>
      <c r="H4241" s="407"/>
      <c r="I4241" s="405"/>
      <c r="J4241" s="405"/>
      <c r="AX4241" s="117"/>
      <c r="AY4241" s="117"/>
      <c r="AZ4241" s="117"/>
      <c r="BA4241" s="117"/>
      <c r="BB4241" s="117"/>
      <c r="BC4241" s="117"/>
      <c r="BD4241" s="117"/>
    </row>
    <row r="4242" spans="1:56" ht="18">
      <c r="A4242" s="114"/>
      <c r="B4242" s="388" t="s">
        <v>1111</v>
      </c>
      <c r="C4242" s="389">
        <v>1.9</v>
      </c>
      <c r="D4242" s="390" t="s">
        <v>10</v>
      </c>
      <c r="E4242" s="196"/>
      <c r="F4242" s="405"/>
      <c r="G4242" s="406" t="s">
        <v>1142</v>
      </c>
      <c r="H4242" s="409">
        <f>(C4241+2*C4249+((C4243+C4244+0.05)/H4240)*2)*(C4242+2*C4249+((C4243+C4244+0.05)/H4240)*2)</f>
        <v>18.864912236580913</v>
      </c>
      <c r="I4242" s="405" t="s">
        <v>1143</v>
      </c>
      <c r="J4242" s="405"/>
      <c r="AX4242" s="117"/>
      <c r="AY4242" s="117"/>
      <c r="AZ4242" s="117"/>
      <c r="BA4242" s="117"/>
      <c r="BB4242" s="117"/>
      <c r="BC4242" s="117"/>
      <c r="BD4242" s="117"/>
    </row>
    <row r="4243" spans="1:56" ht="18">
      <c r="A4243" s="114"/>
      <c r="B4243" s="388" t="s">
        <v>1112</v>
      </c>
      <c r="C4243" s="389">
        <v>0.4</v>
      </c>
      <c r="D4243" s="390" t="s">
        <v>10</v>
      </c>
      <c r="E4243" s="196"/>
      <c r="F4243" s="405"/>
      <c r="G4243" s="406" t="s">
        <v>1147</v>
      </c>
      <c r="H4243" s="409">
        <f>(C4241+2*C4249)*(C4242+2*C4249)</f>
        <v>8.41</v>
      </c>
      <c r="I4243" s="405" t="s">
        <v>1143</v>
      </c>
      <c r="J4243" s="405"/>
      <c r="AX4243" s="117"/>
      <c r="AY4243" s="117"/>
      <c r="AZ4243" s="117"/>
      <c r="BA4243" s="117"/>
      <c r="BB4243" s="117"/>
      <c r="BC4243" s="117"/>
      <c r="BD4243" s="117"/>
    </row>
    <row r="4244" spans="1:56" ht="15">
      <c r="A4244" s="114"/>
      <c r="B4244" s="388" t="s">
        <v>1113</v>
      </c>
      <c r="C4244" s="389">
        <v>0.8</v>
      </c>
      <c r="D4244" s="390" t="s">
        <v>10</v>
      </c>
      <c r="E4244" s="196"/>
      <c r="F4244" s="405"/>
      <c r="G4244" s="406"/>
      <c r="H4244" s="407"/>
      <c r="I4244" s="405"/>
      <c r="J4244" s="405"/>
      <c r="AX4244" s="117"/>
      <c r="AY4244" s="117"/>
      <c r="AZ4244" s="117"/>
      <c r="BA4244" s="117"/>
      <c r="BB4244" s="117"/>
      <c r="BC4244" s="117"/>
      <c r="BD4244" s="117"/>
    </row>
    <row r="4245" spans="1:56" ht="15">
      <c r="A4245" s="114"/>
      <c r="B4245" s="388" t="s">
        <v>1117</v>
      </c>
      <c r="C4245" s="391">
        <v>4</v>
      </c>
      <c r="D4245" s="390" t="s">
        <v>1118</v>
      </c>
      <c r="E4245" s="196"/>
      <c r="F4245" s="405"/>
      <c r="G4245" s="406"/>
      <c r="H4245" s="407"/>
      <c r="I4245" s="405"/>
      <c r="J4245" s="405"/>
      <c r="AX4245" s="117"/>
      <c r="AY4245" s="117"/>
      <c r="AZ4245" s="117"/>
      <c r="BA4245" s="117"/>
      <c r="BB4245" s="117"/>
      <c r="BC4245" s="117"/>
      <c r="BD4245" s="117"/>
    </row>
    <row r="4246" spans="1:56" ht="15">
      <c r="A4246" s="114"/>
      <c r="B4246" s="196" t="s">
        <v>1148</v>
      </c>
      <c r="C4246" s="393"/>
      <c r="D4246" s="196"/>
      <c r="E4246" s="196"/>
      <c r="F4246" s="405"/>
      <c r="G4246" s="406"/>
      <c r="H4246" s="407"/>
      <c r="I4246" s="405"/>
      <c r="J4246" s="405"/>
      <c r="AX4246" s="117"/>
      <c r="AY4246" s="117"/>
      <c r="AZ4246" s="117"/>
      <c r="BA4246" s="117"/>
      <c r="BB4246" s="117"/>
      <c r="BC4246" s="117"/>
      <c r="BD4246" s="117"/>
    </row>
    <row r="4247" spans="1:56" ht="15">
      <c r="A4247" s="114"/>
      <c r="B4247" s="388" t="s">
        <v>1149</v>
      </c>
      <c r="C4247" s="389">
        <v>60</v>
      </c>
      <c r="D4247" s="390" t="s">
        <v>1150</v>
      </c>
      <c r="E4247" s="196"/>
      <c r="F4247" s="196"/>
      <c r="G4247" s="392"/>
      <c r="H4247" s="393"/>
      <c r="I4247" s="196"/>
      <c r="J4247" s="196"/>
      <c r="AX4247" s="117"/>
      <c r="AY4247" s="117"/>
      <c r="AZ4247" s="117"/>
      <c r="BA4247" s="117"/>
      <c r="BB4247" s="117"/>
      <c r="BC4247" s="117"/>
      <c r="BD4247" s="117"/>
    </row>
    <row r="4248" spans="1:56" ht="15">
      <c r="A4248" s="114"/>
      <c r="B4248" s="362"/>
      <c r="C4248" s="196"/>
      <c r="D4248" s="196"/>
      <c r="E4248" s="196"/>
      <c r="F4248" s="196"/>
      <c r="G4248" s="362"/>
      <c r="H4248" s="362"/>
      <c r="I4248" s="362"/>
      <c r="J4248" s="196"/>
      <c r="AX4248" s="117"/>
      <c r="AY4248" s="117"/>
      <c r="AZ4248" s="117"/>
      <c r="BA4248" s="117"/>
      <c r="BB4248" s="117"/>
      <c r="BC4248" s="117"/>
      <c r="BD4248" s="117"/>
    </row>
    <row r="4249" spans="1:56" ht="15">
      <c r="A4249" s="114"/>
      <c r="B4249" s="388" t="s">
        <v>1114</v>
      </c>
      <c r="C4249" s="389">
        <v>0.5</v>
      </c>
      <c r="D4249" s="390" t="s">
        <v>10</v>
      </c>
      <c r="E4249" s="288" t="s">
        <v>1120</v>
      </c>
      <c r="F4249" s="196"/>
      <c r="G4249" s="362"/>
      <c r="H4249" s="362"/>
      <c r="I4249" s="362"/>
      <c r="J4249" s="196"/>
      <c r="AX4249" s="117"/>
      <c r="AY4249" s="117"/>
      <c r="AZ4249" s="117"/>
      <c r="BA4249" s="117"/>
      <c r="BB4249" s="117"/>
      <c r="BC4249" s="117"/>
      <c r="BD4249" s="117"/>
    </row>
    <row r="4250" spans="1:56" ht="15">
      <c r="A4250" s="114"/>
      <c r="B4250" s="388" t="s">
        <v>1114</v>
      </c>
      <c r="C4250" s="389">
        <v>0.1</v>
      </c>
      <c r="D4250" s="390" t="s">
        <v>10</v>
      </c>
      <c r="E4250" s="288" t="s">
        <v>1121</v>
      </c>
      <c r="F4250" s="196"/>
      <c r="G4250" s="362"/>
      <c r="H4250" s="362"/>
      <c r="I4250" s="362"/>
      <c r="J4250" s="196"/>
      <c r="AX4250" s="117"/>
      <c r="AY4250" s="117"/>
      <c r="AZ4250" s="117"/>
      <c r="BA4250" s="117"/>
      <c r="BB4250" s="117"/>
      <c r="BC4250" s="117"/>
      <c r="BD4250" s="117"/>
    </row>
    <row r="4251" spans="1:56" ht="15">
      <c r="A4251" s="114"/>
      <c r="B4251" s="362"/>
      <c r="C4251" s="362"/>
      <c r="D4251" s="362"/>
      <c r="E4251" s="362"/>
      <c r="F4251" s="362"/>
      <c r="G4251" s="114"/>
      <c r="H4251" s="362"/>
      <c r="I4251" s="196"/>
      <c r="J4251" s="196"/>
      <c r="AX4251" s="117"/>
      <c r="AY4251" s="117"/>
      <c r="AZ4251" s="117"/>
      <c r="BA4251" s="117"/>
      <c r="BB4251" s="117"/>
      <c r="BC4251" s="117"/>
      <c r="BD4251" s="117"/>
    </row>
    <row r="4252" spans="1:56" ht="15">
      <c r="A4252" s="114"/>
      <c r="B4252" s="303" t="s">
        <v>1122</v>
      </c>
      <c r="C4252" s="362"/>
      <c r="D4252" s="362"/>
      <c r="E4252" s="362"/>
      <c r="F4252" s="362"/>
      <c r="G4252" s="196"/>
      <c r="H4252" s="196" t="s">
        <v>1131</v>
      </c>
      <c r="I4252" s="196"/>
      <c r="J4252" s="196"/>
      <c r="AX4252" s="117"/>
      <c r="AY4252" s="117"/>
      <c r="AZ4252" s="117"/>
      <c r="BA4252" s="117"/>
      <c r="BB4252" s="117"/>
      <c r="BC4252" s="117"/>
      <c r="BD4252" s="117"/>
    </row>
    <row r="4253" spans="1:56" ht="18">
      <c r="A4253" s="114"/>
      <c r="B4253" s="398" t="s">
        <v>1123</v>
      </c>
      <c r="C4253" s="172"/>
      <c r="D4253" s="173"/>
      <c r="E4253" s="397">
        <f>C4245*((H4243+H4242)/2)*(C4243+C4244+0.05)</f>
        <v>68.187280591452293</v>
      </c>
      <c r="F4253" s="390" t="s">
        <v>1124</v>
      </c>
      <c r="G4253" s="196"/>
      <c r="H4253" s="362"/>
      <c r="I4253" s="362"/>
      <c r="J4253" s="362"/>
      <c r="AX4253" s="117"/>
      <c r="AY4253" s="117"/>
      <c r="AZ4253" s="117"/>
      <c r="BA4253" s="117"/>
      <c r="BB4253" s="117"/>
      <c r="BC4253" s="117"/>
      <c r="BD4253" s="117"/>
    </row>
    <row r="4254" spans="1:56" ht="18">
      <c r="A4254" s="114"/>
      <c r="B4254" s="398" t="s">
        <v>1125</v>
      </c>
      <c r="C4254" s="172"/>
      <c r="D4254" s="173"/>
      <c r="E4254" s="400">
        <f>E4253-(E4265+E4267)</f>
        <v>55.753280591452295</v>
      </c>
      <c r="F4254" s="390" t="s">
        <v>1124</v>
      </c>
      <c r="G4254" s="114"/>
      <c r="H4254" s="114"/>
      <c r="I4254" s="114"/>
      <c r="J4254" s="196"/>
      <c r="AX4254" s="117"/>
      <c r="AY4254" s="117"/>
      <c r="AZ4254" s="117"/>
      <c r="BA4254" s="117"/>
      <c r="BB4254" s="117"/>
      <c r="BC4254" s="117"/>
      <c r="BD4254" s="117"/>
    </row>
    <row r="4255" spans="1:56" ht="15">
      <c r="A4255" s="114"/>
      <c r="B4255" s="398" t="s">
        <v>1126</v>
      </c>
      <c r="C4255" s="172"/>
      <c r="D4255" s="173"/>
      <c r="E4255" s="400">
        <f>((C4241+2*C4250)*(C4242+2*C4250))*C4245</f>
        <v>17.64</v>
      </c>
      <c r="F4255" s="390" t="s">
        <v>13</v>
      </c>
      <c r="G4255" s="114"/>
      <c r="H4255" s="114"/>
      <c r="I4255" s="114"/>
      <c r="J4255" s="362"/>
      <c r="AX4255" s="117"/>
      <c r="AY4255" s="117"/>
      <c r="AZ4255" s="117"/>
      <c r="BA4255" s="117"/>
      <c r="BB4255" s="117"/>
      <c r="BC4255" s="117"/>
      <c r="BD4255" s="117"/>
    </row>
    <row r="4256" spans="1:56" ht="15">
      <c r="A4256" s="114"/>
      <c r="B4256" s="362"/>
      <c r="C4256" s="362"/>
      <c r="D4256" s="362"/>
      <c r="E4256" s="401"/>
      <c r="F4256" s="196"/>
      <c r="G4256" s="114"/>
      <c r="H4256" s="114"/>
      <c r="I4256" s="114"/>
      <c r="J4256" s="362"/>
      <c r="AX4256" s="117"/>
      <c r="AY4256" s="117"/>
      <c r="AZ4256" s="117"/>
      <c r="BA4256" s="117"/>
      <c r="BB4256" s="117"/>
      <c r="BC4256" s="117"/>
      <c r="BD4256" s="117"/>
    </row>
    <row r="4257" spans="1:56" ht="15">
      <c r="A4257" s="114"/>
      <c r="B4257" s="303" t="s">
        <v>1151</v>
      </c>
      <c r="C4257" s="362"/>
      <c r="D4257" s="362"/>
      <c r="E4257" s="410"/>
      <c r="F4257" s="362"/>
      <c r="G4257" s="114"/>
      <c r="H4257" s="114"/>
      <c r="I4257" s="114"/>
      <c r="J4257" s="362"/>
      <c r="AX4257" s="117"/>
      <c r="AY4257" s="117"/>
      <c r="AZ4257" s="117"/>
      <c r="BA4257" s="117"/>
      <c r="BB4257" s="117"/>
      <c r="BC4257" s="117"/>
      <c r="BD4257" s="117"/>
    </row>
    <row r="4258" spans="1:56" ht="15">
      <c r="A4258" s="114"/>
      <c r="B4258" s="398" t="s">
        <v>1152</v>
      </c>
      <c r="C4258" s="398"/>
      <c r="D4258" s="366"/>
      <c r="E4258" s="411">
        <v>4</v>
      </c>
      <c r="F4258" s="390" t="s">
        <v>1153</v>
      </c>
      <c r="G4258" s="114"/>
      <c r="H4258" s="114"/>
      <c r="I4258" s="114"/>
      <c r="J4258" s="362"/>
      <c r="AX4258" s="117"/>
      <c r="AY4258" s="117"/>
      <c r="AZ4258" s="117"/>
      <c r="BA4258" s="117"/>
      <c r="BB4258" s="117"/>
      <c r="BC4258" s="117"/>
      <c r="BD4258" s="117"/>
    </row>
    <row r="4259" spans="1:56" ht="15">
      <c r="A4259" s="114"/>
      <c r="B4259" s="399" t="s">
        <v>1154</v>
      </c>
      <c r="C4259" s="31"/>
      <c r="D4259" s="32"/>
      <c r="E4259" s="412">
        <f>C4245*E4258</f>
        <v>16</v>
      </c>
      <c r="F4259" s="390" t="s">
        <v>1153</v>
      </c>
      <c r="G4259" s="114"/>
      <c r="H4259" s="114"/>
      <c r="I4259" s="114"/>
      <c r="J4259" s="362"/>
      <c r="AX4259" s="117"/>
      <c r="AY4259" s="117"/>
      <c r="AZ4259" s="117"/>
      <c r="BA4259" s="117"/>
      <c r="BB4259" s="117"/>
      <c r="BC4259" s="117"/>
      <c r="BD4259" s="117"/>
    </row>
    <row r="4260" spans="1:56" ht="15">
      <c r="A4260" s="114"/>
      <c r="B4260" s="398" t="s">
        <v>1155</v>
      </c>
      <c r="C4260" s="21"/>
      <c r="D4260" s="413"/>
      <c r="E4260" s="411">
        <v>350</v>
      </c>
      <c r="F4260" s="390" t="s">
        <v>1156</v>
      </c>
      <c r="G4260" s="114"/>
      <c r="H4260" s="114"/>
      <c r="I4260" s="114"/>
      <c r="J4260" s="415"/>
      <c r="AX4260" s="117"/>
      <c r="AY4260" s="117"/>
      <c r="AZ4260" s="117"/>
      <c r="BA4260" s="117"/>
      <c r="BB4260" s="117"/>
      <c r="BC4260" s="117"/>
      <c r="BD4260" s="117"/>
    </row>
    <row r="4261" spans="1:56" ht="15">
      <c r="A4261" s="114"/>
      <c r="B4261" s="398" t="s">
        <v>1157</v>
      </c>
      <c r="C4261" s="21"/>
      <c r="D4261" s="413"/>
      <c r="E4261" s="418">
        <v>13</v>
      </c>
      <c r="F4261" s="390" t="s">
        <v>10</v>
      </c>
      <c r="G4261" s="114"/>
      <c r="H4261" s="114"/>
      <c r="I4261" s="114"/>
      <c r="J4261" s="362"/>
      <c r="AX4261" s="117"/>
      <c r="AY4261" s="117"/>
      <c r="AZ4261" s="117"/>
      <c r="BA4261" s="117"/>
      <c r="BB4261" s="117"/>
      <c r="BC4261" s="117"/>
      <c r="BD4261" s="117"/>
    </row>
    <row r="4262" spans="1:56" ht="15">
      <c r="A4262" s="114"/>
      <c r="B4262" s="398" t="s">
        <v>1158</v>
      </c>
      <c r="C4262" s="21"/>
      <c r="D4262" s="413"/>
      <c r="E4262" s="412">
        <f>E4259*E4261</f>
        <v>208</v>
      </c>
      <c r="F4262" s="390" t="s">
        <v>10</v>
      </c>
      <c r="G4262" s="114"/>
      <c r="H4262" s="114"/>
      <c r="I4262" s="114"/>
      <c r="J4262" s="362"/>
      <c r="AX4262" s="117"/>
      <c r="AY4262" s="117"/>
      <c r="AZ4262" s="117"/>
      <c r="BA4262" s="117"/>
      <c r="BB4262" s="117"/>
      <c r="BC4262" s="117"/>
      <c r="BD4262" s="117"/>
    </row>
    <row r="4263" spans="1:56" ht="15">
      <c r="A4263" s="114"/>
      <c r="B4263" s="362"/>
      <c r="C4263" s="362"/>
      <c r="D4263" s="362"/>
      <c r="E4263" s="410"/>
      <c r="F4263" s="362"/>
      <c r="G4263" s="114"/>
      <c r="H4263" s="114"/>
      <c r="I4263" s="114"/>
      <c r="J4263" s="362"/>
      <c r="AX4263" s="117"/>
      <c r="AY4263" s="117"/>
      <c r="AZ4263" s="117"/>
      <c r="BA4263" s="117"/>
      <c r="BB4263" s="117"/>
      <c r="BC4263" s="117"/>
      <c r="BD4263" s="117"/>
    </row>
    <row r="4264" spans="1:56" ht="15">
      <c r="A4264" s="114"/>
      <c r="B4264" s="303" t="s">
        <v>1160</v>
      </c>
      <c r="C4264" s="362"/>
      <c r="D4264" s="362"/>
      <c r="E4264" s="410"/>
      <c r="F4264" s="362"/>
      <c r="G4264" s="114"/>
      <c r="H4264" s="114"/>
      <c r="I4264" s="114"/>
      <c r="J4264" s="362"/>
      <c r="AX4264" s="117"/>
      <c r="AY4264" s="117"/>
      <c r="AZ4264" s="117"/>
      <c r="BA4264" s="117"/>
      <c r="BB4264" s="117"/>
      <c r="BC4264" s="117"/>
      <c r="BD4264" s="117"/>
    </row>
    <row r="4265" spans="1:56" ht="18">
      <c r="A4265" s="114"/>
      <c r="B4265" s="398" t="s">
        <v>1128</v>
      </c>
      <c r="C4265" s="172"/>
      <c r="D4265" s="173"/>
      <c r="E4265" s="402">
        <f>E4255*0.05</f>
        <v>0.88200000000000012</v>
      </c>
      <c r="F4265" s="390" t="s">
        <v>1124</v>
      </c>
      <c r="G4265" s="114"/>
      <c r="H4265" s="114"/>
      <c r="I4265" s="114"/>
      <c r="J4265" s="362"/>
      <c r="AX4265" s="117"/>
      <c r="AY4265" s="117"/>
      <c r="AZ4265" s="117"/>
      <c r="BA4265" s="117"/>
      <c r="BB4265" s="117"/>
      <c r="BC4265" s="117"/>
      <c r="BD4265" s="117"/>
    </row>
    <row r="4266" spans="1:56" ht="15">
      <c r="A4266" s="114"/>
      <c r="B4266" s="398" t="s">
        <v>1129</v>
      </c>
      <c r="C4266" s="172"/>
      <c r="D4266" s="173"/>
      <c r="E4266" s="397">
        <f>(2*(C4241+C4242)*C4244)*C4245</f>
        <v>24.32</v>
      </c>
      <c r="F4266" s="390" t="s">
        <v>13</v>
      </c>
      <c r="G4266" s="114"/>
      <c r="H4266" s="114"/>
      <c r="I4266" s="114"/>
      <c r="J4266" s="362"/>
      <c r="AX4266" s="117"/>
      <c r="AY4266" s="117"/>
      <c r="AZ4266" s="117"/>
      <c r="BA4266" s="117"/>
      <c r="BB4266" s="117"/>
      <c r="BC4266" s="117"/>
      <c r="BD4266" s="117"/>
    </row>
    <row r="4267" spans="1:56" ht="18">
      <c r="A4267" s="114"/>
      <c r="B4267" s="398" t="s">
        <v>1130</v>
      </c>
      <c r="C4267" s="172"/>
      <c r="D4267" s="173"/>
      <c r="E4267" s="402">
        <f>(C4241*C4242*C4244)*C4245</f>
        <v>11.552</v>
      </c>
      <c r="F4267" s="390" t="s">
        <v>1124</v>
      </c>
      <c r="G4267" s="114"/>
      <c r="H4267" s="114"/>
      <c r="I4267" s="114"/>
      <c r="J4267" s="362"/>
      <c r="AX4267" s="117"/>
      <c r="AY4267" s="117"/>
      <c r="AZ4267" s="117"/>
      <c r="BA4267" s="117"/>
      <c r="BB4267" s="117"/>
      <c r="BC4267" s="117"/>
      <c r="BD4267" s="117"/>
    </row>
    <row r="4268" spans="1:56" ht="15">
      <c r="A4268" s="114"/>
      <c r="B4268" s="114"/>
      <c r="C4268" s="114"/>
      <c r="D4268" s="114"/>
      <c r="E4268" s="114"/>
      <c r="F4268" s="114"/>
      <c r="G4268" s="114"/>
      <c r="H4268" s="114"/>
      <c r="I4268" s="386"/>
      <c r="J4268" s="114"/>
      <c r="AW4268" s="117"/>
      <c r="AX4268" s="117"/>
      <c r="AY4268" s="117"/>
      <c r="AZ4268" s="117"/>
      <c r="BA4268" s="117"/>
      <c r="BB4268" s="117"/>
      <c r="BC4268" s="117"/>
      <c r="BD4268" s="117"/>
    </row>
    <row r="4269" spans="1:56" ht="15">
      <c r="A4269" s="114"/>
      <c r="B4269" s="114"/>
      <c r="C4269" s="230"/>
      <c r="D4269" s="230"/>
      <c r="E4269" s="384"/>
      <c r="F4269" s="196"/>
      <c r="G4269" s="114"/>
      <c r="H4269" s="114"/>
      <c r="I4269" s="196"/>
      <c r="J4269" s="114"/>
      <c r="AW4269" s="117"/>
      <c r="AX4269" s="117"/>
      <c r="AY4269" s="117"/>
      <c r="AZ4269" s="117"/>
      <c r="BA4269" s="117"/>
      <c r="BB4269" s="117"/>
      <c r="BC4269" s="117"/>
      <c r="BD4269" s="117"/>
    </row>
    <row r="4270" spans="1:56" customFormat="1">
      <c r="B4270" s="385" t="s">
        <v>2221</v>
      </c>
      <c r="C4270" s="362"/>
      <c r="D4270" s="362"/>
      <c r="E4270" s="362"/>
      <c r="F4270" s="362"/>
      <c r="G4270" s="115"/>
      <c r="H4270" s="115"/>
      <c r="I4270" s="362"/>
      <c r="J4270" s="362"/>
    </row>
    <row r="4271" spans="1:56" ht="15">
      <c r="A4271" s="114"/>
      <c r="B4271" s="362"/>
      <c r="C4271" s="362"/>
      <c r="D4271" s="362"/>
      <c r="E4271" s="362"/>
      <c r="F4271" s="404"/>
      <c r="G4271" s="196"/>
      <c r="H4271" s="196"/>
      <c r="I4271" s="404"/>
      <c r="J4271" s="404"/>
      <c r="AX4271" s="117"/>
      <c r="AY4271" s="117"/>
      <c r="AZ4271" s="117"/>
      <c r="BA4271" s="117"/>
      <c r="BB4271" s="117"/>
      <c r="BC4271" s="117"/>
      <c r="BD4271" s="117"/>
    </row>
    <row r="4272" spans="1:56" ht="18">
      <c r="A4272" s="114"/>
      <c r="B4272" s="388" t="s">
        <v>1141</v>
      </c>
      <c r="C4272" s="389">
        <v>0.4</v>
      </c>
      <c r="D4272" s="390" t="s">
        <v>10</v>
      </c>
      <c r="E4272" s="196"/>
      <c r="F4272" s="405"/>
      <c r="G4272" s="196"/>
      <c r="H4272" s="196"/>
      <c r="I4272" s="405" t="s">
        <v>1143</v>
      </c>
      <c r="J4272" s="405"/>
      <c r="AX4272" s="117"/>
      <c r="AY4272" s="117"/>
      <c r="AZ4272" s="117"/>
      <c r="BA4272" s="117"/>
      <c r="BB4272" s="117"/>
      <c r="BC4272" s="117"/>
      <c r="BD4272" s="117"/>
    </row>
    <row r="4273" spans="1:56" ht="15">
      <c r="A4273" s="114"/>
      <c r="B4273" s="388" t="s">
        <v>1144</v>
      </c>
      <c r="C4273" s="389">
        <v>1.2</v>
      </c>
      <c r="D4273" s="390" t="s">
        <v>10</v>
      </c>
      <c r="E4273" s="196"/>
      <c r="F4273" s="405"/>
      <c r="G4273" s="362"/>
      <c r="H4273" s="362"/>
      <c r="I4273" s="405"/>
      <c r="J4273" s="405"/>
      <c r="AX4273" s="117"/>
      <c r="AY4273" s="117"/>
      <c r="AZ4273" s="117"/>
      <c r="BA4273" s="117"/>
      <c r="BB4273" s="117"/>
      <c r="BC4273" s="117"/>
      <c r="BD4273" s="117"/>
    </row>
    <row r="4274" spans="1:56" ht="15">
      <c r="A4274" s="114"/>
      <c r="B4274" s="388" t="s">
        <v>1145</v>
      </c>
      <c r="C4274" s="389">
        <v>1.9</v>
      </c>
      <c r="D4274" s="390" t="s">
        <v>10</v>
      </c>
      <c r="E4274" s="196"/>
      <c r="F4274" s="405"/>
      <c r="G4274" s="404"/>
      <c r="H4274" s="404"/>
      <c r="I4274" s="405"/>
      <c r="J4274" s="405"/>
      <c r="AX4274" s="117"/>
      <c r="AY4274" s="117"/>
      <c r="AZ4274" s="117"/>
      <c r="BA4274" s="117"/>
      <c r="BB4274" s="117"/>
      <c r="BC4274" s="117"/>
      <c r="BD4274" s="117"/>
    </row>
    <row r="4275" spans="1:56" ht="18">
      <c r="A4275" s="114"/>
      <c r="B4275" s="388" t="s">
        <v>1146</v>
      </c>
      <c r="C4275" s="389">
        <v>1.9</v>
      </c>
      <c r="D4275" s="390" t="s">
        <v>10</v>
      </c>
      <c r="E4275" s="196"/>
      <c r="F4275" s="405"/>
      <c r="G4275" s="406" t="s">
        <v>1142</v>
      </c>
      <c r="H4275" s="407">
        <f>C4272*C4273</f>
        <v>0.48</v>
      </c>
      <c r="I4275" s="405" t="s">
        <v>1143</v>
      </c>
      <c r="J4275" s="405"/>
      <c r="AX4275" s="117"/>
      <c r="AY4275" s="117"/>
      <c r="AZ4275" s="117"/>
      <c r="BA4275" s="117"/>
      <c r="BB4275" s="117"/>
      <c r="BC4275" s="117"/>
      <c r="BD4275" s="117"/>
    </row>
    <row r="4276" spans="1:56" ht="18">
      <c r="A4276" s="114"/>
      <c r="B4276" s="388" t="s">
        <v>1112</v>
      </c>
      <c r="C4276" s="389">
        <v>0.4</v>
      </c>
      <c r="D4276" s="390" t="s">
        <v>10</v>
      </c>
      <c r="E4276" s="196"/>
      <c r="F4276" s="405"/>
      <c r="G4276" s="406" t="e">
        <f>TEXT(C4280,"tg 0°=")</f>
        <v>#VALUE!</v>
      </c>
      <c r="H4276" s="408">
        <f>TAN(3.14159265359*C4280/180)</f>
        <v>1.732050807569153</v>
      </c>
      <c r="I4276" s="405" t="s">
        <v>1143</v>
      </c>
      <c r="J4276" s="405"/>
      <c r="AX4276" s="117"/>
      <c r="AY4276" s="117"/>
      <c r="AZ4276" s="117"/>
      <c r="BA4276" s="117"/>
      <c r="BB4276" s="117"/>
      <c r="BC4276" s="117"/>
      <c r="BD4276" s="117"/>
    </row>
    <row r="4277" spans="1:56" ht="15">
      <c r="A4277" s="114"/>
      <c r="B4277" s="388" t="s">
        <v>1113</v>
      </c>
      <c r="C4277" s="389">
        <v>0.8</v>
      </c>
      <c r="D4277" s="390" t="s">
        <v>10</v>
      </c>
      <c r="E4277" s="196"/>
      <c r="F4277" s="405"/>
      <c r="G4277" s="406"/>
      <c r="H4277" s="407"/>
      <c r="I4277" s="405"/>
      <c r="J4277" s="405"/>
      <c r="AX4277" s="117"/>
      <c r="AY4277" s="117"/>
      <c r="AZ4277" s="117"/>
      <c r="BA4277" s="117"/>
      <c r="BB4277" s="117"/>
      <c r="BC4277" s="117"/>
      <c r="BD4277" s="117"/>
    </row>
    <row r="4278" spans="1:56" ht="15">
      <c r="A4278" s="114"/>
      <c r="B4278" s="388" t="s">
        <v>1117</v>
      </c>
      <c r="C4278" s="391">
        <v>1</v>
      </c>
      <c r="D4278" s="390" t="s">
        <v>1118</v>
      </c>
      <c r="E4278" s="196"/>
      <c r="F4278" s="405"/>
      <c r="G4278" s="406" t="s">
        <v>1142</v>
      </c>
      <c r="H4278" s="409">
        <f>(C4274+2*C4282+((C4276+C4277+0.05)/H4276)*2)*(C4275+2*C4282+((C4276+C4277+0.05)/H4276)*2)</f>
        <v>18.864912236580913</v>
      </c>
      <c r="I4278" s="405"/>
      <c r="J4278" s="405"/>
      <c r="AX4278" s="117"/>
      <c r="AY4278" s="117"/>
      <c r="AZ4278" s="117"/>
      <c r="BA4278" s="117"/>
      <c r="BB4278" s="117"/>
      <c r="BC4278" s="117"/>
      <c r="BD4278" s="117"/>
    </row>
    <row r="4279" spans="1:56" ht="15">
      <c r="A4279" s="114"/>
      <c r="B4279" s="196" t="s">
        <v>1148</v>
      </c>
      <c r="C4279" s="393"/>
      <c r="D4279" s="196"/>
      <c r="E4279" s="196"/>
      <c r="F4279" s="405"/>
      <c r="G4279" s="406" t="s">
        <v>1147</v>
      </c>
      <c r="H4279" s="409">
        <f>(C4274+2*C4282)*(C4275+2*C4282)</f>
        <v>8.41</v>
      </c>
      <c r="I4279" s="405"/>
      <c r="J4279" s="405"/>
      <c r="AX4279" s="117"/>
      <c r="AY4279" s="117"/>
      <c r="AZ4279" s="117"/>
      <c r="BA4279" s="117"/>
      <c r="BB4279" s="117"/>
      <c r="BC4279" s="117"/>
      <c r="BD4279" s="117"/>
    </row>
    <row r="4280" spans="1:56" ht="15">
      <c r="A4280" s="114"/>
      <c r="B4280" s="388" t="s">
        <v>1149</v>
      </c>
      <c r="C4280" s="389">
        <v>60</v>
      </c>
      <c r="D4280" s="390" t="s">
        <v>1150</v>
      </c>
      <c r="E4280" s="196"/>
      <c r="F4280" s="196"/>
      <c r="G4280" s="406"/>
      <c r="H4280" s="407"/>
      <c r="I4280" s="196"/>
      <c r="J4280" s="196"/>
      <c r="AX4280" s="117"/>
      <c r="AY4280" s="117"/>
      <c r="AZ4280" s="117"/>
      <c r="BA4280" s="117"/>
      <c r="BB4280" s="117"/>
      <c r="BC4280" s="117"/>
      <c r="BD4280" s="117"/>
    </row>
    <row r="4281" spans="1:56" ht="15">
      <c r="A4281" s="114"/>
      <c r="B4281" s="362"/>
      <c r="C4281" s="196"/>
      <c r="D4281" s="196"/>
      <c r="E4281" s="196"/>
      <c r="F4281" s="196"/>
      <c r="G4281" s="406"/>
      <c r="H4281" s="407"/>
      <c r="I4281" s="362"/>
      <c r="J4281" s="196"/>
      <c r="AX4281" s="117"/>
      <c r="AY4281" s="117"/>
      <c r="AZ4281" s="117"/>
      <c r="BA4281" s="117"/>
      <c r="BB4281" s="117"/>
      <c r="BC4281" s="117"/>
      <c r="BD4281" s="117"/>
    </row>
    <row r="4282" spans="1:56" ht="15">
      <c r="A4282" s="114"/>
      <c r="B4282" s="388" t="s">
        <v>1114</v>
      </c>
      <c r="C4282" s="389">
        <v>0.5</v>
      </c>
      <c r="D4282" s="390" t="s">
        <v>10</v>
      </c>
      <c r="E4282" s="288" t="s">
        <v>1120</v>
      </c>
      <c r="F4282" s="196"/>
      <c r="G4282" s="406"/>
      <c r="H4282" s="407"/>
      <c r="I4282" s="114"/>
      <c r="J4282" s="196"/>
      <c r="AX4282" s="117"/>
      <c r="AY4282" s="117"/>
      <c r="AZ4282" s="117"/>
      <c r="BA4282" s="117"/>
      <c r="BB4282" s="117"/>
      <c r="BC4282" s="117"/>
      <c r="BD4282" s="117"/>
    </row>
    <row r="4283" spans="1:56" ht="15">
      <c r="A4283" s="114"/>
      <c r="B4283" s="388" t="s">
        <v>1114</v>
      </c>
      <c r="C4283" s="389">
        <v>0.1</v>
      </c>
      <c r="D4283" s="390" t="s">
        <v>10</v>
      </c>
      <c r="E4283" s="288" t="s">
        <v>1121</v>
      </c>
      <c r="F4283" s="196"/>
      <c r="G4283" s="392"/>
      <c r="H4283" s="393"/>
      <c r="I4283" s="196"/>
      <c r="J4283" s="196"/>
      <c r="AX4283" s="117"/>
      <c r="AY4283" s="117"/>
      <c r="AZ4283" s="117"/>
      <c r="BA4283" s="117"/>
      <c r="BB4283" s="117"/>
      <c r="BC4283" s="117"/>
      <c r="BD4283" s="117"/>
    </row>
    <row r="4284" spans="1:56" ht="15">
      <c r="A4284" s="114"/>
      <c r="B4284" s="362"/>
      <c r="C4284" s="362"/>
      <c r="D4284" s="362"/>
      <c r="E4284" s="362"/>
      <c r="F4284" s="362"/>
      <c r="G4284" s="362"/>
      <c r="H4284" s="362"/>
      <c r="I4284" s="196"/>
      <c r="J4284" s="196"/>
      <c r="AX4284" s="117"/>
      <c r="AY4284" s="117"/>
      <c r="AZ4284" s="117"/>
      <c r="BA4284" s="117"/>
      <c r="BB4284" s="117"/>
      <c r="BC4284" s="117"/>
      <c r="BD4284" s="117"/>
    </row>
    <row r="4285" spans="1:56" ht="15">
      <c r="A4285" s="114"/>
      <c r="B4285" s="303" t="s">
        <v>1122</v>
      </c>
      <c r="C4285" s="362"/>
      <c r="D4285" s="362"/>
      <c r="E4285" s="362"/>
      <c r="F4285" s="362"/>
      <c r="G4285" s="196" t="s">
        <v>1131</v>
      </c>
      <c r="H4285" s="114"/>
      <c r="I4285" s="196"/>
      <c r="J4285" s="196"/>
      <c r="AX4285" s="117"/>
      <c r="AY4285" s="117"/>
      <c r="AZ4285" s="117"/>
      <c r="BA4285" s="117"/>
      <c r="BB4285" s="117"/>
      <c r="BC4285" s="117"/>
      <c r="BD4285" s="117"/>
    </row>
    <row r="4286" spans="1:56" ht="18">
      <c r="A4286" s="114"/>
      <c r="B4286" s="398" t="s">
        <v>1123</v>
      </c>
      <c r="C4286" s="172"/>
      <c r="D4286" s="173"/>
      <c r="E4286" s="397">
        <f>C4278*((H4279+H4278)/2)*(C4276+C4277+0.05)</f>
        <v>17.046820147863073</v>
      </c>
      <c r="F4286" s="390" t="s">
        <v>1124</v>
      </c>
      <c r="G4286" s="196"/>
      <c r="H4286" s="196"/>
      <c r="I4286" s="362"/>
      <c r="J4286" s="362"/>
      <c r="AX4286" s="117"/>
      <c r="AY4286" s="117"/>
      <c r="AZ4286" s="117"/>
      <c r="BA4286" s="117"/>
      <c r="BB4286" s="117"/>
      <c r="BC4286" s="117"/>
      <c r="BD4286" s="117"/>
    </row>
    <row r="4287" spans="1:56" ht="18">
      <c r="A4287" s="114"/>
      <c r="B4287" s="398" t="s">
        <v>1125</v>
      </c>
      <c r="C4287" s="172"/>
      <c r="D4287" s="173"/>
      <c r="E4287" s="400">
        <f>E4286-(E4298+E4300)</f>
        <v>13.938320147863074</v>
      </c>
      <c r="F4287" s="390" t="s">
        <v>1124</v>
      </c>
      <c r="G4287" s="196"/>
      <c r="H4287" s="196"/>
      <c r="I4287" s="196"/>
      <c r="J4287" s="196"/>
      <c r="AX4287" s="117"/>
      <c r="AY4287" s="117"/>
      <c r="AZ4287" s="117"/>
      <c r="BA4287" s="117"/>
      <c r="BB4287" s="117"/>
      <c r="BC4287" s="117"/>
      <c r="BD4287" s="117"/>
    </row>
    <row r="4288" spans="1:56" ht="15">
      <c r="A4288" s="114"/>
      <c r="B4288" s="398" t="s">
        <v>1126</v>
      </c>
      <c r="C4288" s="172"/>
      <c r="D4288" s="173"/>
      <c r="E4288" s="400">
        <f>((C4274+2*C4283)*(C4275+2*C4283))*C4278</f>
        <v>4.41</v>
      </c>
      <c r="F4288" s="390" t="s">
        <v>13</v>
      </c>
      <c r="G4288" s="362"/>
      <c r="H4288" s="362"/>
      <c r="I4288" s="362"/>
      <c r="J4288" s="362"/>
      <c r="AX4288" s="117"/>
      <c r="AY4288" s="117"/>
      <c r="AZ4288" s="117"/>
      <c r="BA4288" s="117"/>
      <c r="BB4288" s="117"/>
      <c r="BC4288" s="117"/>
      <c r="BD4288" s="117"/>
    </row>
    <row r="4289" spans="1:56" ht="15">
      <c r="A4289" s="114"/>
      <c r="B4289" s="362"/>
      <c r="C4289" s="362"/>
      <c r="D4289" s="362"/>
      <c r="E4289" s="401"/>
      <c r="F4289" s="196"/>
      <c r="G4289" s="362"/>
      <c r="H4289" s="362"/>
      <c r="I4289" s="362"/>
      <c r="J4289" s="362"/>
      <c r="AX4289" s="117"/>
      <c r="AY4289" s="117"/>
      <c r="AZ4289" s="117"/>
      <c r="BA4289" s="117"/>
      <c r="BB4289" s="117"/>
      <c r="BC4289" s="117"/>
      <c r="BD4289" s="117"/>
    </row>
    <row r="4290" spans="1:56" ht="15">
      <c r="A4290" s="114"/>
      <c r="B4290" s="303" t="s">
        <v>1162</v>
      </c>
      <c r="C4290" s="362"/>
      <c r="D4290" s="362"/>
      <c r="E4290" s="410"/>
      <c r="F4290" s="362"/>
      <c r="G4290" s="362"/>
      <c r="H4290" s="362"/>
      <c r="I4290" s="362"/>
      <c r="J4290" s="362"/>
      <c r="AX4290" s="117"/>
      <c r="AY4290" s="117"/>
      <c r="AZ4290" s="117"/>
      <c r="BA4290" s="117"/>
      <c r="BB4290" s="117"/>
      <c r="BC4290" s="117"/>
      <c r="BD4290" s="117"/>
    </row>
    <row r="4291" spans="1:56" ht="15">
      <c r="A4291" s="114"/>
      <c r="B4291" s="398" t="s">
        <v>1152</v>
      </c>
      <c r="C4291" s="398"/>
      <c r="D4291" s="366"/>
      <c r="E4291" s="411">
        <v>4</v>
      </c>
      <c r="F4291" s="390" t="s">
        <v>1153</v>
      </c>
      <c r="G4291" s="362"/>
      <c r="H4291" s="362"/>
      <c r="I4291" s="362"/>
      <c r="J4291" s="362"/>
      <c r="AX4291" s="117"/>
      <c r="AY4291" s="117"/>
      <c r="AZ4291" s="117"/>
      <c r="BA4291" s="117"/>
      <c r="BB4291" s="117"/>
      <c r="BC4291" s="117"/>
      <c r="BD4291" s="117"/>
    </row>
    <row r="4292" spans="1:56" ht="15">
      <c r="A4292" s="114"/>
      <c r="B4292" s="399" t="s">
        <v>1154</v>
      </c>
      <c r="C4292" s="31"/>
      <c r="D4292" s="32"/>
      <c r="E4292" s="412">
        <f>C4278*E4291</f>
        <v>4</v>
      </c>
      <c r="F4292" s="390" t="s">
        <v>1153</v>
      </c>
      <c r="G4292" s="362"/>
      <c r="H4292" s="362"/>
      <c r="I4292" s="362"/>
      <c r="J4292" s="362"/>
      <c r="AX4292" s="117"/>
      <c r="AY4292" s="117"/>
      <c r="AZ4292" s="117"/>
      <c r="BA4292" s="117"/>
      <c r="BB4292" s="117"/>
      <c r="BC4292" s="117"/>
      <c r="BD4292" s="117"/>
    </row>
    <row r="4293" spans="1:56" ht="15">
      <c r="A4293" s="114"/>
      <c r="B4293" s="398" t="s">
        <v>1155</v>
      </c>
      <c r="C4293" s="21"/>
      <c r="D4293" s="413"/>
      <c r="E4293" s="411">
        <v>350</v>
      </c>
      <c r="F4293" s="390" t="s">
        <v>1156</v>
      </c>
      <c r="G4293" s="362"/>
      <c r="H4293" s="414"/>
      <c r="I4293" s="362"/>
      <c r="J4293" s="415"/>
      <c r="AX4293" s="117"/>
      <c r="AY4293" s="117"/>
      <c r="AZ4293" s="117"/>
      <c r="BA4293" s="117"/>
      <c r="BB4293" s="117"/>
      <c r="BC4293" s="117"/>
      <c r="BD4293" s="117"/>
    </row>
    <row r="4294" spans="1:56" ht="15">
      <c r="A4294" s="114"/>
      <c r="B4294" s="398" t="s">
        <v>1157</v>
      </c>
      <c r="C4294" s="21"/>
      <c r="D4294" s="413"/>
      <c r="E4294" s="451">
        <v>13</v>
      </c>
      <c r="F4294" s="390" t="s">
        <v>10</v>
      </c>
      <c r="G4294" s="362"/>
      <c r="H4294" s="6"/>
      <c r="I4294" s="362"/>
      <c r="J4294" s="362"/>
      <c r="AX4294" s="117"/>
      <c r="AY4294" s="117"/>
      <c r="AZ4294" s="117"/>
      <c r="BA4294" s="117"/>
      <c r="BB4294" s="117"/>
      <c r="BC4294" s="117"/>
      <c r="BD4294" s="117"/>
    </row>
    <row r="4295" spans="1:56" ht="15">
      <c r="A4295" s="114"/>
      <c r="B4295" s="398" t="s">
        <v>1158</v>
      </c>
      <c r="C4295" s="21"/>
      <c r="D4295" s="413"/>
      <c r="E4295" s="412">
        <f>E4292*E4294</f>
        <v>52</v>
      </c>
      <c r="F4295" s="390" t="s">
        <v>10</v>
      </c>
      <c r="G4295" s="362"/>
      <c r="H4295" s="362"/>
      <c r="I4295" s="362"/>
      <c r="J4295" s="362"/>
      <c r="AX4295" s="117"/>
      <c r="AY4295" s="117"/>
      <c r="AZ4295" s="117"/>
      <c r="BA4295" s="117"/>
      <c r="BB4295" s="117"/>
      <c r="BC4295" s="117"/>
      <c r="BD4295" s="117"/>
    </row>
    <row r="4296" spans="1:56" ht="15">
      <c r="A4296" s="114"/>
      <c r="B4296" s="362"/>
      <c r="C4296" s="362"/>
      <c r="D4296" s="362"/>
      <c r="E4296" s="410"/>
      <c r="F4296" s="362"/>
      <c r="G4296" s="362"/>
      <c r="H4296" s="362"/>
      <c r="I4296" s="362"/>
      <c r="J4296" s="362"/>
      <c r="AX4296" s="117"/>
      <c r="AY4296" s="117"/>
      <c r="AZ4296" s="117"/>
      <c r="BA4296" s="117"/>
      <c r="BB4296" s="117"/>
      <c r="BC4296" s="117"/>
      <c r="BD4296" s="117"/>
    </row>
    <row r="4297" spans="1:56" ht="15">
      <c r="A4297" s="114"/>
      <c r="B4297" s="303" t="s">
        <v>1160</v>
      </c>
      <c r="C4297" s="362"/>
      <c r="D4297" s="362"/>
      <c r="E4297" s="410"/>
      <c r="F4297" s="362"/>
      <c r="G4297" s="362"/>
      <c r="H4297" s="362"/>
      <c r="I4297" s="362"/>
      <c r="J4297" s="362"/>
      <c r="AX4297" s="117"/>
      <c r="AY4297" s="117"/>
      <c r="AZ4297" s="117"/>
      <c r="BA4297" s="117"/>
      <c r="BB4297" s="117"/>
      <c r="BC4297" s="117"/>
      <c r="BD4297" s="117"/>
    </row>
    <row r="4298" spans="1:56" ht="18">
      <c r="A4298" s="114"/>
      <c r="B4298" s="398" t="s">
        <v>1128</v>
      </c>
      <c r="C4298" s="172"/>
      <c r="D4298" s="173"/>
      <c r="E4298" s="402">
        <f>E4288*0.05</f>
        <v>0.22050000000000003</v>
      </c>
      <c r="F4298" s="390" t="s">
        <v>1124</v>
      </c>
      <c r="G4298" s="362"/>
      <c r="H4298" s="362"/>
      <c r="I4298" s="362"/>
      <c r="J4298" s="362"/>
      <c r="AX4298" s="117"/>
      <c r="AY4298" s="117"/>
      <c r="AZ4298" s="117"/>
      <c r="BA4298" s="117"/>
      <c r="BB4298" s="117"/>
      <c r="BC4298" s="117"/>
      <c r="BD4298" s="117"/>
    </row>
    <row r="4299" spans="1:56" ht="15">
      <c r="A4299" s="114"/>
      <c r="B4299" s="398" t="s">
        <v>1129</v>
      </c>
      <c r="C4299" s="172"/>
      <c r="D4299" s="173"/>
      <c r="E4299" s="397">
        <f>(2*(C4274+C4275)*C4277)*C4278</f>
        <v>6.08</v>
      </c>
      <c r="F4299" s="390" t="s">
        <v>13</v>
      </c>
      <c r="G4299" s="362"/>
      <c r="H4299" s="362"/>
      <c r="I4299" s="362"/>
      <c r="J4299" s="362"/>
      <c r="AX4299" s="117"/>
      <c r="AY4299" s="117"/>
      <c r="AZ4299" s="117"/>
      <c r="BA4299" s="117"/>
      <c r="BB4299" s="117"/>
      <c r="BC4299" s="117"/>
      <c r="BD4299" s="117"/>
    </row>
    <row r="4300" spans="1:56" ht="18">
      <c r="A4300" s="114"/>
      <c r="B4300" s="398" t="s">
        <v>1130</v>
      </c>
      <c r="C4300" s="172"/>
      <c r="D4300" s="173"/>
      <c r="E4300" s="402">
        <f>(C4274*C4275*C4277)*C4278</f>
        <v>2.8879999999999999</v>
      </c>
      <c r="F4300" s="390" t="s">
        <v>1124</v>
      </c>
      <c r="G4300" s="362"/>
      <c r="H4300" s="362"/>
      <c r="I4300" s="362"/>
      <c r="J4300" s="362"/>
      <c r="AX4300" s="117"/>
      <c r="AY4300" s="117"/>
      <c r="AZ4300" s="117"/>
      <c r="BA4300" s="117"/>
      <c r="BB4300" s="117"/>
      <c r="BC4300" s="117"/>
      <c r="BD4300" s="117"/>
    </row>
    <row r="4301" spans="1:56" ht="15">
      <c r="A4301" s="114"/>
      <c r="B4301" s="114"/>
      <c r="C4301" s="196"/>
      <c r="D4301" s="196"/>
      <c r="E4301" s="196"/>
      <c r="F4301" s="196"/>
      <c r="G4301" s="114"/>
      <c r="H4301" s="114"/>
      <c r="I4301" s="386"/>
      <c r="J4301" s="196"/>
      <c r="AX4301" s="117"/>
      <c r="AY4301" s="117"/>
      <c r="AZ4301" s="117"/>
      <c r="BA4301" s="117"/>
      <c r="BB4301" s="117"/>
      <c r="BC4301" s="117"/>
      <c r="BD4301" s="117"/>
    </row>
    <row r="4302" spans="1:56" ht="15">
      <c r="A4302" s="114"/>
      <c r="B4302" s="114"/>
      <c r="C4302" s="230"/>
      <c r="D4302" s="230"/>
      <c r="E4302" s="384"/>
      <c r="F4302" s="196"/>
      <c r="G4302" s="114"/>
      <c r="H4302" s="114"/>
      <c r="I4302" s="196"/>
      <c r="J4302" s="114"/>
      <c r="AW4302" s="117"/>
      <c r="AX4302" s="117"/>
      <c r="AY4302" s="117"/>
      <c r="AZ4302" s="117"/>
      <c r="BA4302" s="117"/>
      <c r="BB4302" s="117"/>
      <c r="BC4302" s="117"/>
      <c r="BD4302" s="117"/>
    </row>
    <row r="4303" spans="1:56" ht="15">
      <c r="A4303" s="114"/>
      <c r="B4303" s="114"/>
      <c r="C4303" s="230"/>
      <c r="D4303" s="230"/>
      <c r="E4303" s="384"/>
      <c r="F4303" s="196"/>
      <c r="G4303" s="114"/>
      <c r="H4303" s="114"/>
      <c r="I4303" s="196"/>
      <c r="J4303" s="114"/>
      <c r="AW4303" s="117"/>
      <c r="AX4303" s="117"/>
      <c r="AY4303" s="117"/>
      <c r="AZ4303" s="117"/>
      <c r="BA4303" s="117"/>
      <c r="BB4303" s="117"/>
      <c r="BC4303" s="117"/>
      <c r="BD4303" s="117"/>
    </row>
    <row r="4304" spans="1:56" customFormat="1">
      <c r="B4304" s="385" t="s">
        <v>2222</v>
      </c>
      <c r="C4304" s="943"/>
      <c r="D4304" s="943"/>
      <c r="E4304" s="943"/>
      <c r="F4304" s="943"/>
      <c r="G4304" s="115"/>
      <c r="H4304" s="115"/>
      <c r="I4304" s="943"/>
      <c r="J4304" s="943"/>
    </row>
    <row r="4305" spans="1:56" ht="15">
      <c r="A4305" s="114"/>
      <c r="B4305" s="943"/>
      <c r="C4305" s="943"/>
      <c r="D4305" s="943"/>
      <c r="E4305" s="943"/>
      <c r="F4305" s="404"/>
      <c r="G4305" s="196"/>
      <c r="H4305" s="196"/>
      <c r="I4305" s="404"/>
      <c r="J4305" s="404"/>
      <c r="AX4305" s="117"/>
      <c r="AY4305" s="117"/>
      <c r="AZ4305" s="117"/>
      <c r="BA4305" s="117"/>
      <c r="BB4305" s="117"/>
      <c r="BC4305" s="117"/>
      <c r="BD4305" s="117"/>
    </row>
    <row r="4306" spans="1:56" ht="18">
      <c r="A4306" s="114"/>
      <c r="B4306" s="388" t="s">
        <v>1141</v>
      </c>
      <c r="C4306" s="389">
        <v>0.4</v>
      </c>
      <c r="D4306" s="390" t="s">
        <v>10</v>
      </c>
      <c r="E4306" s="196"/>
      <c r="F4306" s="405"/>
      <c r="G4306" s="196"/>
      <c r="H4306" s="196"/>
      <c r="I4306" s="405" t="s">
        <v>1143</v>
      </c>
      <c r="J4306" s="405"/>
      <c r="AX4306" s="117"/>
      <c r="AY4306" s="117"/>
      <c r="AZ4306" s="117"/>
      <c r="BA4306" s="117"/>
      <c r="BB4306" s="117"/>
      <c r="BC4306" s="117"/>
      <c r="BD4306" s="117"/>
    </row>
    <row r="4307" spans="1:56" ht="15">
      <c r="A4307" s="114"/>
      <c r="B4307" s="388" t="s">
        <v>1144</v>
      </c>
      <c r="C4307" s="389">
        <v>1.6</v>
      </c>
      <c r="D4307" s="390" t="s">
        <v>10</v>
      </c>
      <c r="E4307" s="196"/>
      <c r="F4307" s="405"/>
      <c r="G4307" s="943"/>
      <c r="H4307" s="943"/>
      <c r="I4307" s="405"/>
      <c r="J4307" s="405"/>
      <c r="AX4307" s="117"/>
      <c r="AY4307" s="117"/>
      <c r="AZ4307" s="117"/>
      <c r="BA4307" s="117"/>
      <c r="BB4307" s="117"/>
      <c r="BC4307" s="117"/>
      <c r="BD4307" s="117"/>
    </row>
    <row r="4308" spans="1:56" ht="15">
      <c r="A4308" s="114"/>
      <c r="B4308" s="388" t="s">
        <v>1145</v>
      </c>
      <c r="C4308" s="389">
        <v>1.9</v>
      </c>
      <c r="D4308" s="390" t="s">
        <v>10</v>
      </c>
      <c r="E4308" s="196"/>
      <c r="F4308" s="405"/>
      <c r="G4308" s="404"/>
      <c r="H4308" s="404"/>
      <c r="I4308" s="405"/>
      <c r="J4308" s="405"/>
      <c r="AX4308" s="117"/>
      <c r="AY4308" s="117"/>
      <c r="AZ4308" s="117"/>
      <c r="BA4308" s="117"/>
      <c r="BB4308" s="117"/>
      <c r="BC4308" s="117"/>
      <c r="BD4308" s="117"/>
    </row>
    <row r="4309" spans="1:56" ht="18">
      <c r="A4309" s="114"/>
      <c r="B4309" s="388" t="s">
        <v>1146</v>
      </c>
      <c r="C4309" s="389">
        <v>1.9</v>
      </c>
      <c r="D4309" s="390" t="s">
        <v>10</v>
      </c>
      <c r="E4309" s="196"/>
      <c r="F4309" s="405"/>
      <c r="G4309" s="406" t="s">
        <v>1142</v>
      </c>
      <c r="H4309" s="407">
        <f>C4306*C4307</f>
        <v>0.64000000000000012</v>
      </c>
      <c r="I4309" s="405" t="s">
        <v>1143</v>
      </c>
      <c r="J4309" s="405"/>
      <c r="AX4309" s="117"/>
      <c r="AY4309" s="117"/>
      <c r="AZ4309" s="117"/>
      <c r="BA4309" s="117"/>
      <c r="BB4309" s="117"/>
      <c r="BC4309" s="117"/>
      <c r="BD4309" s="117"/>
    </row>
    <row r="4310" spans="1:56" ht="18">
      <c r="A4310" s="114"/>
      <c r="B4310" s="388" t="s">
        <v>1112</v>
      </c>
      <c r="C4310" s="389">
        <v>0.4</v>
      </c>
      <c r="D4310" s="390" t="s">
        <v>10</v>
      </c>
      <c r="E4310" s="196"/>
      <c r="F4310" s="405"/>
      <c r="G4310" s="406" t="e">
        <f>TEXT(C4314,"tg 0°=")</f>
        <v>#VALUE!</v>
      </c>
      <c r="H4310" s="408">
        <f>TAN(3.14159265359*C4314/180)</f>
        <v>1.732050807569153</v>
      </c>
      <c r="I4310" s="405" t="s">
        <v>1143</v>
      </c>
      <c r="J4310" s="405"/>
      <c r="AX4310" s="117"/>
      <c r="AY4310" s="117"/>
      <c r="AZ4310" s="117"/>
      <c r="BA4310" s="117"/>
      <c r="BB4310" s="117"/>
      <c r="BC4310" s="117"/>
      <c r="BD4310" s="117"/>
    </row>
    <row r="4311" spans="1:56" ht="15">
      <c r="A4311" s="114"/>
      <c r="B4311" s="388" t="s">
        <v>1113</v>
      </c>
      <c r="C4311" s="389">
        <v>0.8</v>
      </c>
      <c r="D4311" s="390" t="s">
        <v>10</v>
      </c>
      <c r="E4311" s="196"/>
      <c r="F4311" s="405"/>
      <c r="G4311" s="406"/>
      <c r="H4311" s="407"/>
      <c r="I4311" s="405"/>
      <c r="J4311" s="405"/>
      <c r="AX4311" s="117"/>
      <c r="AY4311" s="117"/>
      <c r="AZ4311" s="117"/>
      <c r="BA4311" s="117"/>
      <c r="BB4311" s="117"/>
      <c r="BC4311" s="117"/>
      <c r="BD4311" s="117"/>
    </row>
    <row r="4312" spans="1:56" ht="15">
      <c r="A4312" s="114"/>
      <c r="B4312" s="388" t="s">
        <v>1117</v>
      </c>
      <c r="C4312" s="391">
        <v>1</v>
      </c>
      <c r="D4312" s="390" t="s">
        <v>1118</v>
      </c>
      <c r="E4312" s="196"/>
      <c r="F4312" s="405"/>
      <c r="G4312" s="406" t="s">
        <v>1142</v>
      </c>
      <c r="H4312" s="409">
        <f>(C4308+2*C4316+((C4310+C4311+0.05)/H4310)*2)*(C4309+2*C4316+((C4310+C4311+0.05)/H4310)*2)</f>
        <v>18.864912236580913</v>
      </c>
      <c r="I4312" s="405"/>
      <c r="J4312" s="405"/>
      <c r="AX4312" s="117"/>
      <c r="AY4312" s="117"/>
      <c r="AZ4312" s="117"/>
      <c r="BA4312" s="117"/>
      <c r="BB4312" s="117"/>
      <c r="BC4312" s="117"/>
      <c r="BD4312" s="117"/>
    </row>
    <row r="4313" spans="1:56" ht="15">
      <c r="A4313" s="114"/>
      <c r="B4313" s="196" t="s">
        <v>1148</v>
      </c>
      <c r="C4313" s="944"/>
      <c r="D4313" s="196"/>
      <c r="E4313" s="196"/>
      <c r="F4313" s="405"/>
      <c r="G4313" s="406" t="s">
        <v>1147</v>
      </c>
      <c r="H4313" s="409">
        <f>(C4308+2*C4316)*(C4309+2*C4316)</f>
        <v>8.41</v>
      </c>
      <c r="I4313" s="405"/>
      <c r="J4313" s="405"/>
      <c r="AX4313" s="117"/>
      <c r="AY4313" s="117"/>
      <c r="AZ4313" s="117"/>
      <c r="BA4313" s="117"/>
      <c r="BB4313" s="117"/>
      <c r="BC4313" s="117"/>
      <c r="BD4313" s="117"/>
    </row>
    <row r="4314" spans="1:56" ht="15">
      <c r="A4314" s="114"/>
      <c r="B4314" s="388" t="s">
        <v>1149</v>
      </c>
      <c r="C4314" s="389">
        <v>60</v>
      </c>
      <c r="D4314" s="390" t="s">
        <v>1150</v>
      </c>
      <c r="E4314" s="196"/>
      <c r="F4314" s="196"/>
      <c r="G4314" s="406"/>
      <c r="H4314" s="407"/>
      <c r="I4314" s="196"/>
      <c r="J4314" s="196"/>
      <c r="AX4314" s="117"/>
      <c r="AY4314" s="117"/>
      <c r="AZ4314" s="117"/>
      <c r="BA4314" s="117"/>
      <c r="BB4314" s="117"/>
      <c r="BC4314" s="117"/>
      <c r="BD4314" s="117"/>
    </row>
    <row r="4315" spans="1:56" ht="15">
      <c r="A4315" s="114"/>
      <c r="B4315" s="943"/>
      <c r="C4315" s="196"/>
      <c r="D4315" s="196"/>
      <c r="E4315" s="196"/>
      <c r="F4315" s="196"/>
      <c r="G4315" s="406"/>
      <c r="H4315" s="407"/>
      <c r="I4315" s="943"/>
      <c r="J4315" s="196"/>
      <c r="AX4315" s="117"/>
      <c r="AY4315" s="117"/>
      <c r="AZ4315" s="117"/>
      <c r="BA4315" s="117"/>
      <c r="BB4315" s="117"/>
      <c r="BC4315" s="117"/>
      <c r="BD4315" s="117"/>
    </row>
    <row r="4316" spans="1:56" ht="15">
      <c r="A4316" s="114"/>
      <c r="B4316" s="388" t="s">
        <v>1114</v>
      </c>
      <c r="C4316" s="389">
        <v>0.5</v>
      </c>
      <c r="D4316" s="390" t="s">
        <v>10</v>
      </c>
      <c r="E4316" s="288" t="s">
        <v>1120</v>
      </c>
      <c r="F4316" s="196"/>
      <c r="G4316" s="406"/>
      <c r="H4316" s="407"/>
      <c r="I4316" s="114"/>
      <c r="J4316" s="196"/>
      <c r="AX4316" s="117"/>
      <c r="AY4316" s="117"/>
      <c r="AZ4316" s="117"/>
      <c r="BA4316" s="117"/>
      <c r="BB4316" s="117"/>
      <c r="BC4316" s="117"/>
      <c r="BD4316" s="117"/>
    </row>
    <row r="4317" spans="1:56" ht="15">
      <c r="A4317" s="114"/>
      <c r="B4317" s="388" t="s">
        <v>1114</v>
      </c>
      <c r="C4317" s="389">
        <v>0.1</v>
      </c>
      <c r="D4317" s="390" t="s">
        <v>10</v>
      </c>
      <c r="E4317" s="288" t="s">
        <v>1121</v>
      </c>
      <c r="F4317" s="196"/>
      <c r="G4317" s="392"/>
      <c r="H4317" s="944"/>
      <c r="I4317" s="196"/>
      <c r="J4317" s="196"/>
      <c r="AX4317" s="117"/>
      <c r="AY4317" s="117"/>
      <c r="AZ4317" s="117"/>
      <c r="BA4317" s="117"/>
      <c r="BB4317" s="117"/>
      <c r="BC4317" s="117"/>
      <c r="BD4317" s="117"/>
    </row>
    <row r="4318" spans="1:56" ht="15">
      <c r="A4318" s="114"/>
      <c r="B4318" s="943"/>
      <c r="C4318" s="943"/>
      <c r="D4318" s="943"/>
      <c r="E4318" s="943"/>
      <c r="F4318" s="943"/>
      <c r="G4318" s="943"/>
      <c r="H4318" s="943"/>
      <c r="I4318" s="196"/>
      <c r="J4318" s="196"/>
      <c r="AX4318" s="117"/>
      <c r="AY4318" s="117"/>
      <c r="AZ4318" s="117"/>
      <c r="BA4318" s="117"/>
      <c r="BB4318" s="117"/>
      <c r="BC4318" s="117"/>
      <c r="BD4318" s="117"/>
    </row>
    <row r="4319" spans="1:56" ht="15">
      <c r="A4319" s="114"/>
      <c r="B4319" s="303" t="s">
        <v>1122</v>
      </c>
      <c r="C4319" s="943"/>
      <c r="D4319" s="943"/>
      <c r="E4319" s="943"/>
      <c r="F4319" s="943"/>
      <c r="G4319" s="196" t="s">
        <v>1131</v>
      </c>
      <c r="H4319" s="114"/>
      <c r="I4319" s="196"/>
      <c r="J4319" s="196"/>
      <c r="AX4319" s="117"/>
      <c r="AY4319" s="117"/>
      <c r="AZ4319" s="117"/>
      <c r="BA4319" s="117"/>
      <c r="BB4319" s="117"/>
      <c r="BC4319" s="117"/>
      <c r="BD4319" s="117"/>
    </row>
    <row r="4320" spans="1:56" ht="18">
      <c r="A4320" s="114"/>
      <c r="B4320" s="947" t="s">
        <v>1123</v>
      </c>
      <c r="C4320" s="172"/>
      <c r="D4320" s="173"/>
      <c r="E4320" s="397">
        <f>C4312*((H4313+H4312)/2)*(C4310+C4311+0.05)</f>
        <v>17.046820147863073</v>
      </c>
      <c r="F4320" s="390" t="s">
        <v>1124</v>
      </c>
      <c r="G4320" s="196"/>
      <c r="H4320" s="196"/>
      <c r="I4320" s="943"/>
      <c r="J4320" s="943"/>
      <c r="AX4320" s="117"/>
      <c r="AY4320" s="117"/>
      <c r="AZ4320" s="117"/>
      <c r="BA4320" s="117"/>
      <c r="BB4320" s="117"/>
      <c r="BC4320" s="117"/>
      <c r="BD4320" s="117"/>
    </row>
    <row r="4321" spans="1:56" ht="18">
      <c r="A4321" s="114"/>
      <c r="B4321" s="947" t="s">
        <v>1125</v>
      </c>
      <c r="C4321" s="172"/>
      <c r="D4321" s="173"/>
      <c r="E4321" s="400">
        <f>E4320-(E4332+E4334)</f>
        <v>13.938320147863074</v>
      </c>
      <c r="F4321" s="390" t="s">
        <v>1124</v>
      </c>
      <c r="G4321" s="196"/>
      <c r="H4321" s="196"/>
      <c r="I4321" s="196"/>
      <c r="J4321" s="196"/>
      <c r="AX4321" s="117"/>
      <c r="AY4321" s="117"/>
      <c r="AZ4321" s="117"/>
      <c r="BA4321" s="117"/>
      <c r="BB4321" s="117"/>
      <c r="BC4321" s="117"/>
      <c r="BD4321" s="117"/>
    </row>
    <row r="4322" spans="1:56" ht="15">
      <c r="A4322" s="114"/>
      <c r="B4322" s="947" t="s">
        <v>1126</v>
      </c>
      <c r="C4322" s="172"/>
      <c r="D4322" s="173"/>
      <c r="E4322" s="400">
        <f>((C4308+2*C4317)*(C4309+2*C4317))*C4312</f>
        <v>4.41</v>
      </c>
      <c r="F4322" s="390" t="s">
        <v>13</v>
      </c>
      <c r="G4322" s="943"/>
      <c r="H4322" s="943"/>
      <c r="I4322" s="943"/>
      <c r="J4322" s="943"/>
      <c r="AX4322" s="117"/>
      <c r="AY4322" s="117"/>
      <c r="AZ4322" s="117"/>
      <c r="BA4322" s="117"/>
      <c r="BB4322" s="117"/>
      <c r="BC4322" s="117"/>
      <c r="BD4322" s="117"/>
    </row>
    <row r="4323" spans="1:56" ht="15">
      <c r="A4323" s="114"/>
      <c r="B4323" s="943"/>
      <c r="C4323" s="943"/>
      <c r="D4323" s="943"/>
      <c r="E4323" s="401"/>
      <c r="F4323" s="196"/>
      <c r="G4323" s="943"/>
      <c r="H4323" s="943"/>
      <c r="I4323" s="943"/>
      <c r="J4323" s="943"/>
      <c r="AX4323" s="117"/>
      <c r="AY4323" s="117"/>
      <c r="AZ4323" s="117"/>
      <c r="BA4323" s="117"/>
      <c r="BB4323" s="117"/>
      <c r="BC4323" s="117"/>
      <c r="BD4323" s="117"/>
    </row>
    <row r="4324" spans="1:56" ht="15">
      <c r="A4324" s="114"/>
      <c r="B4324" s="303" t="s">
        <v>1162</v>
      </c>
      <c r="C4324" s="943"/>
      <c r="D4324" s="943"/>
      <c r="E4324" s="410"/>
      <c r="F4324" s="943"/>
      <c r="G4324" s="943"/>
      <c r="H4324" s="943"/>
      <c r="I4324" s="943"/>
      <c r="J4324" s="943"/>
      <c r="AX4324" s="117"/>
      <c r="AY4324" s="117"/>
      <c r="AZ4324" s="117"/>
      <c r="BA4324" s="117"/>
      <c r="BB4324" s="117"/>
      <c r="BC4324" s="117"/>
      <c r="BD4324" s="117"/>
    </row>
    <row r="4325" spans="1:56" ht="15">
      <c r="A4325" s="114"/>
      <c r="B4325" s="947" t="s">
        <v>1152</v>
      </c>
      <c r="C4325" s="947"/>
      <c r="D4325" s="945"/>
      <c r="E4325" s="411">
        <v>4</v>
      </c>
      <c r="F4325" s="390" t="s">
        <v>1153</v>
      </c>
      <c r="G4325" s="943"/>
      <c r="H4325" s="943"/>
      <c r="I4325" s="943"/>
      <c r="J4325" s="943"/>
      <c r="AX4325" s="117"/>
      <c r="AY4325" s="117"/>
      <c r="AZ4325" s="117"/>
      <c r="BA4325" s="117"/>
      <c r="BB4325" s="117"/>
      <c r="BC4325" s="117"/>
      <c r="BD4325" s="117"/>
    </row>
    <row r="4326" spans="1:56" ht="15">
      <c r="A4326" s="114"/>
      <c r="B4326" s="399" t="s">
        <v>1154</v>
      </c>
      <c r="C4326" s="31"/>
      <c r="D4326" s="32"/>
      <c r="E4326" s="412">
        <f>C4312*E4325</f>
        <v>4</v>
      </c>
      <c r="F4326" s="390" t="s">
        <v>1153</v>
      </c>
      <c r="G4326" s="943"/>
      <c r="H4326" s="943"/>
      <c r="I4326" s="943"/>
      <c r="J4326" s="943"/>
      <c r="AX4326" s="117"/>
      <c r="AY4326" s="117"/>
      <c r="AZ4326" s="117"/>
      <c r="BA4326" s="117"/>
      <c r="BB4326" s="117"/>
      <c r="BC4326" s="117"/>
      <c r="BD4326" s="117"/>
    </row>
    <row r="4327" spans="1:56" ht="15">
      <c r="A4327" s="114"/>
      <c r="B4327" s="947" t="s">
        <v>1155</v>
      </c>
      <c r="C4327" s="21"/>
      <c r="D4327" s="413"/>
      <c r="E4327" s="411">
        <v>350</v>
      </c>
      <c r="F4327" s="390" t="s">
        <v>1156</v>
      </c>
      <c r="G4327" s="943"/>
      <c r="H4327" s="414"/>
      <c r="I4327" s="943"/>
      <c r="J4327" s="415"/>
      <c r="AX4327" s="117"/>
      <c r="AY4327" s="117"/>
      <c r="AZ4327" s="117"/>
      <c r="BA4327" s="117"/>
      <c r="BB4327" s="117"/>
      <c r="BC4327" s="117"/>
      <c r="BD4327" s="117"/>
    </row>
    <row r="4328" spans="1:56" ht="15">
      <c r="A4328" s="114"/>
      <c r="B4328" s="947" t="s">
        <v>1157</v>
      </c>
      <c r="C4328" s="21"/>
      <c r="D4328" s="413"/>
      <c r="E4328" s="451">
        <v>13</v>
      </c>
      <c r="F4328" s="390" t="s">
        <v>10</v>
      </c>
      <c r="G4328" s="943"/>
      <c r="H4328" s="6"/>
      <c r="I4328" s="943"/>
      <c r="J4328" s="943"/>
      <c r="AX4328" s="117"/>
      <c r="AY4328" s="117"/>
      <c r="AZ4328" s="117"/>
      <c r="BA4328" s="117"/>
      <c r="BB4328" s="117"/>
      <c r="BC4328" s="117"/>
      <c r="BD4328" s="117"/>
    </row>
    <row r="4329" spans="1:56" ht="15">
      <c r="A4329" s="114"/>
      <c r="B4329" s="947" t="s">
        <v>1158</v>
      </c>
      <c r="C4329" s="21"/>
      <c r="D4329" s="413"/>
      <c r="E4329" s="412">
        <f>E4326*E4328</f>
        <v>52</v>
      </c>
      <c r="F4329" s="390" t="s">
        <v>10</v>
      </c>
      <c r="G4329" s="943"/>
      <c r="H4329" s="943"/>
      <c r="I4329" s="943"/>
      <c r="J4329" s="943"/>
      <c r="AX4329" s="117"/>
      <c r="AY4329" s="117"/>
      <c r="AZ4329" s="117"/>
      <c r="BA4329" s="117"/>
      <c r="BB4329" s="117"/>
      <c r="BC4329" s="117"/>
      <c r="BD4329" s="117"/>
    </row>
    <row r="4330" spans="1:56" ht="15">
      <c r="A4330" s="114"/>
      <c r="B4330" s="943"/>
      <c r="C4330" s="943"/>
      <c r="D4330" s="943"/>
      <c r="E4330" s="410"/>
      <c r="F4330" s="943"/>
      <c r="G4330" s="943"/>
      <c r="H4330" s="943"/>
      <c r="I4330" s="943"/>
      <c r="J4330" s="943"/>
      <c r="AX4330" s="117"/>
      <c r="AY4330" s="117"/>
      <c r="AZ4330" s="117"/>
      <c r="BA4330" s="117"/>
      <c r="BB4330" s="117"/>
      <c r="BC4330" s="117"/>
      <c r="BD4330" s="117"/>
    </row>
    <row r="4331" spans="1:56" ht="15">
      <c r="A4331" s="114"/>
      <c r="B4331" s="303" t="s">
        <v>1160</v>
      </c>
      <c r="C4331" s="943"/>
      <c r="D4331" s="943"/>
      <c r="E4331" s="410"/>
      <c r="F4331" s="943"/>
      <c r="G4331" s="943"/>
      <c r="H4331" s="943"/>
      <c r="I4331" s="943"/>
      <c r="J4331" s="943"/>
      <c r="AX4331" s="117"/>
      <c r="AY4331" s="117"/>
      <c r="AZ4331" s="117"/>
      <c r="BA4331" s="117"/>
      <c r="BB4331" s="117"/>
      <c r="BC4331" s="117"/>
      <c r="BD4331" s="117"/>
    </row>
    <row r="4332" spans="1:56" ht="18">
      <c r="A4332" s="114"/>
      <c r="B4332" s="947" t="s">
        <v>1128</v>
      </c>
      <c r="C4332" s="172"/>
      <c r="D4332" s="173"/>
      <c r="E4332" s="402">
        <f>E4322*0.05</f>
        <v>0.22050000000000003</v>
      </c>
      <c r="F4332" s="390" t="s">
        <v>1124</v>
      </c>
      <c r="G4332" s="943"/>
      <c r="H4332" s="943"/>
      <c r="I4332" s="943"/>
      <c r="J4332" s="943"/>
      <c r="AX4332" s="117"/>
      <c r="AY4332" s="117"/>
      <c r="AZ4332" s="117"/>
      <c r="BA4332" s="117"/>
      <c r="BB4332" s="117"/>
      <c r="BC4332" s="117"/>
      <c r="BD4332" s="117"/>
    </row>
    <row r="4333" spans="1:56" ht="15">
      <c r="A4333" s="114"/>
      <c r="B4333" s="947" t="s">
        <v>1129</v>
      </c>
      <c r="C4333" s="172"/>
      <c r="D4333" s="173"/>
      <c r="E4333" s="397">
        <f>(2*(C4308+C4309)*C4311)*C4312</f>
        <v>6.08</v>
      </c>
      <c r="F4333" s="390" t="s">
        <v>13</v>
      </c>
      <c r="G4333" s="943"/>
      <c r="H4333" s="943"/>
      <c r="I4333" s="943"/>
      <c r="J4333" s="943"/>
      <c r="AX4333" s="117"/>
      <c r="AY4333" s="117"/>
      <c r="AZ4333" s="117"/>
      <c r="BA4333" s="117"/>
      <c r="BB4333" s="117"/>
      <c r="BC4333" s="117"/>
      <c r="BD4333" s="117"/>
    </row>
    <row r="4334" spans="1:56" ht="18">
      <c r="A4334" s="114"/>
      <c r="B4334" s="947" t="s">
        <v>1130</v>
      </c>
      <c r="C4334" s="172"/>
      <c r="D4334" s="173"/>
      <c r="E4334" s="402">
        <f>(C4308*C4309*C4311)*C4312</f>
        <v>2.8879999999999999</v>
      </c>
      <c r="F4334" s="390" t="s">
        <v>1124</v>
      </c>
      <c r="G4334" s="943"/>
      <c r="H4334" s="943"/>
      <c r="I4334" s="943"/>
      <c r="J4334" s="943"/>
      <c r="AX4334" s="117"/>
      <c r="AY4334" s="117"/>
      <c r="AZ4334" s="117"/>
      <c r="BA4334" s="117"/>
      <c r="BB4334" s="117"/>
      <c r="BC4334" s="117"/>
      <c r="BD4334" s="117"/>
    </row>
    <row r="4335" spans="1:56" ht="15">
      <c r="A4335" s="114"/>
      <c r="B4335" s="114"/>
      <c r="C4335" s="196"/>
      <c r="D4335" s="196"/>
      <c r="E4335" s="196"/>
      <c r="F4335" s="196"/>
      <c r="G4335" s="114"/>
      <c r="H4335" s="114"/>
      <c r="I4335" s="386"/>
      <c r="J4335" s="196"/>
      <c r="AX4335" s="117"/>
      <c r="AY4335" s="117"/>
      <c r="AZ4335" s="117"/>
      <c r="BA4335" s="117"/>
      <c r="BB4335" s="117"/>
      <c r="BC4335" s="117"/>
      <c r="BD4335" s="117"/>
    </row>
    <row r="4336" spans="1:56" ht="15">
      <c r="A4336" s="114"/>
      <c r="B4336" s="114"/>
      <c r="C4336" s="114"/>
      <c r="D4336" s="114"/>
      <c r="E4336" s="114"/>
      <c r="F4336" s="114"/>
      <c r="G4336" s="114"/>
      <c r="H4336" s="114"/>
      <c r="I4336" s="386"/>
      <c r="J4336" s="114"/>
      <c r="AW4336" s="117"/>
      <c r="AX4336" s="117"/>
      <c r="AY4336" s="117"/>
      <c r="AZ4336" s="117"/>
      <c r="BA4336" s="117"/>
      <c r="BB4336" s="117"/>
      <c r="BC4336" s="117"/>
      <c r="BD4336" s="117"/>
    </row>
    <row r="4337" spans="1:56" ht="15">
      <c r="A4337" s="114"/>
      <c r="B4337" s="114"/>
      <c r="C4337" s="114"/>
      <c r="D4337" s="114"/>
      <c r="E4337" s="114"/>
      <c r="F4337" s="114"/>
      <c r="G4337" s="196"/>
      <c r="H4337" s="196"/>
      <c r="I4337" s="196"/>
      <c r="J4337" s="114"/>
      <c r="AW4337" s="117"/>
      <c r="AX4337" s="117"/>
      <c r="AY4337" s="117"/>
      <c r="AZ4337" s="117"/>
      <c r="BA4337" s="117"/>
      <c r="BB4337" s="117"/>
      <c r="BC4337" s="117"/>
      <c r="BD4337" s="117"/>
    </row>
    <row r="4338" spans="1:56">
      <c r="A4338" s="114"/>
      <c r="B4338" s="483" t="s">
        <v>1283</v>
      </c>
      <c r="C4338" s="196"/>
      <c r="D4338" s="196"/>
      <c r="E4338" s="196"/>
      <c r="F4338" s="196"/>
      <c r="G4338" s="404"/>
      <c r="H4338" s="404"/>
      <c r="I4338" s="404"/>
      <c r="J4338" s="196"/>
      <c r="AX4338" s="117"/>
      <c r="AY4338" s="117"/>
      <c r="AZ4338" s="117"/>
      <c r="BA4338" s="117"/>
      <c r="BB4338" s="117"/>
      <c r="BC4338" s="117"/>
      <c r="BD4338" s="117"/>
    </row>
    <row r="4339" spans="1:56" ht="18">
      <c r="A4339" s="114"/>
      <c r="B4339" s="362"/>
      <c r="C4339" s="362"/>
      <c r="D4339" s="362"/>
      <c r="E4339" s="362"/>
      <c r="F4339" s="404"/>
      <c r="G4339" s="406" t="s">
        <v>1142</v>
      </c>
      <c r="H4339" s="407">
        <f>C4340</f>
        <v>0.4</v>
      </c>
      <c r="I4339" s="405" t="s">
        <v>1143</v>
      </c>
      <c r="J4339" s="404"/>
      <c r="AX4339" s="117"/>
      <c r="AY4339" s="117"/>
      <c r="AZ4339" s="117"/>
      <c r="BA4339" s="117"/>
      <c r="BB4339" s="117"/>
      <c r="BC4339" s="117"/>
      <c r="BD4339" s="117"/>
    </row>
    <row r="4340" spans="1:56" ht="15">
      <c r="A4340" s="114"/>
      <c r="B4340" s="388" t="s">
        <v>1169</v>
      </c>
      <c r="C4340" s="389">
        <v>0.4</v>
      </c>
      <c r="D4340" s="390" t="s">
        <v>13</v>
      </c>
      <c r="E4340" s="196"/>
      <c r="F4340" s="405"/>
      <c r="G4340" s="406" t="e">
        <f>TEXT(C4347,"tg 0°=")</f>
        <v>#VALUE!</v>
      </c>
      <c r="H4340" s="408">
        <f>TAN(3.14159265359*C4347/180)</f>
        <v>1.732050807569153</v>
      </c>
      <c r="I4340" s="405"/>
      <c r="J4340" s="405"/>
      <c r="AX4340" s="117"/>
      <c r="AY4340" s="117"/>
      <c r="AZ4340" s="117"/>
      <c r="BA4340" s="117"/>
      <c r="BB4340" s="117"/>
      <c r="BC4340" s="117"/>
      <c r="BD4340" s="117"/>
    </row>
    <row r="4341" spans="1:56" ht="15">
      <c r="A4341" s="114"/>
      <c r="B4341" s="388" t="s">
        <v>1110</v>
      </c>
      <c r="C4341" s="389">
        <v>3</v>
      </c>
      <c r="D4341" s="390" t="s">
        <v>10</v>
      </c>
      <c r="E4341" s="196"/>
      <c r="F4341" s="405"/>
      <c r="G4341" s="406"/>
      <c r="H4341" s="407"/>
      <c r="I4341" s="405"/>
      <c r="J4341" s="405"/>
      <c r="AX4341" s="117"/>
      <c r="AY4341" s="117"/>
      <c r="AZ4341" s="117"/>
      <c r="BA4341" s="117"/>
      <c r="BB4341" s="117"/>
      <c r="BC4341" s="117"/>
      <c r="BD4341" s="117"/>
    </row>
    <row r="4342" spans="1:56" ht="18">
      <c r="A4342" s="114"/>
      <c r="B4342" s="388" t="s">
        <v>1111</v>
      </c>
      <c r="C4342" s="389">
        <v>3</v>
      </c>
      <c r="D4342" s="390" t="s">
        <v>10</v>
      </c>
      <c r="E4342" s="196"/>
      <c r="F4342" s="405"/>
      <c r="G4342" s="406" t="s">
        <v>1142</v>
      </c>
      <c r="H4342" s="409">
        <f>(C4341+2*C4349+((C4343+C4344+0.05)/H4340)*2)*(C4342+2*C4349+((C4343+C4344+0.05)/H4340)*2)</f>
        <v>32.197859578529624</v>
      </c>
      <c r="I4342" s="405" t="s">
        <v>1143</v>
      </c>
      <c r="J4342" s="405"/>
      <c r="AX4342" s="117"/>
      <c r="AY4342" s="117"/>
      <c r="AZ4342" s="117"/>
      <c r="BA4342" s="117"/>
      <c r="BB4342" s="117"/>
      <c r="BC4342" s="117"/>
      <c r="BD4342" s="117"/>
    </row>
    <row r="4343" spans="1:56" ht="18">
      <c r="A4343" s="114"/>
      <c r="B4343" s="388" t="s">
        <v>1112</v>
      </c>
      <c r="C4343" s="389">
        <v>0.4</v>
      </c>
      <c r="D4343" s="390" t="s">
        <v>10</v>
      </c>
      <c r="E4343" s="196"/>
      <c r="F4343" s="405"/>
      <c r="G4343" s="406" t="s">
        <v>1147</v>
      </c>
      <c r="H4343" s="409">
        <f>(C4341+2*C4349)*(C4342+2*C4349)</f>
        <v>16</v>
      </c>
      <c r="I4343" s="405" t="s">
        <v>1143</v>
      </c>
      <c r="J4343" s="405"/>
      <c r="AX4343" s="117"/>
      <c r="AY4343" s="117"/>
      <c r="AZ4343" s="117"/>
      <c r="BA4343" s="117"/>
      <c r="BB4343" s="117"/>
      <c r="BC4343" s="117"/>
      <c r="BD4343" s="117"/>
    </row>
    <row r="4344" spans="1:56" ht="15">
      <c r="A4344" s="114"/>
      <c r="B4344" s="388" t="s">
        <v>1113</v>
      </c>
      <c r="C4344" s="389">
        <v>1</v>
      </c>
      <c r="D4344" s="390" t="s">
        <v>10</v>
      </c>
      <c r="E4344" s="196"/>
      <c r="F4344" s="405"/>
      <c r="G4344" s="406"/>
      <c r="H4344" s="407"/>
      <c r="I4344" s="405"/>
      <c r="J4344" s="405"/>
      <c r="AX4344" s="117"/>
      <c r="AY4344" s="117"/>
      <c r="AZ4344" s="117"/>
      <c r="BA4344" s="117"/>
      <c r="BB4344" s="117"/>
      <c r="BC4344" s="117"/>
      <c r="BD4344" s="117"/>
    </row>
    <row r="4345" spans="1:56" ht="15">
      <c r="A4345" s="114"/>
      <c r="B4345" s="388" t="s">
        <v>1117</v>
      </c>
      <c r="C4345" s="391">
        <v>4</v>
      </c>
      <c r="D4345" s="390" t="s">
        <v>1118</v>
      </c>
      <c r="E4345" s="196"/>
      <c r="F4345" s="405"/>
      <c r="G4345" s="406"/>
      <c r="H4345" s="407"/>
      <c r="I4345" s="405"/>
      <c r="J4345" s="405"/>
      <c r="AX4345" s="117"/>
      <c r="AY4345" s="117"/>
      <c r="AZ4345" s="117"/>
      <c r="BA4345" s="117"/>
      <c r="BB4345" s="117"/>
      <c r="BC4345" s="117"/>
      <c r="BD4345" s="117"/>
    </row>
    <row r="4346" spans="1:56" ht="15">
      <c r="A4346" s="114"/>
      <c r="B4346" s="196" t="s">
        <v>1148</v>
      </c>
      <c r="C4346" s="393"/>
      <c r="D4346" s="196"/>
      <c r="E4346" s="196"/>
      <c r="F4346" s="405"/>
      <c r="G4346" s="406"/>
      <c r="H4346" s="407"/>
      <c r="I4346" s="405"/>
      <c r="J4346" s="405"/>
      <c r="AX4346" s="117"/>
      <c r="AY4346" s="117"/>
      <c r="AZ4346" s="117"/>
      <c r="BA4346" s="117"/>
      <c r="BB4346" s="117"/>
      <c r="BC4346" s="117"/>
      <c r="BD4346" s="117"/>
    </row>
    <row r="4347" spans="1:56" ht="15">
      <c r="A4347" s="114"/>
      <c r="B4347" s="388" t="s">
        <v>1149</v>
      </c>
      <c r="C4347" s="389">
        <v>60</v>
      </c>
      <c r="D4347" s="390" t="s">
        <v>1150</v>
      </c>
      <c r="E4347" s="196"/>
      <c r="F4347" s="196"/>
      <c r="G4347" s="392"/>
      <c r="H4347" s="393"/>
      <c r="I4347" s="196"/>
      <c r="J4347" s="196"/>
      <c r="AX4347" s="117"/>
      <c r="AY4347" s="117"/>
      <c r="AZ4347" s="117"/>
      <c r="BA4347" s="117"/>
      <c r="BB4347" s="117"/>
      <c r="BC4347" s="117"/>
      <c r="BD4347" s="117"/>
    </row>
    <row r="4348" spans="1:56" ht="15">
      <c r="A4348" s="114"/>
      <c r="B4348" s="362"/>
      <c r="C4348" s="196"/>
      <c r="D4348" s="196"/>
      <c r="E4348" s="196"/>
      <c r="F4348" s="196"/>
      <c r="G4348" s="362"/>
      <c r="H4348" s="362"/>
      <c r="I4348" s="362"/>
      <c r="J4348" s="196"/>
      <c r="AX4348" s="117"/>
      <c r="AY4348" s="117"/>
      <c r="AZ4348" s="117"/>
      <c r="BA4348" s="117"/>
      <c r="BB4348" s="117"/>
      <c r="BC4348" s="117"/>
      <c r="BD4348" s="117"/>
    </row>
    <row r="4349" spans="1:56" ht="15">
      <c r="A4349" s="114"/>
      <c r="B4349" s="388" t="s">
        <v>1114</v>
      </c>
      <c r="C4349" s="389">
        <v>0.5</v>
      </c>
      <c r="D4349" s="390" t="s">
        <v>10</v>
      </c>
      <c r="E4349" s="288" t="s">
        <v>1120</v>
      </c>
      <c r="F4349" s="196"/>
      <c r="G4349" s="362"/>
      <c r="H4349" s="362"/>
      <c r="I4349" s="362"/>
      <c r="J4349" s="196"/>
      <c r="AX4349" s="117"/>
      <c r="AY4349" s="117"/>
      <c r="AZ4349" s="117"/>
      <c r="BA4349" s="117"/>
      <c r="BB4349" s="117"/>
      <c r="BC4349" s="117"/>
      <c r="BD4349" s="117"/>
    </row>
    <row r="4350" spans="1:56" ht="15">
      <c r="A4350" s="114"/>
      <c r="B4350" s="388" t="s">
        <v>1114</v>
      </c>
      <c r="C4350" s="389">
        <v>0.1</v>
      </c>
      <c r="D4350" s="390" t="s">
        <v>10</v>
      </c>
      <c r="E4350" s="288" t="s">
        <v>1121</v>
      </c>
      <c r="F4350" s="196"/>
      <c r="G4350" s="362"/>
      <c r="H4350" s="362"/>
      <c r="I4350" s="362"/>
      <c r="J4350" s="196"/>
      <c r="AX4350" s="117"/>
      <c r="AY4350" s="117"/>
      <c r="AZ4350" s="117"/>
      <c r="BA4350" s="117"/>
      <c r="BB4350" s="117"/>
      <c r="BC4350" s="117"/>
      <c r="BD4350" s="117"/>
    </row>
    <row r="4351" spans="1:56" ht="15">
      <c r="A4351" s="114"/>
      <c r="B4351" s="362"/>
      <c r="C4351" s="362"/>
      <c r="D4351" s="362"/>
      <c r="E4351" s="362"/>
      <c r="F4351" s="362"/>
      <c r="G4351" s="114"/>
      <c r="H4351" s="362"/>
      <c r="I4351" s="196"/>
      <c r="J4351" s="196"/>
      <c r="AX4351" s="117"/>
      <c r="AY4351" s="117"/>
      <c r="AZ4351" s="117"/>
      <c r="BA4351" s="117"/>
      <c r="BB4351" s="117"/>
      <c r="BC4351" s="117"/>
      <c r="BD4351" s="117"/>
    </row>
    <row r="4352" spans="1:56" ht="15">
      <c r="A4352" s="114"/>
      <c r="B4352" s="303" t="s">
        <v>1122</v>
      </c>
      <c r="C4352" s="362"/>
      <c r="D4352" s="362"/>
      <c r="E4352" s="362"/>
      <c r="F4352" s="362"/>
      <c r="G4352" s="196"/>
      <c r="H4352" s="196" t="s">
        <v>1131</v>
      </c>
      <c r="I4352" s="196"/>
      <c r="J4352" s="196"/>
      <c r="AX4352" s="117"/>
      <c r="AY4352" s="117"/>
      <c r="AZ4352" s="117"/>
      <c r="BA4352" s="117"/>
      <c r="BB4352" s="117"/>
      <c r="BC4352" s="117"/>
      <c r="BD4352" s="117"/>
    </row>
    <row r="4353" spans="1:56" ht="18">
      <c r="A4353" s="114"/>
      <c r="B4353" s="398" t="s">
        <v>1123</v>
      </c>
      <c r="C4353" s="172"/>
      <c r="D4353" s="173"/>
      <c r="E4353" s="397">
        <f>C4345*((H4343+H4342)/2)*(C4343+C4344+0.05)</f>
        <v>139.77379277773591</v>
      </c>
      <c r="F4353" s="390" t="s">
        <v>1124</v>
      </c>
      <c r="G4353" s="196"/>
      <c r="H4353" s="362"/>
      <c r="I4353" s="362"/>
      <c r="J4353" s="362"/>
      <c r="AX4353" s="117"/>
      <c r="AY4353" s="117"/>
      <c r="AZ4353" s="117"/>
      <c r="BA4353" s="117"/>
      <c r="BB4353" s="117"/>
      <c r="BC4353" s="117"/>
      <c r="BD4353" s="117"/>
    </row>
    <row r="4354" spans="1:56" ht="18">
      <c r="A4354" s="114"/>
      <c r="B4354" s="398" t="s">
        <v>1125</v>
      </c>
      <c r="C4354" s="172"/>
      <c r="D4354" s="173"/>
      <c r="E4354" s="400">
        <f>E4353-(E4365+E4367)</f>
        <v>101.7257927777359</v>
      </c>
      <c r="F4354" s="390" t="s">
        <v>1124</v>
      </c>
      <c r="G4354" s="114"/>
      <c r="H4354" s="114"/>
      <c r="I4354" s="114"/>
      <c r="J4354" s="196"/>
      <c r="AX4354" s="117"/>
      <c r="AY4354" s="117"/>
      <c r="AZ4354" s="117"/>
      <c r="BA4354" s="117"/>
      <c r="BB4354" s="117"/>
      <c r="BC4354" s="117"/>
      <c r="BD4354" s="117"/>
    </row>
    <row r="4355" spans="1:56" ht="15">
      <c r="A4355" s="114"/>
      <c r="B4355" s="398" t="s">
        <v>1126</v>
      </c>
      <c r="C4355" s="172"/>
      <c r="D4355" s="173"/>
      <c r="E4355" s="400">
        <f>((C4341+2*C4350)*(C4342+2*C4350))*C4345</f>
        <v>40.960000000000008</v>
      </c>
      <c r="F4355" s="390" t="s">
        <v>13</v>
      </c>
      <c r="G4355" s="114"/>
      <c r="H4355" s="114"/>
      <c r="I4355" s="114"/>
      <c r="J4355" s="362"/>
      <c r="AX4355" s="117"/>
      <c r="AY4355" s="117"/>
      <c r="AZ4355" s="117"/>
      <c r="BA4355" s="117"/>
      <c r="BB4355" s="117"/>
      <c r="BC4355" s="117"/>
      <c r="BD4355" s="117"/>
    </row>
    <row r="4356" spans="1:56" ht="15">
      <c r="A4356" s="114"/>
      <c r="B4356" s="362"/>
      <c r="C4356" s="362"/>
      <c r="D4356" s="362"/>
      <c r="E4356" s="401"/>
      <c r="F4356" s="196"/>
      <c r="G4356" s="114"/>
      <c r="H4356" s="114"/>
      <c r="I4356" s="114"/>
      <c r="J4356" s="362"/>
      <c r="AX4356" s="117"/>
      <c r="AY4356" s="117"/>
      <c r="AZ4356" s="117"/>
      <c r="BA4356" s="117"/>
      <c r="BB4356" s="117"/>
      <c r="BC4356" s="117"/>
      <c r="BD4356" s="117"/>
    </row>
    <row r="4357" spans="1:56" ht="15">
      <c r="A4357" s="114"/>
      <c r="B4357" s="303" t="s">
        <v>1151</v>
      </c>
      <c r="C4357" s="362"/>
      <c r="D4357" s="362"/>
      <c r="E4357" s="410"/>
      <c r="F4357" s="362"/>
      <c r="G4357" s="114"/>
      <c r="H4357" s="114"/>
      <c r="I4357" s="114"/>
      <c r="J4357" s="362"/>
      <c r="AX4357" s="117"/>
      <c r="AY4357" s="117"/>
      <c r="AZ4357" s="117"/>
      <c r="BA4357" s="117"/>
      <c r="BB4357" s="117"/>
      <c r="BC4357" s="117"/>
      <c r="BD4357" s="117"/>
    </row>
    <row r="4358" spans="1:56" ht="15">
      <c r="A4358" s="114"/>
      <c r="B4358" s="398" t="s">
        <v>1152</v>
      </c>
      <c r="C4358" s="398"/>
      <c r="D4358" s="366"/>
      <c r="E4358" s="411">
        <v>4</v>
      </c>
      <c r="F4358" s="390" t="s">
        <v>1153</v>
      </c>
      <c r="G4358" s="114"/>
      <c r="H4358" s="114"/>
      <c r="I4358" s="114"/>
      <c r="J4358" s="362"/>
      <c r="AX4358" s="117"/>
      <c r="AY4358" s="117"/>
      <c r="AZ4358" s="117"/>
      <c r="BA4358" s="117"/>
      <c r="BB4358" s="117"/>
      <c r="BC4358" s="117"/>
      <c r="BD4358" s="117"/>
    </row>
    <row r="4359" spans="1:56" ht="15">
      <c r="A4359" s="114"/>
      <c r="B4359" s="399" t="s">
        <v>1154</v>
      </c>
      <c r="C4359" s="31"/>
      <c r="D4359" s="32"/>
      <c r="E4359" s="412">
        <f>C4345*E4358</f>
        <v>16</v>
      </c>
      <c r="F4359" s="390" t="s">
        <v>1153</v>
      </c>
      <c r="G4359" s="114"/>
      <c r="H4359" s="114"/>
      <c r="I4359" s="114"/>
      <c r="J4359" s="362"/>
      <c r="AX4359" s="117"/>
      <c r="AY4359" s="117"/>
      <c r="AZ4359" s="117"/>
      <c r="BA4359" s="117"/>
      <c r="BB4359" s="117"/>
      <c r="BC4359" s="117"/>
      <c r="BD4359" s="117"/>
    </row>
    <row r="4360" spans="1:56" ht="15">
      <c r="A4360" s="114"/>
      <c r="B4360" s="398" t="s">
        <v>1155</v>
      </c>
      <c r="C4360" s="21"/>
      <c r="D4360" s="413"/>
      <c r="E4360" s="411">
        <v>600</v>
      </c>
      <c r="F4360" s="390" t="s">
        <v>1156</v>
      </c>
      <c r="G4360" s="114"/>
      <c r="H4360" s="114"/>
      <c r="I4360" s="114"/>
      <c r="J4360" s="415"/>
      <c r="AX4360" s="117"/>
      <c r="AY4360" s="117"/>
      <c r="AZ4360" s="117"/>
      <c r="BA4360" s="117"/>
      <c r="BB4360" s="117"/>
      <c r="BC4360" s="117"/>
      <c r="BD4360" s="117"/>
    </row>
    <row r="4361" spans="1:56" ht="15">
      <c r="A4361" s="114"/>
      <c r="B4361" s="398" t="s">
        <v>1157</v>
      </c>
      <c r="C4361" s="21"/>
      <c r="D4361" s="413"/>
      <c r="E4361" s="418">
        <v>25</v>
      </c>
      <c r="F4361" s="390" t="s">
        <v>10</v>
      </c>
      <c r="G4361" s="114"/>
      <c r="H4361" s="114"/>
      <c r="I4361" s="114"/>
      <c r="J4361" s="362"/>
      <c r="AX4361" s="117"/>
      <c r="AY4361" s="117"/>
      <c r="AZ4361" s="117"/>
      <c r="BA4361" s="117"/>
      <c r="BB4361" s="117"/>
      <c r="BC4361" s="117"/>
      <c r="BD4361" s="117"/>
    </row>
    <row r="4362" spans="1:56" ht="15">
      <c r="A4362" s="114"/>
      <c r="B4362" s="398" t="s">
        <v>1158</v>
      </c>
      <c r="C4362" s="21"/>
      <c r="D4362" s="413"/>
      <c r="E4362" s="412">
        <f>E4359*E4361</f>
        <v>400</v>
      </c>
      <c r="F4362" s="390" t="s">
        <v>10</v>
      </c>
      <c r="G4362" s="114"/>
      <c r="H4362" s="114"/>
      <c r="I4362" s="114"/>
      <c r="J4362" s="362"/>
      <c r="AX4362" s="117"/>
      <c r="AY4362" s="117"/>
      <c r="AZ4362" s="117"/>
      <c r="BA4362" s="117"/>
      <c r="BB4362" s="117"/>
      <c r="BC4362" s="117"/>
      <c r="BD4362" s="117"/>
    </row>
    <row r="4363" spans="1:56" ht="15">
      <c r="A4363" s="114"/>
      <c r="B4363" s="362"/>
      <c r="C4363" s="362"/>
      <c r="D4363" s="362"/>
      <c r="E4363" s="410"/>
      <c r="F4363" s="362"/>
      <c r="G4363" s="114"/>
      <c r="H4363" s="114"/>
      <c r="I4363" s="114"/>
      <c r="J4363" s="362"/>
      <c r="AX4363" s="117"/>
      <c r="AY4363" s="117"/>
      <c r="AZ4363" s="117"/>
      <c r="BA4363" s="117"/>
      <c r="BB4363" s="117"/>
      <c r="BC4363" s="117"/>
      <c r="BD4363" s="117"/>
    </row>
    <row r="4364" spans="1:56" ht="15">
      <c r="A4364" s="114"/>
      <c r="B4364" s="303" t="s">
        <v>1160</v>
      </c>
      <c r="C4364" s="362"/>
      <c r="D4364" s="362"/>
      <c r="E4364" s="410"/>
      <c r="F4364" s="362"/>
      <c r="G4364" s="114"/>
      <c r="H4364" s="114"/>
      <c r="I4364" s="114"/>
      <c r="J4364" s="362"/>
      <c r="AX4364" s="117"/>
      <c r="AY4364" s="117"/>
      <c r="AZ4364" s="117"/>
      <c r="BA4364" s="117"/>
      <c r="BB4364" s="117"/>
      <c r="BC4364" s="117"/>
      <c r="BD4364" s="117"/>
    </row>
    <row r="4365" spans="1:56" ht="18">
      <c r="A4365" s="114"/>
      <c r="B4365" s="398" t="s">
        <v>1128</v>
      </c>
      <c r="C4365" s="172"/>
      <c r="D4365" s="173"/>
      <c r="E4365" s="402">
        <f>E4355*0.05</f>
        <v>2.0480000000000005</v>
      </c>
      <c r="F4365" s="390" t="s">
        <v>1124</v>
      </c>
      <c r="G4365" s="114"/>
      <c r="H4365" s="114"/>
      <c r="I4365" s="114"/>
      <c r="J4365" s="362"/>
      <c r="AX4365" s="117"/>
      <c r="AY4365" s="117"/>
      <c r="AZ4365" s="117"/>
      <c r="BA4365" s="117"/>
      <c r="BB4365" s="117"/>
      <c r="BC4365" s="117"/>
      <c r="BD4365" s="117"/>
    </row>
    <row r="4366" spans="1:56" ht="15">
      <c r="A4366" s="114"/>
      <c r="B4366" s="398" t="s">
        <v>1129</v>
      </c>
      <c r="C4366" s="172"/>
      <c r="D4366" s="173"/>
      <c r="E4366" s="397">
        <f>(2*(C4341+C4342)*C4344)*C4345</f>
        <v>48</v>
      </c>
      <c r="F4366" s="390" t="s">
        <v>13</v>
      </c>
      <c r="G4366" s="114"/>
      <c r="H4366" s="114"/>
      <c r="I4366" s="114"/>
      <c r="J4366" s="362"/>
      <c r="AX4366" s="117"/>
      <c r="AY4366" s="117"/>
      <c r="AZ4366" s="117"/>
      <c r="BA4366" s="117"/>
      <c r="BB4366" s="117"/>
      <c r="BC4366" s="117"/>
      <c r="BD4366" s="117"/>
    </row>
    <row r="4367" spans="1:56" ht="18">
      <c r="A4367" s="114"/>
      <c r="B4367" s="398" t="s">
        <v>1130</v>
      </c>
      <c r="C4367" s="172"/>
      <c r="D4367" s="173"/>
      <c r="E4367" s="402">
        <f>(C4341*C4342*C4344)*C4345</f>
        <v>36</v>
      </c>
      <c r="F4367" s="390" t="s">
        <v>1124</v>
      </c>
      <c r="G4367" s="114"/>
      <c r="H4367" s="114"/>
      <c r="I4367" s="114"/>
      <c r="J4367" s="362"/>
      <c r="AX4367" s="117"/>
      <c r="AY4367" s="117"/>
      <c r="AZ4367" s="117"/>
      <c r="BA4367" s="117"/>
      <c r="BB4367" s="117"/>
      <c r="BC4367" s="117"/>
      <c r="BD4367" s="117"/>
    </row>
    <row r="4368" spans="1:56" ht="15">
      <c r="A4368" s="114"/>
      <c r="B4368" s="114"/>
      <c r="C4368" s="114"/>
      <c r="D4368" s="114"/>
      <c r="E4368" s="114"/>
      <c r="F4368" s="114"/>
      <c r="G4368" s="114"/>
      <c r="H4368" s="114"/>
      <c r="I4368" s="386"/>
      <c r="J4368" s="114"/>
      <c r="AW4368" s="117"/>
      <c r="AX4368" s="117"/>
      <c r="AY4368" s="117"/>
      <c r="AZ4368" s="117"/>
      <c r="BA4368" s="117"/>
      <c r="BB4368" s="117"/>
      <c r="BC4368" s="117"/>
      <c r="BD4368" s="117"/>
    </row>
    <row r="4369" spans="1:56" ht="15">
      <c r="A4369" s="114"/>
      <c r="B4369" s="114"/>
      <c r="C4369" s="230"/>
      <c r="D4369" s="230"/>
      <c r="E4369" s="384"/>
      <c r="F4369" s="196"/>
      <c r="G4369" s="114"/>
      <c r="H4369" s="114"/>
      <c r="I4369" s="196"/>
      <c r="J4369" s="114"/>
      <c r="AW4369" s="117"/>
      <c r="AX4369" s="117"/>
      <c r="AY4369" s="117"/>
      <c r="AZ4369" s="117"/>
      <c r="BA4369" s="117"/>
      <c r="BB4369" s="117"/>
      <c r="BC4369" s="117"/>
      <c r="BD4369" s="117"/>
    </row>
    <row r="4370" spans="1:56" customFormat="1">
      <c r="B4370" s="385" t="s">
        <v>2223</v>
      </c>
      <c r="C4370" s="362"/>
      <c r="D4370" s="362"/>
      <c r="E4370" s="362"/>
      <c r="F4370" s="362"/>
      <c r="G4370" s="115"/>
      <c r="H4370" s="115"/>
      <c r="I4370" s="362"/>
      <c r="J4370" s="362"/>
    </row>
    <row r="4371" spans="1:56" ht="15">
      <c r="A4371" s="114"/>
      <c r="B4371" s="362"/>
      <c r="C4371" s="362"/>
      <c r="D4371" s="362"/>
      <c r="E4371" s="362"/>
      <c r="F4371" s="404"/>
      <c r="G4371" s="196"/>
      <c r="H4371" s="196"/>
      <c r="I4371" s="404"/>
      <c r="J4371" s="404"/>
      <c r="AX4371" s="117"/>
      <c r="AY4371" s="117"/>
      <c r="AZ4371" s="117"/>
      <c r="BA4371" s="117"/>
      <c r="BB4371" s="117"/>
      <c r="BC4371" s="117"/>
      <c r="BD4371" s="117"/>
    </row>
    <row r="4372" spans="1:56" ht="18">
      <c r="A4372" s="114"/>
      <c r="B4372" s="388" t="s">
        <v>1141</v>
      </c>
      <c r="C4372" s="389">
        <v>0.4</v>
      </c>
      <c r="D4372" s="390" t="s">
        <v>10</v>
      </c>
      <c r="E4372" s="196"/>
      <c r="F4372" s="405"/>
      <c r="G4372" s="196"/>
      <c r="H4372" s="196"/>
      <c r="I4372" s="405" t="s">
        <v>1143</v>
      </c>
      <c r="J4372" s="405"/>
      <c r="AX4372" s="117"/>
      <c r="AY4372" s="117"/>
      <c r="AZ4372" s="117"/>
      <c r="BA4372" s="117"/>
      <c r="BB4372" s="117"/>
      <c r="BC4372" s="117"/>
      <c r="BD4372" s="117"/>
    </row>
    <row r="4373" spans="1:56" ht="15">
      <c r="A4373" s="114"/>
      <c r="B4373" s="388" t="s">
        <v>1144</v>
      </c>
      <c r="C4373" s="389">
        <v>1.6</v>
      </c>
      <c r="D4373" s="390" t="s">
        <v>10</v>
      </c>
      <c r="E4373" s="196"/>
      <c r="F4373" s="405"/>
      <c r="G4373" s="362"/>
      <c r="H4373" s="362"/>
      <c r="I4373" s="405"/>
      <c r="J4373" s="405"/>
      <c r="AX4373" s="117"/>
      <c r="AY4373" s="117"/>
      <c r="AZ4373" s="117"/>
      <c r="BA4373" s="117"/>
      <c r="BB4373" s="117"/>
      <c r="BC4373" s="117"/>
      <c r="BD4373" s="117"/>
    </row>
    <row r="4374" spans="1:56" ht="15">
      <c r="A4374" s="114"/>
      <c r="B4374" s="388" t="s">
        <v>1145</v>
      </c>
      <c r="C4374" s="389">
        <v>3</v>
      </c>
      <c r="D4374" s="390" t="s">
        <v>10</v>
      </c>
      <c r="E4374" s="196"/>
      <c r="F4374" s="405"/>
      <c r="G4374" s="404"/>
      <c r="H4374" s="404"/>
      <c r="I4374" s="405"/>
      <c r="J4374" s="405"/>
      <c r="AX4374" s="117"/>
      <c r="AY4374" s="117"/>
      <c r="AZ4374" s="117"/>
      <c r="BA4374" s="117"/>
      <c r="BB4374" s="117"/>
      <c r="BC4374" s="117"/>
      <c r="BD4374" s="117"/>
    </row>
    <row r="4375" spans="1:56" ht="18">
      <c r="A4375" s="114"/>
      <c r="B4375" s="388" t="s">
        <v>1146</v>
      </c>
      <c r="C4375" s="389">
        <v>3</v>
      </c>
      <c r="D4375" s="390" t="s">
        <v>10</v>
      </c>
      <c r="E4375" s="196"/>
      <c r="F4375" s="405"/>
      <c r="G4375" s="406" t="s">
        <v>1142</v>
      </c>
      <c r="H4375" s="407">
        <f>C4372*C4373</f>
        <v>0.64000000000000012</v>
      </c>
      <c r="I4375" s="405" t="s">
        <v>1143</v>
      </c>
      <c r="J4375" s="405"/>
      <c r="AX4375" s="117"/>
      <c r="AY4375" s="117"/>
      <c r="AZ4375" s="117"/>
      <c r="BA4375" s="117"/>
      <c r="BB4375" s="117"/>
      <c r="BC4375" s="117"/>
      <c r="BD4375" s="117"/>
    </row>
    <row r="4376" spans="1:56" ht="18">
      <c r="A4376" s="114"/>
      <c r="B4376" s="388" t="s">
        <v>1112</v>
      </c>
      <c r="C4376" s="389">
        <v>0.4</v>
      </c>
      <c r="D4376" s="390" t="s">
        <v>10</v>
      </c>
      <c r="E4376" s="196"/>
      <c r="F4376" s="405"/>
      <c r="G4376" s="406" t="e">
        <f>TEXT(C4380,"tg 0°=")</f>
        <v>#VALUE!</v>
      </c>
      <c r="H4376" s="408">
        <f>TAN(3.14159265359*C4380/180)</f>
        <v>1.732050807569153</v>
      </c>
      <c r="I4376" s="405" t="s">
        <v>1143</v>
      </c>
      <c r="J4376" s="405"/>
      <c r="AX4376" s="117"/>
      <c r="AY4376" s="117"/>
      <c r="AZ4376" s="117"/>
      <c r="BA4376" s="117"/>
      <c r="BB4376" s="117"/>
      <c r="BC4376" s="117"/>
      <c r="BD4376" s="117"/>
    </row>
    <row r="4377" spans="1:56" ht="15">
      <c r="A4377" s="114"/>
      <c r="B4377" s="388" t="s">
        <v>1113</v>
      </c>
      <c r="C4377" s="389">
        <v>1</v>
      </c>
      <c r="D4377" s="390" t="s">
        <v>10</v>
      </c>
      <c r="E4377" s="196"/>
      <c r="F4377" s="405"/>
      <c r="G4377" s="406"/>
      <c r="H4377" s="407"/>
      <c r="I4377" s="405"/>
      <c r="J4377" s="405"/>
      <c r="AX4377" s="117"/>
      <c r="AY4377" s="117"/>
      <c r="AZ4377" s="117"/>
      <c r="BA4377" s="117"/>
      <c r="BB4377" s="117"/>
      <c r="BC4377" s="117"/>
      <c r="BD4377" s="117"/>
    </row>
    <row r="4378" spans="1:56" ht="15">
      <c r="A4378" s="114"/>
      <c r="B4378" s="388" t="s">
        <v>1117</v>
      </c>
      <c r="C4378" s="391">
        <v>1</v>
      </c>
      <c r="D4378" s="390" t="s">
        <v>1118</v>
      </c>
      <c r="E4378" s="196"/>
      <c r="F4378" s="405"/>
      <c r="G4378" s="406" t="s">
        <v>1142</v>
      </c>
      <c r="H4378" s="409">
        <f>(C4374+2*C4382+((C4376+C4377+0.05)/H4376)*2)*(C4375+2*C4382+((C4376+C4377+0.05)/H4376)*2)</f>
        <v>32.197859578529624</v>
      </c>
      <c r="I4378" s="405"/>
      <c r="J4378" s="405"/>
      <c r="AX4378" s="117"/>
      <c r="AY4378" s="117"/>
      <c r="AZ4378" s="117"/>
      <c r="BA4378" s="117"/>
      <c r="BB4378" s="117"/>
      <c r="BC4378" s="117"/>
      <c r="BD4378" s="117"/>
    </row>
    <row r="4379" spans="1:56" ht="15">
      <c r="A4379" s="114"/>
      <c r="B4379" s="196" t="s">
        <v>1148</v>
      </c>
      <c r="C4379" s="393"/>
      <c r="D4379" s="196"/>
      <c r="E4379" s="196"/>
      <c r="F4379" s="405"/>
      <c r="G4379" s="406" t="s">
        <v>1147</v>
      </c>
      <c r="H4379" s="409">
        <f>(C4374+2*C4382)*(C4375+2*C4382)</f>
        <v>16</v>
      </c>
      <c r="I4379" s="405"/>
      <c r="J4379" s="405"/>
      <c r="AX4379" s="117"/>
      <c r="AY4379" s="117"/>
      <c r="AZ4379" s="117"/>
      <c r="BA4379" s="117"/>
      <c r="BB4379" s="117"/>
      <c r="BC4379" s="117"/>
      <c r="BD4379" s="117"/>
    </row>
    <row r="4380" spans="1:56" ht="15">
      <c r="A4380" s="114"/>
      <c r="B4380" s="388" t="s">
        <v>1149</v>
      </c>
      <c r="C4380" s="389">
        <v>60</v>
      </c>
      <c r="D4380" s="390" t="s">
        <v>1150</v>
      </c>
      <c r="E4380" s="196"/>
      <c r="F4380" s="196"/>
      <c r="G4380" s="406"/>
      <c r="H4380" s="407"/>
      <c r="I4380" s="196"/>
      <c r="J4380" s="196"/>
      <c r="AX4380" s="117"/>
      <c r="AY4380" s="117"/>
      <c r="AZ4380" s="117"/>
      <c r="BA4380" s="117"/>
      <c r="BB4380" s="117"/>
      <c r="BC4380" s="117"/>
      <c r="BD4380" s="117"/>
    </row>
    <row r="4381" spans="1:56" ht="15">
      <c r="A4381" s="114"/>
      <c r="B4381" s="362"/>
      <c r="C4381" s="196"/>
      <c r="D4381" s="196"/>
      <c r="E4381" s="196"/>
      <c r="F4381" s="196"/>
      <c r="G4381" s="406"/>
      <c r="H4381" s="407"/>
      <c r="I4381" s="362"/>
      <c r="J4381" s="196"/>
      <c r="AX4381" s="117"/>
      <c r="AY4381" s="117"/>
      <c r="AZ4381" s="117"/>
      <c r="BA4381" s="117"/>
      <c r="BB4381" s="117"/>
      <c r="BC4381" s="117"/>
      <c r="BD4381" s="117"/>
    </row>
    <row r="4382" spans="1:56" ht="15">
      <c r="A4382" s="114"/>
      <c r="B4382" s="388" t="s">
        <v>1114</v>
      </c>
      <c r="C4382" s="389">
        <v>0.5</v>
      </c>
      <c r="D4382" s="390" t="s">
        <v>10</v>
      </c>
      <c r="E4382" s="288" t="s">
        <v>1120</v>
      </c>
      <c r="F4382" s="196"/>
      <c r="G4382" s="406"/>
      <c r="H4382" s="407"/>
      <c r="I4382" s="114"/>
      <c r="J4382" s="196"/>
      <c r="AX4382" s="117"/>
      <c r="AY4382" s="117"/>
      <c r="AZ4382" s="117"/>
      <c r="BA4382" s="117"/>
      <c r="BB4382" s="117"/>
      <c r="BC4382" s="117"/>
      <c r="BD4382" s="117"/>
    </row>
    <row r="4383" spans="1:56" ht="15">
      <c r="A4383" s="114"/>
      <c r="B4383" s="388" t="s">
        <v>1114</v>
      </c>
      <c r="C4383" s="389">
        <v>0.1</v>
      </c>
      <c r="D4383" s="390" t="s">
        <v>10</v>
      </c>
      <c r="E4383" s="288" t="s">
        <v>1121</v>
      </c>
      <c r="F4383" s="196"/>
      <c r="G4383" s="392"/>
      <c r="H4383" s="393"/>
      <c r="I4383" s="196"/>
      <c r="J4383" s="196"/>
      <c r="AX4383" s="117"/>
      <c r="AY4383" s="117"/>
      <c r="AZ4383" s="117"/>
      <c r="BA4383" s="117"/>
      <c r="BB4383" s="117"/>
      <c r="BC4383" s="117"/>
      <c r="BD4383" s="117"/>
    </row>
    <row r="4384" spans="1:56" ht="15">
      <c r="A4384" s="114"/>
      <c r="B4384" s="362"/>
      <c r="C4384" s="362"/>
      <c r="D4384" s="362"/>
      <c r="E4384" s="362"/>
      <c r="F4384" s="362"/>
      <c r="G4384" s="362"/>
      <c r="H4384" s="362"/>
      <c r="I4384" s="196"/>
      <c r="J4384" s="196"/>
      <c r="AX4384" s="117"/>
      <c r="AY4384" s="117"/>
      <c r="AZ4384" s="117"/>
      <c r="BA4384" s="117"/>
      <c r="BB4384" s="117"/>
      <c r="BC4384" s="117"/>
      <c r="BD4384" s="117"/>
    </row>
    <row r="4385" spans="1:56" ht="15">
      <c r="A4385" s="114"/>
      <c r="B4385" s="303" t="s">
        <v>1122</v>
      </c>
      <c r="C4385" s="362"/>
      <c r="D4385" s="362"/>
      <c r="E4385" s="362"/>
      <c r="F4385" s="362"/>
      <c r="G4385" s="196" t="s">
        <v>1131</v>
      </c>
      <c r="H4385" s="114"/>
      <c r="I4385" s="196"/>
      <c r="J4385" s="196"/>
      <c r="AX4385" s="117"/>
      <c r="AY4385" s="117"/>
      <c r="AZ4385" s="117"/>
      <c r="BA4385" s="117"/>
      <c r="BB4385" s="117"/>
      <c r="BC4385" s="117"/>
      <c r="BD4385" s="117"/>
    </row>
    <row r="4386" spans="1:56" ht="18">
      <c r="A4386" s="114"/>
      <c r="B4386" s="398" t="s">
        <v>1123</v>
      </c>
      <c r="C4386" s="172"/>
      <c r="D4386" s="173"/>
      <c r="E4386" s="397">
        <f>C4378*((H4379+H4378)/2)*(C4376+C4377+0.05)</f>
        <v>34.943448194433977</v>
      </c>
      <c r="F4386" s="390" t="s">
        <v>1124</v>
      </c>
      <c r="G4386" s="196"/>
      <c r="H4386" s="196"/>
      <c r="I4386" s="362"/>
      <c r="J4386" s="362"/>
      <c r="AX4386" s="117"/>
      <c r="AY4386" s="117"/>
      <c r="AZ4386" s="117"/>
      <c r="BA4386" s="117"/>
      <c r="BB4386" s="117"/>
      <c r="BC4386" s="117"/>
      <c r="BD4386" s="117"/>
    </row>
    <row r="4387" spans="1:56" ht="18">
      <c r="A4387" s="114"/>
      <c r="B4387" s="398" t="s">
        <v>1125</v>
      </c>
      <c r="C4387" s="172"/>
      <c r="D4387" s="173"/>
      <c r="E4387" s="400">
        <f>E4386-(E4398+E4400)</f>
        <v>25.431448194433976</v>
      </c>
      <c r="F4387" s="390" t="s">
        <v>1124</v>
      </c>
      <c r="G4387" s="196"/>
      <c r="H4387" s="196"/>
      <c r="I4387" s="196"/>
      <c r="J4387" s="196"/>
      <c r="AX4387" s="117"/>
      <c r="AY4387" s="117"/>
      <c r="AZ4387" s="117"/>
      <c r="BA4387" s="117"/>
      <c r="BB4387" s="117"/>
      <c r="BC4387" s="117"/>
      <c r="BD4387" s="117"/>
    </row>
    <row r="4388" spans="1:56" ht="15">
      <c r="A4388" s="114"/>
      <c r="B4388" s="398" t="s">
        <v>1126</v>
      </c>
      <c r="C4388" s="172"/>
      <c r="D4388" s="173"/>
      <c r="E4388" s="400">
        <f>((C4374+2*C4383)*(C4375+2*C4383))*C4378</f>
        <v>10.240000000000002</v>
      </c>
      <c r="F4388" s="390" t="s">
        <v>13</v>
      </c>
      <c r="G4388" s="362"/>
      <c r="H4388" s="362"/>
      <c r="I4388" s="362"/>
      <c r="J4388" s="362"/>
      <c r="AX4388" s="117"/>
      <c r="AY4388" s="117"/>
      <c r="AZ4388" s="117"/>
      <c r="BA4388" s="117"/>
      <c r="BB4388" s="117"/>
      <c r="BC4388" s="117"/>
      <c r="BD4388" s="117"/>
    </row>
    <row r="4389" spans="1:56" ht="15">
      <c r="A4389" s="114"/>
      <c r="B4389" s="362"/>
      <c r="C4389" s="362"/>
      <c r="D4389" s="362"/>
      <c r="E4389" s="401"/>
      <c r="F4389" s="196"/>
      <c r="G4389" s="362"/>
      <c r="H4389" s="362"/>
      <c r="I4389" s="362"/>
      <c r="J4389" s="362"/>
      <c r="AX4389" s="117"/>
      <c r="AY4389" s="117"/>
      <c r="AZ4389" s="117"/>
      <c r="BA4389" s="117"/>
      <c r="BB4389" s="117"/>
      <c r="BC4389" s="117"/>
      <c r="BD4389" s="117"/>
    </row>
    <row r="4390" spans="1:56" ht="15">
      <c r="A4390" s="114"/>
      <c r="B4390" s="303" t="s">
        <v>1162</v>
      </c>
      <c r="C4390" s="362"/>
      <c r="D4390" s="362"/>
      <c r="E4390" s="410"/>
      <c r="F4390" s="362"/>
      <c r="G4390" s="362"/>
      <c r="H4390" s="362"/>
      <c r="I4390" s="362"/>
      <c r="J4390" s="362"/>
      <c r="AX4390" s="117"/>
      <c r="AY4390" s="117"/>
      <c r="AZ4390" s="117"/>
      <c r="BA4390" s="117"/>
      <c r="BB4390" s="117"/>
      <c r="BC4390" s="117"/>
      <c r="BD4390" s="117"/>
    </row>
    <row r="4391" spans="1:56" ht="15">
      <c r="A4391" s="114"/>
      <c r="B4391" s="398" t="s">
        <v>1152</v>
      </c>
      <c r="C4391" s="398"/>
      <c r="D4391" s="366"/>
      <c r="E4391" s="411">
        <v>4</v>
      </c>
      <c r="F4391" s="390" t="s">
        <v>1153</v>
      </c>
      <c r="G4391" s="362"/>
      <c r="H4391" s="362"/>
      <c r="I4391" s="362"/>
      <c r="J4391" s="362"/>
      <c r="AX4391" s="117"/>
      <c r="AY4391" s="117"/>
      <c r="AZ4391" s="117"/>
      <c r="BA4391" s="117"/>
      <c r="BB4391" s="117"/>
      <c r="BC4391" s="117"/>
      <c r="BD4391" s="117"/>
    </row>
    <row r="4392" spans="1:56" ht="15">
      <c r="A4392" s="114"/>
      <c r="B4392" s="399" t="s">
        <v>1154</v>
      </c>
      <c r="C4392" s="31"/>
      <c r="D4392" s="32"/>
      <c r="E4392" s="412">
        <f>C4378*E4391</f>
        <v>4</v>
      </c>
      <c r="F4392" s="390" t="s">
        <v>1153</v>
      </c>
      <c r="G4392" s="362"/>
      <c r="H4392" s="362"/>
      <c r="I4392" s="362"/>
      <c r="J4392" s="362"/>
      <c r="AX4392" s="117"/>
      <c r="AY4392" s="117"/>
      <c r="AZ4392" s="117"/>
      <c r="BA4392" s="117"/>
      <c r="BB4392" s="117"/>
      <c r="BC4392" s="117"/>
      <c r="BD4392" s="117"/>
    </row>
    <row r="4393" spans="1:56" ht="15">
      <c r="A4393" s="114"/>
      <c r="B4393" s="398" t="s">
        <v>1155</v>
      </c>
      <c r="C4393" s="21"/>
      <c r="D4393" s="413"/>
      <c r="E4393" s="411">
        <v>600</v>
      </c>
      <c r="F4393" s="390" t="s">
        <v>1156</v>
      </c>
      <c r="G4393" s="362"/>
      <c r="H4393" s="414"/>
      <c r="I4393" s="362"/>
      <c r="J4393" s="415"/>
      <c r="AX4393" s="117"/>
      <c r="AY4393" s="117"/>
      <c r="AZ4393" s="117"/>
      <c r="BA4393" s="117"/>
      <c r="BB4393" s="117"/>
      <c r="BC4393" s="117"/>
      <c r="BD4393" s="117"/>
    </row>
    <row r="4394" spans="1:56" ht="15">
      <c r="A4394" s="114"/>
      <c r="B4394" s="398" t="s">
        <v>1157</v>
      </c>
      <c r="C4394" s="21"/>
      <c r="D4394" s="413"/>
      <c r="E4394" s="451">
        <v>25</v>
      </c>
      <c r="F4394" s="390" t="s">
        <v>10</v>
      </c>
      <c r="G4394" s="362"/>
      <c r="H4394" s="6"/>
      <c r="I4394" s="362"/>
      <c r="J4394" s="362"/>
      <c r="AX4394" s="117"/>
      <c r="AY4394" s="117"/>
      <c r="AZ4394" s="117"/>
      <c r="BA4394" s="117"/>
      <c r="BB4394" s="117"/>
      <c r="BC4394" s="117"/>
      <c r="BD4394" s="117"/>
    </row>
    <row r="4395" spans="1:56" ht="15">
      <c r="A4395" s="114"/>
      <c r="B4395" s="398" t="s">
        <v>1158</v>
      </c>
      <c r="C4395" s="21"/>
      <c r="D4395" s="413"/>
      <c r="E4395" s="412">
        <f>E4392*E4394</f>
        <v>100</v>
      </c>
      <c r="F4395" s="390" t="s">
        <v>10</v>
      </c>
      <c r="G4395" s="362"/>
      <c r="H4395" s="362"/>
      <c r="I4395" s="362"/>
      <c r="J4395" s="362"/>
      <c r="AX4395" s="117"/>
      <c r="AY4395" s="117"/>
      <c r="AZ4395" s="117"/>
      <c r="BA4395" s="117"/>
      <c r="BB4395" s="117"/>
      <c r="BC4395" s="117"/>
      <c r="BD4395" s="117"/>
    </row>
    <row r="4396" spans="1:56" ht="15">
      <c r="A4396" s="114"/>
      <c r="B4396" s="362"/>
      <c r="C4396" s="362"/>
      <c r="D4396" s="362"/>
      <c r="E4396" s="410"/>
      <c r="F4396" s="362"/>
      <c r="G4396" s="362"/>
      <c r="H4396" s="362"/>
      <c r="I4396" s="362"/>
      <c r="J4396" s="362"/>
      <c r="AX4396" s="117"/>
      <c r="AY4396" s="117"/>
      <c r="AZ4396" s="117"/>
      <c r="BA4396" s="117"/>
      <c r="BB4396" s="117"/>
      <c r="BC4396" s="117"/>
      <c r="BD4396" s="117"/>
    </row>
    <row r="4397" spans="1:56" ht="15">
      <c r="A4397" s="114"/>
      <c r="B4397" s="303" t="s">
        <v>1160</v>
      </c>
      <c r="C4397" s="362"/>
      <c r="D4397" s="362"/>
      <c r="E4397" s="410"/>
      <c r="F4397" s="362"/>
      <c r="G4397" s="362"/>
      <c r="H4397" s="362"/>
      <c r="I4397" s="362"/>
      <c r="J4397" s="362"/>
      <c r="AX4397" s="117"/>
      <c r="AY4397" s="117"/>
      <c r="AZ4397" s="117"/>
      <c r="BA4397" s="117"/>
      <c r="BB4397" s="117"/>
      <c r="BC4397" s="117"/>
      <c r="BD4397" s="117"/>
    </row>
    <row r="4398" spans="1:56" ht="18">
      <c r="A4398" s="114"/>
      <c r="B4398" s="398" t="s">
        <v>1128</v>
      </c>
      <c r="C4398" s="172"/>
      <c r="D4398" s="173"/>
      <c r="E4398" s="402">
        <f>E4388*0.05</f>
        <v>0.51200000000000012</v>
      </c>
      <c r="F4398" s="390" t="s">
        <v>1124</v>
      </c>
      <c r="G4398" s="362"/>
      <c r="H4398" s="362"/>
      <c r="I4398" s="362"/>
      <c r="J4398" s="362"/>
      <c r="AX4398" s="117"/>
      <c r="AY4398" s="117"/>
      <c r="AZ4398" s="117"/>
      <c r="BA4398" s="117"/>
      <c r="BB4398" s="117"/>
      <c r="BC4398" s="117"/>
      <c r="BD4398" s="117"/>
    </row>
    <row r="4399" spans="1:56" ht="15">
      <c r="A4399" s="114"/>
      <c r="B4399" s="398" t="s">
        <v>1129</v>
      </c>
      <c r="C4399" s="172"/>
      <c r="D4399" s="173"/>
      <c r="E4399" s="397">
        <f>(2*(C4374+C4375)*C4377)*C4378</f>
        <v>12</v>
      </c>
      <c r="F4399" s="390" t="s">
        <v>13</v>
      </c>
      <c r="G4399" s="362"/>
      <c r="H4399" s="362"/>
      <c r="I4399" s="362"/>
      <c r="J4399" s="362"/>
      <c r="AX4399" s="117"/>
      <c r="AY4399" s="117"/>
      <c r="AZ4399" s="117"/>
      <c r="BA4399" s="117"/>
      <c r="BB4399" s="117"/>
      <c r="BC4399" s="117"/>
      <c r="BD4399" s="117"/>
    </row>
    <row r="4400" spans="1:56" ht="18">
      <c r="A4400" s="114"/>
      <c r="B4400" s="398" t="s">
        <v>1130</v>
      </c>
      <c r="C4400" s="172"/>
      <c r="D4400" s="173"/>
      <c r="E4400" s="402">
        <f>(C4374*C4375*C4377)*C4378</f>
        <v>9</v>
      </c>
      <c r="F4400" s="390" t="s">
        <v>1124</v>
      </c>
      <c r="G4400" s="362"/>
      <c r="H4400" s="362"/>
      <c r="I4400" s="362"/>
      <c r="J4400" s="362"/>
      <c r="AX4400" s="117"/>
      <c r="AY4400" s="117"/>
      <c r="AZ4400" s="117"/>
      <c r="BA4400" s="117"/>
      <c r="BB4400" s="117"/>
      <c r="BC4400" s="117"/>
      <c r="BD4400" s="117"/>
    </row>
    <row r="4401" spans="1:56">
      <c r="A4401" s="114"/>
      <c r="B4401" s="115"/>
      <c r="C4401" s="115"/>
      <c r="D4401" s="115"/>
      <c r="E4401" s="115"/>
      <c r="F4401" s="115"/>
      <c r="G4401" s="115"/>
      <c r="H4401" s="115"/>
      <c r="I4401" s="115"/>
      <c r="J4401" s="114"/>
      <c r="AW4401" s="117"/>
      <c r="AX4401" s="117"/>
      <c r="AY4401" s="117"/>
      <c r="AZ4401" s="117"/>
      <c r="BA4401" s="117"/>
      <c r="BB4401" s="117"/>
      <c r="BC4401" s="117"/>
      <c r="BD4401" s="117"/>
    </row>
    <row r="4402" spans="1:56" ht="15">
      <c r="A4402" s="114"/>
      <c r="B4402" s="114"/>
      <c r="C4402" s="230"/>
      <c r="D4402" s="230"/>
      <c r="E4402" s="384"/>
      <c r="F4402" s="196"/>
      <c r="G4402" s="114"/>
      <c r="H4402" s="114"/>
      <c r="I4402" s="196"/>
      <c r="J4402" s="114"/>
      <c r="AW4402" s="117"/>
      <c r="AX4402" s="117"/>
      <c r="AY4402" s="117"/>
      <c r="AZ4402" s="117"/>
      <c r="BA4402" s="117"/>
      <c r="BB4402" s="117"/>
      <c r="BC4402" s="117"/>
      <c r="BD4402" s="117"/>
    </row>
    <row r="4403" spans="1:56" customFormat="1">
      <c r="B4403" s="385" t="s">
        <v>2224</v>
      </c>
      <c r="C4403" s="943"/>
      <c r="D4403" s="943"/>
      <c r="E4403" s="943"/>
      <c r="F4403" s="943"/>
      <c r="G4403" s="115"/>
      <c r="H4403" s="115"/>
      <c r="I4403" s="943"/>
      <c r="J4403" s="943"/>
    </row>
    <row r="4404" spans="1:56" ht="15">
      <c r="A4404" s="114"/>
      <c r="B4404" s="943"/>
      <c r="C4404" s="943"/>
      <c r="D4404" s="943"/>
      <c r="E4404" s="943"/>
      <c r="F4404" s="404"/>
      <c r="G4404" s="196"/>
      <c r="H4404" s="196"/>
      <c r="I4404" s="404"/>
      <c r="J4404" s="404"/>
      <c r="AX4404" s="117"/>
      <c r="AY4404" s="117"/>
      <c r="AZ4404" s="117"/>
      <c r="BA4404" s="117"/>
      <c r="BB4404" s="117"/>
      <c r="BC4404" s="117"/>
      <c r="BD4404" s="117"/>
    </row>
    <row r="4405" spans="1:56" ht="18">
      <c r="A4405" s="114"/>
      <c r="B4405" s="388" t="s">
        <v>1141</v>
      </c>
      <c r="C4405" s="389">
        <v>0.4</v>
      </c>
      <c r="D4405" s="390" t="s">
        <v>10</v>
      </c>
      <c r="E4405" s="196"/>
      <c r="F4405" s="405"/>
      <c r="G4405" s="196"/>
      <c r="H4405" s="196"/>
      <c r="I4405" s="405" t="s">
        <v>1143</v>
      </c>
      <c r="J4405" s="405"/>
      <c r="AX4405" s="117"/>
      <c r="AY4405" s="117"/>
      <c r="AZ4405" s="117"/>
      <c r="BA4405" s="117"/>
      <c r="BB4405" s="117"/>
      <c r="BC4405" s="117"/>
      <c r="BD4405" s="117"/>
    </row>
    <row r="4406" spans="1:56" ht="15">
      <c r="A4406" s="114"/>
      <c r="B4406" s="388" t="s">
        <v>1144</v>
      </c>
      <c r="C4406" s="389">
        <v>1.2</v>
      </c>
      <c r="D4406" s="390" t="s">
        <v>10</v>
      </c>
      <c r="E4406" s="196"/>
      <c r="F4406" s="405"/>
      <c r="G4406" s="943"/>
      <c r="H4406" s="943"/>
      <c r="I4406" s="405"/>
      <c r="J4406" s="405"/>
      <c r="AX4406" s="117"/>
      <c r="AY4406" s="117"/>
      <c r="AZ4406" s="117"/>
      <c r="BA4406" s="117"/>
      <c r="BB4406" s="117"/>
      <c r="BC4406" s="117"/>
      <c r="BD4406" s="117"/>
    </row>
    <row r="4407" spans="1:56" ht="15">
      <c r="A4407" s="114"/>
      <c r="B4407" s="388" t="s">
        <v>1145</v>
      </c>
      <c r="C4407" s="389">
        <v>3</v>
      </c>
      <c r="D4407" s="390" t="s">
        <v>10</v>
      </c>
      <c r="E4407" s="196"/>
      <c r="F4407" s="405"/>
      <c r="G4407" s="404"/>
      <c r="H4407" s="404"/>
      <c r="I4407" s="405"/>
      <c r="J4407" s="405"/>
      <c r="AX4407" s="117"/>
      <c r="AY4407" s="117"/>
      <c r="AZ4407" s="117"/>
      <c r="BA4407" s="117"/>
      <c r="BB4407" s="117"/>
      <c r="BC4407" s="117"/>
      <c r="BD4407" s="117"/>
    </row>
    <row r="4408" spans="1:56" ht="18">
      <c r="A4408" s="114"/>
      <c r="B4408" s="388" t="s">
        <v>1146</v>
      </c>
      <c r="C4408" s="389">
        <v>3</v>
      </c>
      <c r="D4408" s="390" t="s">
        <v>10</v>
      </c>
      <c r="E4408" s="196"/>
      <c r="F4408" s="405"/>
      <c r="G4408" s="406" t="s">
        <v>1142</v>
      </c>
      <c r="H4408" s="407">
        <f>C4405*C4406</f>
        <v>0.48</v>
      </c>
      <c r="I4408" s="405" t="s">
        <v>1143</v>
      </c>
      <c r="J4408" s="405"/>
      <c r="AX4408" s="117"/>
      <c r="AY4408" s="117"/>
      <c r="AZ4408" s="117"/>
      <c r="BA4408" s="117"/>
      <c r="BB4408" s="117"/>
      <c r="BC4408" s="117"/>
      <c r="BD4408" s="117"/>
    </row>
    <row r="4409" spans="1:56" ht="18">
      <c r="A4409" s="114"/>
      <c r="B4409" s="388" t="s">
        <v>1112</v>
      </c>
      <c r="C4409" s="389">
        <v>0.4</v>
      </c>
      <c r="D4409" s="390" t="s">
        <v>10</v>
      </c>
      <c r="E4409" s="196"/>
      <c r="F4409" s="405"/>
      <c r="G4409" s="406" t="e">
        <f>TEXT(C4413,"tg 0°=")</f>
        <v>#VALUE!</v>
      </c>
      <c r="H4409" s="408">
        <f>TAN(3.14159265359*C4413/180)</f>
        <v>1.732050807569153</v>
      </c>
      <c r="I4409" s="405" t="s">
        <v>1143</v>
      </c>
      <c r="J4409" s="405"/>
      <c r="AX4409" s="117"/>
      <c r="AY4409" s="117"/>
      <c r="AZ4409" s="117"/>
      <c r="BA4409" s="117"/>
      <c r="BB4409" s="117"/>
      <c r="BC4409" s="117"/>
      <c r="BD4409" s="117"/>
    </row>
    <row r="4410" spans="1:56" ht="15">
      <c r="A4410" s="114"/>
      <c r="B4410" s="388" t="s">
        <v>1113</v>
      </c>
      <c r="C4410" s="389">
        <v>1</v>
      </c>
      <c r="D4410" s="390" t="s">
        <v>10</v>
      </c>
      <c r="E4410" s="196"/>
      <c r="F4410" s="405"/>
      <c r="G4410" s="406"/>
      <c r="H4410" s="407"/>
      <c r="I4410" s="405"/>
      <c r="J4410" s="405"/>
      <c r="AX4410" s="117"/>
      <c r="AY4410" s="117"/>
      <c r="AZ4410" s="117"/>
      <c r="BA4410" s="117"/>
      <c r="BB4410" s="117"/>
      <c r="BC4410" s="117"/>
      <c r="BD4410" s="117"/>
    </row>
    <row r="4411" spans="1:56" ht="15">
      <c r="A4411" s="114"/>
      <c r="B4411" s="388" t="s">
        <v>1117</v>
      </c>
      <c r="C4411" s="391">
        <v>1</v>
      </c>
      <c r="D4411" s="390" t="s">
        <v>1118</v>
      </c>
      <c r="E4411" s="196"/>
      <c r="F4411" s="405"/>
      <c r="G4411" s="406" t="s">
        <v>1142</v>
      </c>
      <c r="H4411" s="409">
        <f>(C4407+2*C4415+((C4409+C4410+0.05)/H4409)*2)*(C4408+2*C4415+((C4409+C4410+0.05)/H4409)*2)</f>
        <v>32.197859578529624</v>
      </c>
      <c r="I4411" s="405"/>
      <c r="J4411" s="405"/>
      <c r="AX4411" s="117"/>
      <c r="AY4411" s="117"/>
      <c r="AZ4411" s="117"/>
      <c r="BA4411" s="117"/>
      <c r="BB4411" s="117"/>
      <c r="BC4411" s="117"/>
      <c r="BD4411" s="117"/>
    </row>
    <row r="4412" spans="1:56" ht="15">
      <c r="A4412" s="114"/>
      <c r="B4412" s="196" t="s">
        <v>1148</v>
      </c>
      <c r="C4412" s="944"/>
      <c r="D4412" s="196"/>
      <c r="E4412" s="196"/>
      <c r="F4412" s="405"/>
      <c r="G4412" s="406" t="s">
        <v>1147</v>
      </c>
      <c r="H4412" s="409">
        <f>(C4407+2*C4415)*(C4408+2*C4415)</f>
        <v>16</v>
      </c>
      <c r="I4412" s="405"/>
      <c r="J4412" s="405"/>
      <c r="AX4412" s="117"/>
      <c r="AY4412" s="117"/>
      <c r="AZ4412" s="117"/>
      <c r="BA4412" s="117"/>
      <c r="BB4412" s="117"/>
      <c r="BC4412" s="117"/>
      <c r="BD4412" s="117"/>
    </row>
    <row r="4413" spans="1:56" ht="15">
      <c r="A4413" s="114"/>
      <c r="B4413" s="388" t="s">
        <v>1149</v>
      </c>
      <c r="C4413" s="389">
        <v>60</v>
      </c>
      <c r="D4413" s="390" t="s">
        <v>1150</v>
      </c>
      <c r="E4413" s="196"/>
      <c r="F4413" s="196"/>
      <c r="G4413" s="406"/>
      <c r="H4413" s="407"/>
      <c r="I4413" s="196"/>
      <c r="J4413" s="196"/>
      <c r="AX4413" s="117"/>
      <c r="AY4413" s="117"/>
      <c r="AZ4413" s="117"/>
      <c r="BA4413" s="117"/>
      <c r="BB4413" s="117"/>
      <c r="BC4413" s="117"/>
      <c r="BD4413" s="117"/>
    </row>
    <row r="4414" spans="1:56" ht="15">
      <c r="A4414" s="114"/>
      <c r="B4414" s="943"/>
      <c r="C4414" s="196"/>
      <c r="D4414" s="196"/>
      <c r="E4414" s="196"/>
      <c r="F4414" s="196"/>
      <c r="G4414" s="406"/>
      <c r="H4414" s="407"/>
      <c r="I4414" s="943"/>
      <c r="J4414" s="196"/>
      <c r="AX4414" s="117"/>
      <c r="AY4414" s="117"/>
      <c r="AZ4414" s="117"/>
      <c r="BA4414" s="117"/>
      <c r="BB4414" s="117"/>
      <c r="BC4414" s="117"/>
      <c r="BD4414" s="117"/>
    </row>
    <row r="4415" spans="1:56" ht="15">
      <c r="A4415" s="114"/>
      <c r="B4415" s="388" t="s">
        <v>1114</v>
      </c>
      <c r="C4415" s="389">
        <v>0.5</v>
      </c>
      <c r="D4415" s="390" t="s">
        <v>10</v>
      </c>
      <c r="E4415" s="288" t="s">
        <v>1120</v>
      </c>
      <c r="F4415" s="196"/>
      <c r="G4415" s="406"/>
      <c r="H4415" s="407"/>
      <c r="I4415" s="114"/>
      <c r="J4415" s="196"/>
      <c r="AX4415" s="117"/>
      <c r="AY4415" s="117"/>
      <c r="AZ4415" s="117"/>
      <c r="BA4415" s="117"/>
      <c r="BB4415" s="117"/>
      <c r="BC4415" s="117"/>
      <c r="BD4415" s="117"/>
    </row>
    <row r="4416" spans="1:56" ht="15">
      <c r="A4416" s="114"/>
      <c r="B4416" s="388" t="s">
        <v>1114</v>
      </c>
      <c r="C4416" s="389">
        <v>0.1</v>
      </c>
      <c r="D4416" s="390" t="s">
        <v>10</v>
      </c>
      <c r="E4416" s="288" t="s">
        <v>1121</v>
      </c>
      <c r="F4416" s="196"/>
      <c r="G4416" s="392"/>
      <c r="H4416" s="944"/>
      <c r="I4416" s="196"/>
      <c r="J4416" s="196"/>
      <c r="AX4416" s="117"/>
      <c r="AY4416" s="117"/>
      <c r="AZ4416" s="117"/>
      <c r="BA4416" s="117"/>
      <c r="BB4416" s="117"/>
      <c r="BC4416" s="117"/>
      <c r="BD4416" s="117"/>
    </row>
    <row r="4417" spans="1:56" ht="15">
      <c r="A4417" s="114"/>
      <c r="B4417" s="943"/>
      <c r="C4417" s="943"/>
      <c r="D4417" s="943"/>
      <c r="E4417" s="943"/>
      <c r="F4417" s="943"/>
      <c r="G4417" s="943"/>
      <c r="H4417" s="943"/>
      <c r="I4417" s="196"/>
      <c r="J4417" s="196"/>
      <c r="AX4417" s="117"/>
      <c r="AY4417" s="117"/>
      <c r="AZ4417" s="117"/>
      <c r="BA4417" s="117"/>
      <c r="BB4417" s="117"/>
      <c r="BC4417" s="117"/>
      <c r="BD4417" s="117"/>
    </row>
    <row r="4418" spans="1:56" ht="15">
      <c r="A4418" s="114"/>
      <c r="B4418" s="303" t="s">
        <v>1122</v>
      </c>
      <c r="C4418" s="943"/>
      <c r="D4418" s="943"/>
      <c r="E4418" s="943"/>
      <c r="F4418" s="943"/>
      <c r="G4418" s="196" t="s">
        <v>1131</v>
      </c>
      <c r="H4418" s="114"/>
      <c r="I4418" s="196"/>
      <c r="J4418" s="196"/>
      <c r="AX4418" s="117"/>
      <c r="AY4418" s="117"/>
      <c r="AZ4418" s="117"/>
      <c r="BA4418" s="117"/>
      <c r="BB4418" s="117"/>
      <c r="BC4418" s="117"/>
      <c r="BD4418" s="117"/>
    </row>
    <row r="4419" spans="1:56" ht="18">
      <c r="A4419" s="114"/>
      <c r="B4419" s="947" t="s">
        <v>1123</v>
      </c>
      <c r="C4419" s="172"/>
      <c r="D4419" s="173"/>
      <c r="E4419" s="397">
        <f>C4411*((H4412+H4411)/2)*(C4409+C4410+0.05)</f>
        <v>34.943448194433977</v>
      </c>
      <c r="F4419" s="390" t="s">
        <v>1124</v>
      </c>
      <c r="G4419" s="196"/>
      <c r="H4419" s="196"/>
      <c r="I4419" s="943"/>
      <c r="J4419" s="943"/>
      <c r="AX4419" s="117"/>
      <c r="AY4419" s="117"/>
      <c r="AZ4419" s="117"/>
      <c r="BA4419" s="117"/>
      <c r="BB4419" s="117"/>
      <c r="BC4419" s="117"/>
      <c r="BD4419" s="117"/>
    </row>
    <row r="4420" spans="1:56" ht="18">
      <c r="A4420" s="114"/>
      <c r="B4420" s="947" t="s">
        <v>1125</v>
      </c>
      <c r="C4420" s="172"/>
      <c r="D4420" s="173"/>
      <c r="E4420" s="400">
        <f>E4419-(E4431+E4433)</f>
        <v>25.431448194433976</v>
      </c>
      <c r="F4420" s="390" t="s">
        <v>1124</v>
      </c>
      <c r="G4420" s="196"/>
      <c r="H4420" s="196"/>
      <c r="I4420" s="196"/>
      <c r="J4420" s="196"/>
      <c r="AX4420" s="117"/>
      <c r="AY4420" s="117"/>
      <c r="AZ4420" s="117"/>
      <c r="BA4420" s="117"/>
      <c r="BB4420" s="117"/>
      <c r="BC4420" s="117"/>
      <c r="BD4420" s="117"/>
    </row>
    <row r="4421" spans="1:56" ht="15">
      <c r="A4421" s="114"/>
      <c r="B4421" s="947" t="s">
        <v>1126</v>
      </c>
      <c r="C4421" s="172"/>
      <c r="D4421" s="173"/>
      <c r="E4421" s="400">
        <f>((C4407+2*C4416)*(C4408+2*C4416))*C4411</f>
        <v>10.240000000000002</v>
      </c>
      <c r="F4421" s="390" t="s">
        <v>13</v>
      </c>
      <c r="G4421" s="943"/>
      <c r="H4421" s="943"/>
      <c r="I4421" s="943"/>
      <c r="J4421" s="943"/>
      <c r="AX4421" s="117"/>
      <c r="AY4421" s="117"/>
      <c r="AZ4421" s="117"/>
      <c r="BA4421" s="117"/>
      <c r="BB4421" s="117"/>
      <c r="BC4421" s="117"/>
      <c r="BD4421" s="117"/>
    </row>
    <row r="4422" spans="1:56" ht="15">
      <c r="A4422" s="114"/>
      <c r="B4422" s="943"/>
      <c r="C4422" s="943"/>
      <c r="D4422" s="943"/>
      <c r="E4422" s="401"/>
      <c r="F4422" s="196"/>
      <c r="G4422" s="943"/>
      <c r="H4422" s="943"/>
      <c r="I4422" s="943"/>
      <c r="J4422" s="943"/>
      <c r="AX4422" s="117"/>
      <c r="AY4422" s="117"/>
      <c r="AZ4422" s="117"/>
      <c r="BA4422" s="117"/>
      <c r="BB4422" s="117"/>
      <c r="BC4422" s="117"/>
      <c r="BD4422" s="117"/>
    </row>
    <row r="4423" spans="1:56" ht="15">
      <c r="A4423" s="114"/>
      <c r="B4423" s="303" t="s">
        <v>1162</v>
      </c>
      <c r="C4423" s="943"/>
      <c r="D4423" s="943"/>
      <c r="E4423" s="410"/>
      <c r="F4423" s="943"/>
      <c r="G4423" s="943"/>
      <c r="H4423" s="943"/>
      <c r="I4423" s="943"/>
      <c r="J4423" s="943"/>
      <c r="AX4423" s="117"/>
      <c r="AY4423" s="117"/>
      <c r="AZ4423" s="117"/>
      <c r="BA4423" s="117"/>
      <c r="BB4423" s="117"/>
      <c r="BC4423" s="117"/>
      <c r="BD4423" s="117"/>
    </row>
    <row r="4424" spans="1:56" ht="15">
      <c r="A4424" s="114"/>
      <c r="B4424" s="947" t="s">
        <v>1152</v>
      </c>
      <c r="C4424" s="947"/>
      <c r="D4424" s="945"/>
      <c r="E4424" s="411">
        <v>4</v>
      </c>
      <c r="F4424" s="390" t="s">
        <v>1153</v>
      </c>
      <c r="G4424" s="943"/>
      <c r="H4424" s="943"/>
      <c r="I4424" s="943"/>
      <c r="J4424" s="943"/>
      <c r="AX4424" s="117"/>
      <c r="AY4424" s="117"/>
      <c r="AZ4424" s="117"/>
      <c r="BA4424" s="117"/>
      <c r="BB4424" s="117"/>
      <c r="BC4424" s="117"/>
      <c r="BD4424" s="117"/>
    </row>
    <row r="4425" spans="1:56" ht="15">
      <c r="A4425" s="114"/>
      <c r="B4425" s="399" t="s">
        <v>1154</v>
      </c>
      <c r="C4425" s="31"/>
      <c r="D4425" s="32"/>
      <c r="E4425" s="412">
        <f>C4411*E4424</f>
        <v>4</v>
      </c>
      <c r="F4425" s="390" t="s">
        <v>1153</v>
      </c>
      <c r="G4425" s="943"/>
      <c r="H4425" s="943"/>
      <c r="I4425" s="943"/>
      <c r="J4425" s="943"/>
      <c r="AX4425" s="117"/>
      <c r="AY4425" s="117"/>
      <c r="AZ4425" s="117"/>
      <c r="BA4425" s="117"/>
      <c r="BB4425" s="117"/>
      <c r="BC4425" s="117"/>
      <c r="BD4425" s="117"/>
    </row>
    <row r="4426" spans="1:56" ht="15">
      <c r="A4426" s="114"/>
      <c r="B4426" s="947" t="s">
        <v>1155</v>
      </c>
      <c r="C4426" s="21"/>
      <c r="D4426" s="413"/>
      <c r="E4426" s="411">
        <v>600</v>
      </c>
      <c r="F4426" s="390" t="s">
        <v>1156</v>
      </c>
      <c r="G4426" s="943"/>
      <c r="H4426" s="414"/>
      <c r="I4426" s="943"/>
      <c r="J4426" s="415"/>
      <c r="AX4426" s="117"/>
      <c r="AY4426" s="117"/>
      <c r="AZ4426" s="117"/>
      <c r="BA4426" s="117"/>
      <c r="BB4426" s="117"/>
      <c r="BC4426" s="117"/>
      <c r="BD4426" s="117"/>
    </row>
    <row r="4427" spans="1:56" ht="15">
      <c r="A4427" s="114"/>
      <c r="B4427" s="947" t="s">
        <v>1157</v>
      </c>
      <c r="C4427" s="21"/>
      <c r="D4427" s="413"/>
      <c r="E4427" s="451">
        <v>25</v>
      </c>
      <c r="F4427" s="390" t="s">
        <v>10</v>
      </c>
      <c r="G4427" s="943"/>
      <c r="H4427" s="6"/>
      <c r="I4427" s="943"/>
      <c r="J4427" s="943"/>
      <c r="AX4427" s="117"/>
      <c r="AY4427" s="117"/>
      <c r="AZ4427" s="117"/>
      <c r="BA4427" s="117"/>
      <c r="BB4427" s="117"/>
      <c r="BC4427" s="117"/>
      <c r="BD4427" s="117"/>
    </row>
    <row r="4428" spans="1:56" ht="15">
      <c r="A4428" s="114"/>
      <c r="B4428" s="947" t="s">
        <v>1158</v>
      </c>
      <c r="C4428" s="21"/>
      <c r="D4428" s="413"/>
      <c r="E4428" s="412">
        <f>E4425*E4427</f>
        <v>100</v>
      </c>
      <c r="F4428" s="390" t="s">
        <v>10</v>
      </c>
      <c r="G4428" s="943"/>
      <c r="H4428" s="943"/>
      <c r="I4428" s="943"/>
      <c r="J4428" s="943"/>
      <c r="AX4428" s="117"/>
      <c r="AY4428" s="117"/>
      <c r="AZ4428" s="117"/>
      <c r="BA4428" s="117"/>
      <c r="BB4428" s="117"/>
      <c r="BC4428" s="117"/>
      <c r="BD4428" s="117"/>
    </row>
    <row r="4429" spans="1:56" ht="15">
      <c r="A4429" s="114"/>
      <c r="B4429" s="943"/>
      <c r="C4429" s="943"/>
      <c r="D4429" s="943"/>
      <c r="E4429" s="410"/>
      <c r="F4429" s="943"/>
      <c r="G4429" s="943"/>
      <c r="H4429" s="943"/>
      <c r="I4429" s="943"/>
      <c r="J4429" s="943"/>
      <c r="AX4429" s="117"/>
      <c r="AY4429" s="117"/>
      <c r="AZ4429" s="117"/>
      <c r="BA4429" s="117"/>
      <c r="BB4429" s="117"/>
      <c r="BC4429" s="117"/>
      <c r="BD4429" s="117"/>
    </row>
    <row r="4430" spans="1:56" ht="15">
      <c r="A4430" s="114"/>
      <c r="B4430" s="303" t="s">
        <v>1160</v>
      </c>
      <c r="C4430" s="943"/>
      <c r="D4430" s="943"/>
      <c r="E4430" s="410"/>
      <c r="F4430" s="943"/>
      <c r="G4430" s="943"/>
      <c r="H4430" s="943"/>
      <c r="I4430" s="943"/>
      <c r="J4430" s="943"/>
      <c r="AX4430" s="117"/>
      <c r="AY4430" s="117"/>
      <c r="AZ4430" s="117"/>
      <c r="BA4430" s="117"/>
      <c r="BB4430" s="117"/>
      <c r="BC4430" s="117"/>
      <c r="BD4430" s="117"/>
    </row>
    <row r="4431" spans="1:56" ht="18">
      <c r="A4431" s="114"/>
      <c r="B4431" s="947" t="s">
        <v>1128</v>
      </c>
      <c r="C4431" s="172"/>
      <c r="D4431" s="173"/>
      <c r="E4431" s="402">
        <f>E4421*0.05</f>
        <v>0.51200000000000012</v>
      </c>
      <c r="F4431" s="390" t="s">
        <v>1124</v>
      </c>
      <c r="G4431" s="943"/>
      <c r="H4431" s="943"/>
      <c r="I4431" s="943"/>
      <c r="J4431" s="943"/>
      <c r="AX4431" s="117"/>
      <c r="AY4431" s="117"/>
      <c r="AZ4431" s="117"/>
      <c r="BA4431" s="117"/>
      <c r="BB4431" s="117"/>
      <c r="BC4431" s="117"/>
      <c r="BD4431" s="117"/>
    </row>
    <row r="4432" spans="1:56" ht="15">
      <c r="A4432" s="114"/>
      <c r="B4432" s="947" t="s">
        <v>1129</v>
      </c>
      <c r="C4432" s="172"/>
      <c r="D4432" s="173"/>
      <c r="E4432" s="397">
        <f>(2*(C4407+C4408)*C4410)*C4411</f>
        <v>12</v>
      </c>
      <c r="F4432" s="390" t="s">
        <v>13</v>
      </c>
      <c r="G4432" s="943"/>
      <c r="H4432" s="943"/>
      <c r="I4432" s="943"/>
      <c r="J4432" s="943"/>
      <c r="AX4432" s="117"/>
      <c r="AY4432" s="117"/>
      <c r="AZ4432" s="117"/>
      <c r="BA4432" s="117"/>
      <c r="BB4432" s="117"/>
      <c r="BC4432" s="117"/>
      <c r="BD4432" s="117"/>
    </row>
    <row r="4433" spans="1:56" ht="18">
      <c r="A4433" s="114"/>
      <c r="B4433" s="947" t="s">
        <v>1130</v>
      </c>
      <c r="C4433" s="172"/>
      <c r="D4433" s="173"/>
      <c r="E4433" s="402">
        <f>(C4407*C4408*C4410)*C4411</f>
        <v>9</v>
      </c>
      <c r="F4433" s="390" t="s">
        <v>1124</v>
      </c>
      <c r="G4433" s="943"/>
      <c r="H4433" s="943"/>
      <c r="I4433" s="943"/>
      <c r="J4433" s="943"/>
      <c r="AX4433" s="117"/>
      <c r="AY4433" s="117"/>
      <c r="AZ4433" s="117"/>
      <c r="BA4433" s="117"/>
      <c r="BB4433" s="117"/>
      <c r="BC4433" s="117"/>
      <c r="BD4433" s="117"/>
    </row>
    <row r="4434" spans="1:56">
      <c r="A4434" s="114"/>
      <c r="B4434" s="115"/>
      <c r="C4434" s="115"/>
      <c r="D4434" s="115"/>
      <c r="E4434" s="115"/>
      <c r="F4434" s="115"/>
      <c r="G4434" s="115"/>
      <c r="H4434" s="115"/>
      <c r="I4434" s="115"/>
      <c r="J4434" s="114"/>
      <c r="AW4434" s="117"/>
      <c r="AX4434" s="117"/>
      <c r="AY4434" s="117"/>
      <c r="AZ4434" s="117"/>
      <c r="BA4434" s="117"/>
      <c r="BB4434" s="117"/>
      <c r="BC4434" s="117"/>
      <c r="BD4434" s="117"/>
    </row>
    <row r="4435" spans="1:56" customFormat="1" ht="13.5" thickBot="1">
      <c r="B4435" s="362"/>
      <c r="C4435" s="362"/>
      <c r="D4435" s="362"/>
      <c r="E4435" s="362"/>
      <c r="F4435" s="362"/>
      <c r="G4435" s="362"/>
      <c r="H4435" s="362"/>
      <c r="I4435" s="362"/>
      <c r="J4435" s="362"/>
    </row>
    <row r="4436" spans="1:56">
      <c r="A4436" s="114"/>
      <c r="B4436" s="702" t="s">
        <v>1189</v>
      </c>
      <c r="C4436" s="282"/>
      <c r="D4436" s="282"/>
      <c r="E4436" s="282"/>
      <c r="F4436" s="283"/>
      <c r="G4436" s="362"/>
      <c r="H4436" s="362"/>
      <c r="I4436" s="362"/>
      <c r="J4436" s="114"/>
      <c r="AU4436" s="117"/>
      <c r="AV4436" s="117"/>
      <c r="AW4436" s="117"/>
      <c r="AX4436" s="117"/>
      <c r="AY4436" s="117"/>
      <c r="AZ4436" s="117"/>
      <c r="BA4436" s="117"/>
      <c r="BB4436" s="117"/>
      <c r="BC4436" s="117"/>
      <c r="BD4436" s="117"/>
    </row>
    <row r="4437" spans="1:56" ht="15">
      <c r="A4437" s="114"/>
      <c r="B4437" s="693"/>
      <c r="C4437" s="196"/>
      <c r="D4437" s="196"/>
      <c r="E4437" s="196"/>
      <c r="F4437" s="284"/>
      <c r="G4437" s="362"/>
      <c r="H4437" s="362"/>
      <c r="I4437" s="362"/>
      <c r="J4437" s="114"/>
      <c r="AU4437" s="117"/>
      <c r="AV4437" s="117"/>
      <c r="AW4437" s="117"/>
      <c r="AX4437" s="117"/>
      <c r="AY4437" s="117"/>
      <c r="AZ4437" s="117"/>
      <c r="BA4437" s="117"/>
      <c r="BB4437" s="117"/>
      <c r="BC4437" s="117"/>
      <c r="BD4437" s="117"/>
    </row>
    <row r="4438" spans="1:56" ht="15">
      <c r="A4438" s="114"/>
      <c r="B4438" s="691" t="s">
        <v>1122</v>
      </c>
      <c r="C4438" s="410"/>
      <c r="D4438" s="1032"/>
      <c r="E4438" s="1032"/>
      <c r="F4438" s="424"/>
      <c r="G4438" s="362"/>
      <c r="H4438" s="362"/>
      <c r="I4438" s="362"/>
      <c r="J4438" s="114"/>
      <c r="AU4438" s="117"/>
      <c r="AV4438" s="117"/>
      <c r="AW4438" s="117"/>
      <c r="AX4438" s="117"/>
      <c r="AY4438" s="117"/>
      <c r="AZ4438" s="117"/>
      <c r="BA4438" s="117"/>
      <c r="BB4438" s="117"/>
      <c r="BC4438" s="117"/>
      <c r="BD4438" s="117"/>
    </row>
    <row r="4439" spans="1:56" ht="18">
      <c r="A4439" s="114"/>
      <c r="B4439" s="1033" t="s">
        <v>1123</v>
      </c>
      <c r="C4439" s="172"/>
      <c r="D4439" s="173"/>
      <c r="E4439" s="425">
        <f>E4386+E4353+E4286+E4253+E4227+E4204+E4181+E4419+E4320</f>
        <v>337.01291005378232</v>
      </c>
      <c r="F4439" s="139" t="s">
        <v>1124</v>
      </c>
      <c r="G4439" s="362"/>
      <c r="H4439" s="362"/>
      <c r="I4439" s="362"/>
      <c r="J4439" s="114"/>
      <c r="AU4439" s="117"/>
      <c r="AV4439" s="117"/>
      <c r="AW4439" s="117"/>
      <c r="AX4439" s="117"/>
      <c r="AY4439" s="117"/>
      <c r="AZ4439" s="117"/>
      <c r="BA4439" s="117"/>
      <c r="BB4439" s="117"/>
      <c r="BC4439" s="117"/>
      <c r="BD4439" s="117"/>
    </row>
    <row r="4440" spans="1:56" ht="18">
      <c r="A4440" s="114"/>
      <c r="B4440" s="1033" t="s">
        <v>1190</v>
      </c>
      <c r="C4440" s="172"/>
      <c r="D4440" s="173"/>
      <c r="E4440" s="425">
        <f>E4387+E4354+E4287+E4254+E4228+E4205+E4182+E4420+E4321</f>
        <v>256.53741005378231</v>
      </c>
      <c r="F4440" s="139" t="s">
        <v>1124</v>
      </c>
      <c r="G4440" s="362"/>
      <c r="H4440" s="362"/>
      <c r="I4440" s="362"/>
      <c r="J4440" s="114"/>
      <c r="AU4440" s="117"/>
      <c r="AV4440" s="117"/>
      <c r="AW4440" s="117"/>
      <c r="AX4440" s="117"/>
      <c r="AY4440" s="117"/>
      <c r="AZ4440" s="117"/>
      <c r="BA4440" s="117"/>
      <c r="BB4440" s="117"/>
      <c r="BC4440" s="117"/>
      <c r="BD4440" s="117"/>
    </row>
    <row r="4441" spans="1:56" ht="15">
      <c r="A4441" s="114"/>
      <c r="B4441" s="1033" t="s">
        <v>1191</v>
      </c>
      <c r="C4441" s="172"/>
      <c r="D4441" s="173"/>
      <c r="E4441" s="425">
        <f>E4388+E4355+E4288+E4255+E4229+E4206+E4183+E4421+E4322</f>
        <v>96.606000000000023</v>
      </c>
      <c r="F4441" s="139" t="s">
        <v>13</v>
      </c>
      <c r="G4441" s="362"/>
      <c r="H4441" s="362"/>
      <c r="I4441" s="362"/>
      <c r="J4441" s="114"/>
      <c r="AU4441" s="117"/>
      <c r="AV4441" s="117"/>
      <c r="AW4441" s="117"/>
      <c r="AX4441" s="117"/>
      <c r="AY4441" s="117"/>
      <c r="AZ4441" s="117"/>
      <c r="BA4441" s="117"/>
      <c r="BB4441" s="117"/>
      <c r="BC4441" s="117"/>
      <c r="BD4441" s="117"/>
    </row>
    <row r="4442" spans="1:56" ht="15">
      <c r="A4442" s="114"/>
      <c r="B4442" s="40"/>
      <c r="C4442" s="1032"/>
      <c r="D4442" s="1032"/>
      <c r="E4442" s="401"/>
      <c r="F4442" s="284"/>
      <c r="G4442" s="362"/>
      <c r="H4442" s="362"/>
      <c r="I4442" s="362"/>
      <c r="J4442" s="114"/>
      <c r="AU4442" s="117"/>
      <c r="AV4442" s="117"/>
      <c r="AW4442" s="117"/>
      <c r="AX4442" s="117"/>
      <c r="AY4442" s="117"/>
      <c r="AZ4442" s="117"/>
      <c r="BA4442" s="117"/>
      <c r="BB4442" s="117"/>
      <c r="BC4442" s="117"/>
      <c r="BD4442" s="117"/>
    </row>
    <row r="4443" spans="1:56" ht="18">
      <c r="A4443" s="114"/>
      <c r="B4443" s="1033" t="s">
        <v>317</v>
      </c>
      <c r="C4443" s="172"/>
      <c r="D4443" s="173"/>
      <c r="E4443" s="425">
        <f>E4398+E4365+E4298+E4265+E4232+E4209+E4186+E4431+E4332</f>
        <v>4.830300000000002</v>
      </c>
      <c r="F4443" s="139" t="s">
        <v>1124</v>
      </c>
      <c r="G4443" s="196"/>
      <c r="H4443" s="196"/>
      <c r="I4443" s="196"/>
      <c r="J4443" s="114"/>
      <c r="AU4443" s="117"/>
      <c r="AV4443" s="117"/>
      <c r="AW4443" s="117"/>
      <c r="AX4443" s="117"/>
      <c r="AY4443" s="117"/>
      <c r="AZ4443" s="117"/>
      <c r="BA4443" s="117"/>
      <c r="BB4443" s="117"/>
      <c r="BC4443" s="117"/>
      <c r="BD4443" s="117"/>
    </row>
    <row r="4444" spans="1:56" ht="18" customHeight="1">
      <c r="A4444" s="114"/>
      <c r="B4444" s="1033" t="s">
        <v>1192</v>
      </c>
      <c r="C4444" s="172"/>
      <c r="D4444" s="173"/>
      <c r="E4444" s="425">
        <f>E4399+E4366+E4299+E4266+E4233+E4210+E4187+E4432+E4333</f>
        <v>131.637</v>
      </c>
      <c r="F4444" s="139" t="s">
        <v>13</v>
      </c>
      <c r="G4444" s="196"/>
      <c r="H4444" s="196"/>
      <c r="I4444" s="196"/>
      <c r="J4444" s="114"/>
      <c r="AU4444" s="117"/>
      <c r="AV4444" s="117"/>
      <c r="AW4444" s="117"/>
      <c r="AX4444" s="117"/>
      <c r="AY4444" s="117"/>
      <c r="AZ4444" s="117"/>
      <c r="BA4444" s="117"/>
      <c r="BB4444" s="117"/>
      <c r="BC4444" s="117"/>
      <c r="BD4444" s="117"/>
    </row>
    <row r="4445" spans="1:56" ht="18">
      <c r="A4445" s="114"/>
      <c r="B4445" s="1033" t="s">
        <v>316</v>
      </c>
      <c r="C4445" s="172"/>
      <c r="D4445" s="173"/>
      <c r="E4445" s="425">
        <f>E4400+E4367+E4300+E4267+E4234+E4211+E4188+E4433+E4334</f>
        <v>75.645200000000003</v>
      </c>
      <c r="F4445" s="139" t="s">
        <v>1124</v>
      </c>
      <c r="G4445" s="196"/>
      <c r="H4445" s="196"/>
      <c r="I4445" s="196"/>
      <c r="J4445" s="114"/>
      <c r="AU4445" s="117"/>
      <c r="AV4445" s="117"/>
      <c r="AW4445" s="117"/>
      <c r="AX4445" s="117"/>
      <c r="AY4445" s="117"/>
      <c r="AZ4445" s="117"/>
      <c r="BA4445" s="117"/>
      <c r="BB4445" s="117"/>
      <c r="BC4445" s="117"/>
      <c r="BD4445" s="117"/>
    </row>
    <row r="4446" spans="1:56">
      <c r="A4446" s="114"/>
      <c r="B4446" s="690"/>
      <c r="C4446" s="115"/>
      <c r="D4446" s="115"/>
      <c r="E4446" s="115"/>
      <c r="F4446" s="182"/>
      <c r="G4446" s="115"/>
      <c r="H4446" s="115"/>
      <c r="I4446" s="115"/>
      <c r="J4446" s="114"/>
      <c r="AW4446" s="117"/>
      <c r="AX4446" s="117"/>
      <c r="AY4446" s="117"/>
      <c r="AZ4446" s="117"/>
      <c r="BA4446" s="117"/>
      <c r="BB4446" s="117"/>
      <c r="BC4446" s="117"/>
      <c r="BD4446" s="117"/>
    </row>
    <row r="4447" spans="1:56">
      <c r="A4447" s="114"/>
      <c r="B4447" s="690"/>
      <c r="C4447" s="115"/>
      <c r="D4447" s="115"/>
      <c r="E4447" s="115"/>
      <c r="F4447" s="182"/>
      <c r="G4447" s="362"/>
      <c r="H4447" s="362"/>
      <c r="I4447" s="362"/>
      <c r="J4447" s="114"/>
      <c r="AU4447" s="117"/>
      <c r="AV4447" s="117"/>
      <c r="AW4447" s="117"/>
      <c r="AX4447" s="117"/>
      <c r="AY4447" s="117"/>
      <c r="AZ4447" s="117"/>
      <c r="BA4447" s="117"/>
      <c r="BB4447" s="117"/>
      <c r="BC4447" s="117"/>
      <c r="BD4447" s="117"/>
    </row>
    <row r="4448" spans="1:56">
      <c r="A4448" s="114"/>
      <c r="B4448" s="691" t="s">
        <v>1162</v>
      </c>
      <c r="C4448" s="1032"/>
      <c r="D4448" s="452" t="s">
        <v>1194</v>
      </c>
      <c r="E4448" s="452" t="s">
        <v>67</v>
      </c>
      <c r="F4448" s="182"/>
      <c r="G4448" s="362"/>
      <c r="H4448" s="362"/>
      <c r="I4448" s="362"/>
      <c r="J4448" s="114"/>
      <c r="AU4448" s="117"/>
      <c r="AV4448" s="117"/>
      <c r="AW4448" s="117"/>
      <c r="AX4448" s="117"/>
      <c r="AY4448" s="117"/>
      <c r="AZ4448" s="117"/>
      <c r="BA4448" s="117"/>
      <c r="BB4448" s="117"/>
      <c r="BC4448" s="117"/>
      <c r="BD4448" s="117"/>
    </row>
    <row r="4449" spans="1:56">
      <c r="A4449" s="114"/>
      <c r="B4449" s="1033" t="s">
        <v>1196</v>
      </c>
      <c r="C4449" s="413"/>
      <c r="D4449" s="291">
        <f>E4295+E4262+E4329</f>
        <v>312</v>
      </c>
      <c r="E4449" s="427">
        <f>E4292+E4259+E4326</f>
        <v>24</v>
      </c>
      <c r="F4449" s="182"/>
      <c r="G4449" s="362"/>
      <c r="H4449" s="362"/>
      <c r="I4449" s="362"/>
      <c r="J4449" s="114"/>
      <c r="AU4449" s="117"/>
      <c r="AV4449" s="117"/>
      <c r="AW4449" s="117"/>
      <c r="AX4449" s="117"/>
      <c r="AY4449" s="117"/>
      <c r="AZ4449" s="117"/>
      <c r="BA4449" s="117"/>
      <c r="BB4449" s="117"/>
      <c r="BC4449" s="117"/>
      <c r="BD4449" s="117"/>
    </row>
    <row r="4450" spans="1:56">
      <c r="A4450" s="114"/>
      <c r="B4450" s="1033" t="s">
        <v>2358</v>
      </c>
      <c r="C4450" s="413"/>
      <c r="D4450" s="291">
        <f>E4395+E4362+E4428</f>
        <v>600</v>
      </c>
      <c r="E4450" s="427">
        <f>E4392+E4359+E4425</f>
        <v>24</v>
      </c>
      <c r="F4450" s="182"/>
      <c r="G4450" s="362"/>
      <c r="H4450" s="362"/>
      <c r="I4450" s="362"/>
      <c r="J4450" s="114"/>
      <c r="AU4450" s="117"/>
      <c r="AV4450" s="117"/>
      <c r="AW4450" s="117"/>
      <c r="AX4450" s="117"/>
      <c r="AY4450" s="117"/>
      <c r="AZ4450" s="117"/>
      <c r="BA4450" s="117"/>
      <c r="BB4450" s="117"/>
      <c r="BC4450" s="117"/>
      <c r="BD4450" s="117"/>
    </row>
    <row r="4451" spans="1:56">
      <c r="A4451" s="114"/>
      <c r="B4451" s="694"/>
      <c r="C4451" s="1032"/>
      <c r="D4451" s="1026"/>
      <c r="E4451" s="1027"/>
      <c r="F4451" s="182"/>
      <c r="G4451" s="1008"/>
      <c r="H4451" s="1008"/>
      <c r="I4451" s="1008"/>
      <c r="J4451" s="114"/>
      <c r="AU4451" s="117"/>
      <c r="AV4451" s="117"/>
      <c r="AW4451" s="117"/>
      <c r="AX4451" s="117"/>
      <c r="AY4451" s="117"/>
      <c r="AZ4451" s="117"/>
      <c r="BA4451" s="117"/>
      <c r="BB4451" s="117"/>
      <c r="BC4451" s="117"/>
      <c r="BD4451" s="117"/>
    </row>
    <row r="4452" spans="1:56" ht="15">
      <c r="A4452" s="114"/>
      <c r="B4452" s="718" t="s">
        <v>102</v>
      </c>
      <c r="C4452" s="285">
        <v>2173</v>
      </c>
      <c r="D4452" s="439" t="s">
        <v>12</v>
      </c>
      <c r="E4452" s="1199" t="s">
        <v>1284</v>
      </c>
      <c r="F4452" s="1200"/>
      <c r="G4452" s="1008"/>
      <c r="H4452" s="1008"/>
      <c r="I4452" s="1008"/>
      <c r="J4452" s="114"/>
      <c r="AU4452" s="117"/>
      <c r="AV4452" s="117"/>
      <c r="AW4452" s="117"/>
      <c r="AX4452" s="117"/>
      <c r="AY4452" s="117"/>
      <c r="AZ4452" s="117"/>
      <c r="BA4452" s="117"/>
      <c r="BB4452" s="117"/>
      <c r="BC4452" s="117"/>
      <c r="BD4452" s="117"/>
    </row>
    <row r="4453" spans="1:56" thickBot="1">
      <c r="A4453" s="114"/>
      <c r="B4453" s="704"/>
      <c r="C4453" s="1076">
        <v>6977</v>
      </c>
      <c r="D4453" s="1018" t="s">
        <v>12</v>
      </c>
      <c r="E4453" s="1205"/>
      <c r="F4453" s="1206"/>
      <c r="G4453" s="1008"/>
      <c r="H4453" s="1008"/>
      <c r="I4453" s="1008"/>
      <c r="J4453" s="114"/>
      <c r="AU4453" s="117"/>
      <c r="AV4453" s="117"/>
      <c r="AW4453" s="117"/>
      <c r="AX4453" s="117"/>
      <c r="AY4453" s="117"/>
      <c r="AZ4453" s="117"/>
      <c r="BA4453" s="117"/>
      <c r="BB4453" s="117"/>
      <c r="BC4453" s="117"/>
      <c r="BD4453" s="117"/>
    </row>
    <row r="4454" spans="1:56">
      <c r="A4454" s="114"/>
      <c r="B4454" s="288"/>
      <c r="C4454" s="1008"/>
      <c r="D4454" s="430"/>
      <c r="E4454" s="430"/>
      <c r="F4454" s="115"/>
      <c r="G4454" s="1008"/>
      <c r="H4454" s="1008"/>
      <c r="I4454" s="1008"/>
      <c r="J4454" s="114"/>
      <c r="AU4454" s="117"/>
      <c r="AV4454" s="117"/>
      <c r="AW4454" s="117"/>
      <c r="AX4454" s="117"/>
      <c r="AY4454" s="117"/>
      <c r="AZ4454" s="117"/>
      <c r="BA4454" s="117"/>
      <c r="BB4454" s="117"/>
      <c r="BC4454" s="117"/>
      <c r="BD4454" s="117"/>
    </row>
    <row r="4455" spans="1:56">
      <c r="A4455" s="114"/>
      <c r="B4455" s="288"/>
      <c r="C4455" s="6"/>
      <c r="D4455" s="430"/>
      <c r="E4455" s="430"/>
      <c r="F4455" s="331"/>
      <c r="G4455" s="362"/>
      <c r="H4455" s="362"/>
      <c r="I4455" s="362"/>
      <c r="J4455" s="114"/>
      <c r="AU4455" s="117"/>
      <c r="AV4455" s="117"/>
      <c r="AW4455" s="117"/>
      <c r="AX4455" s="117"/>
      <c r="AY4455" s="117"/>
      <c r="AZ4455" s="117"/>
      <c r="BA4455" s="117"/>
      <c r="BB4455" s="117"/>
      <c r="BC4455" s="117"/>
      <c r="BD4455" s="117"/>
    </row>
    <row r="4456" spans="1:56" customFormat="1" ht="13.5" thickBot="1">
      <c r="B4456" s="362"/>
      <c r="C4456" s="362"/>
      <c r="D4456" s="362"/>
      <c r="E4456" s="362"/>
      <c r="F4456" s="362"/>
      <c r="G4456" s="362"/>
      <c r="H4456" s="362"/>
      <c r="I4456" s="362"/>
      <c r="J4456" s="362"/>
    </row>
    <row r="4457" spans="1:56">
      <c r="A4457" s="114"/>
      <c r="B4457" s="702" t="s">
        <v>320</v>
      </c>
      <c r="C4457" s="282"/>
      <c r="D4457" s="282"/>
      <c r="E4457" s="282"/>
      <c r="F4457" s="283"/>
      <c r="G4457" s="196"/>
      <c r="H4457" s="196"/>
      <c r="I4457" s="196"/>
      <c r="J4457" s="114"/>
      <c r="AW4457" s="117"/>
      <c r="AX4457" s="117"/>
      <c r="AY4457" s="117"/>
      <c r="AZ4457" s="117"/>
      <c r="BA4457" s="117"/>
      <c r="BB4457" s="117"/>
      <c r="BC4457" s="117"/>
      <c r="BD4457" s="117"/>
    </row>
    <row r="4458" spans="1:56" ht="15">
      <c r="A4458" s="114"/>
      <c r="B4458" s="693"/>
      <c r="C4458" s="196"/>
      <c r="D4458" s="196"/>
      <c r="E4458" s="196"/>
      <c r="F4458" s="284"/>
      <c r="G4458" s="196"/>
      <c r="H4458" s="196"/>
      <c r="I4458" s="196"/>
      <c r="J4458" s="114"/>
      <c r="AW4458" s="117"/>
      <c r="AX4458" s="117"/>
      <c r="AY4458" s="117"/>
      <c r="AZ4458" s="117"/>
      <c r="BA4458" s="117"/>
      <c r="BB4458" s="117"/>
      <c r="BC4458" s="117"/>
      <c r="BD4458" s="117"/>
    </row>
    <row r="4459" spans="1:56" ht="15">
      <c r="A4459" s="114"/>
      <c r="B4459" s="691" t="s">
        <v>1285</v>
      </c>
      <c r="C4459" s="196"/>
      <c r="D4459" s="196"/>
      <c r="E4459" s="196"/>
      <c r="F4459" s="284"/>
      <c r="G4459" s="196"/>
      <c r="H4459" s="196"/>
      <c r="I4459" s="196"/>
      <c r="J4459" s="114"/>
      <c r="AW4459" s="117"/>
      <c r="AX4459" s="117"/>
      <c r="AY4459" s="117"/>
      <c r="AZ4459" s="117"/>
      <c r="BA4459" s="117"/>
      <c r="BB4459" s="117"/>
      <c r="BC4459" s="117"/>
      <c r="BD4459" s="117"/>
    </row>
    <row r="4460" spans="1:56" ht="15">
      <c r="A4460" s="114"/>
      <c r="B4460" s="703" t="s">
        <v>102</v>
      </c>
      <c r="C4460" s="285">
        <v>13631</v>
      </c>
      <c r="D4460" s="286" t="s">
        <v>12</v>
      </c>
      <c r="E4460" s="768" t="s">
        <v>1286</v>
      </c>
      <c r="F4460" s="139"/>
      <c r="G4460" s="196"/>
      <c r="H4460" s="196"/>
      <c r="I4460" s="196"/>
      <c r="J4460" s="114"/>
      <c r="AW4460" s="117"/>
      <c r="AX4460" s="117"/>
      <c r="AY4460" s="117"/>
      <c r="AZ4460" s="117"/>
      <c r="BA4460" s="117"/>
      <c r="BB4460" s="117"/>
      <c r="BC4460" s="117"/>
      <c r="BD4460" s="117"/>
    </row>
    <row r="4461" spans="1:56" ht="15">
      <c r="A4461" s="114"/>
      <c r="B4461" s="694"/>
      <c r="C4461" s="287"/>
      <c r="D4461" s="196"/>
      <c r="E4461" s="288"/>
      <c r="F4461" s="284"/>
      <c r="G4461" s="196"/>
      <c r="H4461" s="196"/>
      <c r="I4461" s="196"/>
      <c r="J4461" s="114"/>
      <c r="AW4461" s="117"/>
      <c r="AX4461" s="117"/>
      <c r="AY4461" s="117"/>
      <c r="AZ4461" s="117"/>
      <c r="BA4461" s="117"/>
      <c r="BB4461" s="117"/>
      <c r="BC4461" s="117"/>
      <c r="BD4461" s="117"/>
    </row>
    <row r="4462" spans="1:56" customFormat="1" ht="15">
      <c r="B4462" s="691" t="s">
        <v>351</v>
      </c>
      <c r="C4462" s="763"/>
      <c r="D4462" s="763"/>
      <c r="E4462" s="763"/>
      <c r="F4462" s="424"/>
      <c r="G4462" s="362"/>
      <c r="H4462" s="362"/>
      <c r="I4462" s="362"/>
      <c r="J4462" s="362"/>
    </row>
    <row r="4463" spans="1:56" thickBot="1">
      <c r="A4463" s="114"/>
      <c r="B4463" s="720" t="s">
        <v>352</v>
      </c>
      <c r="C4463" s="174"/>
      <c r="D4463" s="176"/>
      <c r="E4463" s="428">
        <f>SUM(C4452:C4453,C4460)</f>
        <v>22781</v>
      </c>
      <c r="F4463" s="440" t="s">
        <v>12</v>
      </c>
      <c r="G4463" s="362"/>
      <c r="H4463" s="362"/>
      <c r="I4463" s="362"/>
      <c r="J4463" s="114"/>
      <c r="AU4463" s="117"/>
      <c r="AV4463" s="117"/>
      <c r="AW4463" s="117"/>
      <c r="AX4463" s="117"/>
      <c r="AY4463" s="117"/>
      <c r="AZ4463" s="117"/>
      <c r="BA4463" s="117"/>
      <c r="BB4463" s="117"/>
      <c r="BC4463" s="117"/>
      <c r="BD4463" s="117"/>
    </row>
    <row r="4464" spans="1:56" ht="15">
      <c r="A4464" s="114"/>
      <c r="B4464" s="288"/>
      <c r="C4464" s="230"/>
      <c r="D4464" s="230"/>
      <c r="E4464" s="484"/>
      <c r="F4464" s="196"/>
      <c r="G4464" s="362"/>
      <c r="H4464" s="362"/>
      <c r="I4464" s="362"/>
      <c r="J4464" s="114"/>
      <c r="AU4464" s="117"/>
      <c r="AV4464" s="117"/>
      <c r="AW4464" s="117"/>
      <c r="AX4464" s="117"/>
      <c r="AY4464" s="117"/>
      <c r="AZ4464" s="117"/>
      <c r="BA4464" s="117"/>
      <c r="BB4464" s="117"/>
      <c r="BC4464" s="117"/>
      <c r="BD4464" s="117"/>
    </row>
    <row r="4465" spans="1:56" ht="15">
      <c r="A4465" s="114"/>
      <c r="B4465" s="478" t="s">
        <v>2323</v>
      </c>
      <c r="C4465" s="382"/>
      <c r="D4465" s="382"/>
      <c r="E4465" s="382"/>
      <c r="F4465" s="382"/>
      <c r="G4465" s="382"/>
      <c r="H4465" s="383"/>
      <c r="I4465" s="383"/>
      <c r="J4465" s="351"/>
      <c r="AW4465" s="117"/>
      <c r="AX4465" s="117"/>
      <c r="AY4465" s="117"/>
      <c r="AZ4465" s="117"/>
      <c r="BA4465" s="117"/>
      <c r="BB4465" s="117"/>
      <c r="BC4465" s="117"/>
      <c r="BD4465" s="117"/>
    </row>
    <row r="4466" spans="1:56" ht="15">
      <c r="A4466" s="114"/>
      <c r="B4466" s="293"/>
      <c r="C4466" s="387"/>
      <c r="D4466" s="387"/>
      <c r="E4466" s="387"/>
      <c r="F4466" s="387"/>
      <c r="G4466" s="387"/>
      <c r="H4466" s="386"/>
      <c r="I4466" s="386"/>
      <c r="J4466" s="114"/>
      <c r="AW4466" s="117"/>
      <c r="AX4466" s="117"/>
      <c r="AY4466" s="117"/>
      <c r="AZ4466" s="117"/>
      <c r="BA4466" s="117"/>
      <c r="BB4466" s="117"/>
      <c r="BC4466" s="117"/>
      <c r="BD4466" s="117"/>
    </row>
    <row r="4467" spans="1:56" ht="15">
      <c r="A4467" s="114"/>
      <c r="B4467" s="288" t="s">
        <v>1787</v>
      </c>
      <c r="C4467" s="230"/>
      <c r="D4467" s="230"/>
      <c r="E4467" s="384"/>
      <c r="F4467" s="196"/>
      <c r="G4467" s="196"/>
      <c r="H4467" s="196"/>
      <c r="I4467" s="196"/>
      <c r="J4467" s="114"/>
      <c r="AW4467" s="117"/>
      <c r="AX4467" s="117"/>
      <c r="AY4467" s="117"/>
      <c r="AZ4467" s="117"/>
      <c r="BA4467" s="117"/>
      <c r="BB4467" s="117"/>
      <c r="BC4467" s="117"/>
      <c r="BD4467" s="117"/>
    </row>
    <row r="4468" spans="1:56" ht="15">
      <c r="A4468" s="114"/>
      <c r="B4468" s="288"/>
      <c r="C4468" s="230"/>
      <c r="D4468" s="230"/>
      <c r="E4468" s="384"/>
      <c r="F4468" s="196"/>
      <c r="G4468" s="196"/>
      <c r="H4468" s="196"/>
      <c r="I4468" s="196"/>
      <c r="J4468" s="114"/>
      <c r="AW4468" s="117"/>
      <c r="AX4468" s="117"/>
      <c r="AY4468" s="117"/>
      <c r="AZ4468" s="117"/>
      <c r="BA4468" s="117"/>
      <c r="BB4468" s="117"/>
      <c r="BC4468" s="117"/>
      <c r="BD4468" s="117"/>
    </row>
    <row r="4469" spans="1:56">
      <c r="A4469" s="114"/>
      <c r="B4469" s="385" t="s">
        <v>1255</v>
      </c>
      <c r="C4469" s="196"/>
      <c r="D4469" s="196"/>
      <c r="E4469" s="196"/>
      <c r="F4469" s="196"/>
      <c r="G4469" s="196"/>
      <c r="H4469" s="196"/>
      <c r="I4469" s="196"/>
      <c r="J4469" s="114"/>
      <c r="AW4469" s="117"/>
      <c r="AX4469" s="117"/>
      <c r="AY4469" s="117"/>
      <c r="AZ4469" s="117"/>
      <c r="BA4469" s="117"/>
      <c r="BB4469" s="117"/>
      <c r="BC4469" s="117"/>
      <c r="BD4469" s="117"/>
    </row>
    <row r="4470" spans="1:56" ht="15">
      <c r="A4470" s="114"/>
      <c r="B4470" s="196"/>
      <c r="C4470" s="196"/>
      <c r="D4470" s="196"/>
      <c r="E4470" s="196"/>
      <c r="F4470" s="196"/>
      <c r="G4470" s="196"/>
      <c r="H4470" s="196"/>
      <c r="I4470" s="196"/>
      <c r="J4470" s="114"/>
      <c r="AW4470" s="117"/>
      <c r="AX4470" s="117"/>
      <c r="AY4470" s="117"/>
      <c r="AZ4470" s="117"/>
      <c r="BA4470" s="117"/>
      <c r="BB4470" s="117"/>
      <c r="BC4470" s="117"/>
      <c r="BD4470" s="117"/>
    </row>
    <row r="4471" spans="1:56" ht="15">
      <c r="A4471" s="114"/>
      <c r="B4471" s="388" t="s">
        <v>1110</v>
      </c>
      <c r="C4471" s="389">
        <v>0.2</v>
      </c>
      <c r="D4471" s="390" t="s">
        <v>10</v>
      </c>
      <c r="E4471" s="196"/>
      <c r="F4471" s="196"/>
      <c r="G4471" s="392"/>
      <c r="H4471" s="954"/>
      <c r="I4471" s="196"/>
      <c r="J4471" s="114"/>
      <c r="AW4471" s="117"/>
      <c r="AX4471" s="117"/>
      <c r="AY4471" s="117"/>
      <c r="AZ4471" s="117"/>
      <c r="BA4471" s="117"/>
      <c r="BB4471" s="117"/>
      <c r="BC4471" s="117"/>
      <c r="BD4471" s="117"/>
    </row>
    <row r="4472" spans="1:56" ht="15">
      <c r="A4472" s="114"/>
      <c r="B4472" s="388" t="s">
        <v>1111</v>
      </c>
      <c r="C4472" s="448">
        <f>3.8+4.1+3.8+3.3+0.925+3.3</f>
        <v>19.225000000000001</v>
      </c>
      <c r="D4472" s="390" t="s">
        <v>10</v>
      </c>
      <c r="E4472" s="196"/>
      <c r="F4472" s="196"/>
      <c r="G4472" s="392"/>
      <c r="H4472" s="954"/>
      <c r="I4472" s="196"/>
      <c r="J4472" s="114"/>
      <c r="AW4472" s="117"/>
      <c r="AX4472" s="117"/>
      <c r="AY4472" s="117"/>
      <c r="AZ4472" s="117"/>
      <c r="BA4472" s="117"/>
      <c r="BB4472" s="117"/>
      <c r="BC4472" s="117"/>
      <c r="BD4472" s="117"/>
    </row>
    <row r="4473" spans="1:56" ht="15">
      <c r="A4473" s="114"/>
      <c r="B4473" s="388" t="s">
        <v>1112</v>
      </c>
      <c r="C4473" s="389">
        <v>0.35</v>
      </c>
      <c r="D4473" s="390" t="s">
        <v>10</v>
      </c>
      <c r="E4473" s="196"/>
      <c r="F4473" s="196"/>
      <c r="G4473" s="392"/>
      <c r="H4473" s="954"/>
      <c r="I4473" s="196"/>
      <c r="J4473" s="114"/>
      <c r="AW4473" s="117"/>
      <c r="AX4473" s="117"/>
      <c r="AY4473" s="117"/>
      <c r="AZ4473" s="117"/>
      <c r="BA4473" s="117"/>
      <c r="BB4473" s="117"/>
      <c r="BC4473" s="117"/>
      <c r="BD4473" s="117"/>
    </row>
    <row r="4474" spans="1:56" ht="15">
      <c r="A4474" s="114"/>
      <c r="B4474" s="388" t="s">
        <v>1113</v>
      </c>
      <c r="C4474" s="389">
        <v>0.45</v>
      </c>
      <c r="D4474" s="390" t="s">
        <v>10</v>
      </c>
      <c r="E4474" s="196"/>
      <c r="F4474" s="196"/>
      <c r="G4474" s="392"/>
      <c r="H4474" s="394"/>
      <c r="I4474" s="196"/>
      <c r="J4474" s="114"/>
      <c r="AW4474" s="117"/>
      <c r="AX4474" s="117"/>
      <c r="AY4474" s="117"/>
      <c r="AZ4474" s="117"/>
      <c r="BA4474" s="117"/>
      <c r="BB4474" s="117"/>
      <c r="BC4474" s="117"/>
      <c r="BD4474" s="117"/>
    </row>
    <row r="4475" spans="1:56" ht="15">
      <c r="A4475" s="114"/>
      <c r="B4475" s="388" t="s">
        <v>1117</v>
      </c>
      <c r="C4475" s="389">
        <v>1</v>
      </c>
      <c r="D4475" s="390" t="s">
        <v>1118</v>
      </c>
      <c r="E4475" s="196"/>
      <c r="F4475" s="196"/>
      <c r="G4475" s="392"/>
      <c r="H4475" s="954"/>
      <c r="I4475" s="196"/>
      <c r="J4475" s="114"/>
      <c r="AW4475" s="117"/>
      <c r="AX4475" s="117"/>
      <c r="AY4475" s="117"/>
      <c r="AZ4475" s="117"/>
      <c r="BA4475" s="117"/>
      <c r="BB4475" s="117"/>
      <c r="BC4475" s="117"/>
      <c r="BD4475" s="117"/>
    </row>
    <row r="4476" spans="1:56" ht="15">
      <c r="A4476" s="114"/>
      <c r="B4476" s="392"/>
      <c r="C4476" s="954"/>
      <c r="D4476" s="196"/>
      <c r="E4476" s="196"/>
      <c r="F4476" s="196"/>
      <c r="G4476" s="392"/>
      <c r="H4476" s="954"/>
      <c r="I4476" s="196"/>
      <c r="J4476" s="114"/>
      <c r="AW4476" s="117"/>
      <c r="AX4476" s="117"/>
      <c r="AY4476" s="117"/>
      <c r="AZ4476" s="117"/>
      <c r="BA4476" s="117"/>
      <c r="BB4476" s="117"/>
      <c r="BC4476" s="117"/>
      <c r="BD4476" s="117"/>
    </row>
    <row r="4477" spans="1:56" ht="15">
      <c r="A4477" s="114"/>
      <c r="B4477" s="388" t="s">
        <v>1114</v>
      </c>
      <c r="C4477" s="389">
        <v>0.6</v>
      </c>
      <c r="D4477" s="390" t="s">
        <v>10</v>
      </c>
      <c r="E4477" s="288" t="s">
        <v>1120</v>
      </c>
      <c r="F4477" s="288"/>
      <c r="G4477" s="230"/>
      <c r="H4477" s="395"/>
      <c r="I4477" s="196"/>
      <c r="J4477" s="114"/>
      <c r="AW4477" s="117"/>
      <c r="AX4477" s="117"/>
      <c r="AY4477" s="117"/>
      <c r="AZ4477" s="117"/>
      <c r="BA4477" s="117"/>
      <c r="BB4477" s="117"/>
      <c r="BC4477" s="117"/>
      <c r="BD4477" s="117"/>
    </row>
    <row r="4478" spans="1:56" ht="15">
      <c r="A4478" s="114"/>
      <c r="B4478" s="388" t="s">
        <v>1114</v>
      </c>
      <c r="C4478" s="389">
        <v>0.2</v>
      </c>
      <c r="D4478" s="390" t="s">
        <v>10</v>
      </c>
      <c r="E4478" s="288" t="s">
        <v>1121</v>
      </c>
      <c r="F4478" s="288"/>
      <c r="G4478" s="230"/>
      <c r="H4478" s="395"/>
      <c r="I4478" s="196"/>
      <c r="J4478" s="114"/>
      <c r="AW4478" s="117"/>
      <c r="AX4478" s="117"/>
      <c r="AY4478" s="117"/>
      <c r="AZ4478" s="117"/>
      <c r="BA4478" s="117"/>
      <c r="BB4478" s="117"/>
      <c r="BC4478" s="117"/>
      <c r="BD4478" s="117"/>
    </row>
    <row r="4479" spans="1:56" ht="15">
      <c r="A4479" s="114"/>
      <c r="B4479" s="196"/>
      <c r="C4479" s="196"/>
      <c r="D4479" s="196"/>
      <c r="E4479" s="196"/>
      <c r="F4479" s="196"/>
      <c r="G4479" s="196"/>
      <c r="H4479" s="196"/>
      <c r="I4479" s="196"/>
      <c r="J4479" s="114"/>
      <c r="AW4479" s="117"/>
      <c r="AX4479" s="117"/>
      <c r="AY4479" s="117"/>
      <c r="AZ4479" s="117"/>
      <c r="BA4479" s="117"/>
      <c r="BB4479" s="117"/>
      <c r="BC4479" s="117"/>
      <c r="BD4479" s="117"/>
    </row>
    <row r="4480" spans="1:56" ht="15">
      <c r="A4480" s="114"/>
      <c r="B4480" s="303" t="s">
        <v>1122</v>
      </c>
      <c r="C4480" s="953"/>
      <c r="D4480" s="953"/>
      <c r="E4480" s="196"/>
      <c r="F4480" s="196"/>
      <c r="G4480" s="196"/>
      <c r="H4480" s="196"/>
      <c r="I4480" s="196"/>
      <c r="J4480" s="114"/>
      <c r="AW4480" s="117"/>
      <c r="AX4480" s="117"/>
      <c r="AY4480" s="117"/>
      <c r="AZ4480" s="117"/>
      <c r="BA4480" s="117"/>
      <c r="BB4480" s="117"/>
      <c r="BC4480" s="117"/>
      <c r="BD4480" s="117"/>
    </row>
    <row r="4481" spans="1:56" ht="18">
      <c r="A4481" s="114"/>
      <c r="B4481" s="396" t="s">
        <v>1123</v>
      </c>
      <c r="C4481" s="289"/>
      <c r="D4481" s="290"/>
      <c r="E4481" s="397">
        <f>C4475*(C4477*2*(0.05+C4474+C4473)*C4472)</f>
        <v>19.609500000000001</v>
      </c>
      <c r="F4481" s="390" t="s">
        <v>1124</v>
      </c>
      <c r="G4481" s="196"/>
      <c r="H4481" s="196"/>
      <c r="I4481" s="196"/>
      <c r="J4481" s="114"/>
      <c r="AW4481" s="117"/>
      <c r="AX4481" s="117"/>
      <c r="AY4481" s="117"/>
      <c r="AZ4481" s="117"/>
      <c r="BA4481" s="117"/>
      <c r="BB4481" s="117"/>
      <c r="BC4481" s="117"/>
      <c r="BD4481" s="117"/>
    </row>
    <row r="4482" spans="1:56" ht="18">
      <c r="A4482" s="114"/>
      <c r="B4482" s="957" t="s">
        <v>1125</v>
      </c>
      <c r="C4482" s="172"/>
      <c r="D4482" s="173"/>
      <c r="E4482" s="397">
        <f>E4481-(E4486+E4488)</f>
        <v>17.49475</v>
      </c>
      <c r="F4482" s="390" t="s">
        <v>1124</v>
      </c>
      <c r="G4482" s="196"/>
      <c r="H4482" s="196"/>
      <c r="I4482" s="196"/>
      <c r="J4482" s="114"/>
      <c r="AW4482" s="117"/>
      <c r="AX4482" s="117"/>
      <c r="AY4482" s="117"/>
      <c r="AZ4482" s="117"/>
      <c r="BA4482" s="117"/>
      <c r="BB4482" s="117"/>
      <c r="BC4482" s="117"/>
      <c r="BD4482" s="117"/>
    </row>
    <row r="4483" spans="1:56" ht="15">
      <c r="A4483" s="114"/>
      <c r="B4483" s="399" t="s">
        <v>1126</v>
      </c>
      <c r="C4483" s="317"/>
      <c r="D4483" s="318"/>
      <c r="E4483" s="400">
        <f>(2*C4478)*C4472</f>
        <v>7.6900000000000013</v>
      </c>
      <c r="F4483" s="390" t="s">
        <v>13</v>
      </c>
      <c r="G4483" s="196"/>
      <c r="H4483" s="196"/>
      <c r="I4483" s="196"/>
      <c r="J4483" s="114"/>
      <c r="AW4483" s="117"/>
      <c r="AX4483" s="117"/>
      <c r="AY4483" s="117"/>
      <c r="AZ4483" s="117"/>
      <c r="BA4483" s="117"/>
      <c r="BB4483" s="117"/>
      <c r="BC4483" s="117"/>
      <c r="BD4483" s="117"/>
    </row>
    <row r="4484" spans="1:56" ht="15">
      <c r="A4484" s="114"/>
      <c r="B4484" s="196"/>
      <c r="C4484" s="196"/>
      <c r="D4484" s="196"/>
      <c r="E4484" s="401"/>
      <c r="F4484" s="196"/>
      <c r="G4484" s="196"/>
      <c r="H4484" s="196"/>
      <c r="I4484" s="196"/>
      <c r="J4484" s="114"/>
      <c r="AW4484" s="117"/>
      <c r="AX4484" s="117"/>
      <c r="AY4484" s="117"/>
      <c r="AZ4484" s="117"/>
      <c r="BA4484" s="117"/>
      <c r="BB4484" s="117"/>
      <c r="BC4484" s="117"/>
      <c r="BD4484" s="117"/>
    </row>
    <row r="4485" spans="1:56" ht="15">
      <c r="A4485" s="114"/>
      <c r="B4485" s="303" t="s">
        <v>1127</v>
      </c>
      <c r="C4485" s="196"/>
      <c r="D4485" s="196"/>
      <c r="E4485" s="401"/>
      <c r="F4485" s="196"/>
      <c r="G4485" s="196"/>
      <c r="H4485" s="196"/>
      <c r="I4485" s="196"/>
      <c r="J4485" s="114"/>
      <c r="AW4485" s="117"/>
      <c r="AX4485" s="117"/>
      <c r="AY4485" s="117"/>
      <c r="AZ4485" s="117"/>
      <c r="BA4485" s="117"/>
      <c r="BB4485" s="117"/>
      <c r="BC4485" s="117"/>
      <c r="BD4485" s="117"/>
    </row>
    <row r="4486" spans="1:56" ht="18">
      <c r="A4486" s="114"/>
      <c r="B4486" s="957" t="s">
        <v>1128</v>
      </c>
      <c r="C4486" s="172"/>
      <c r="D4486" s="173"/>
      <c r="E4486" s="402">
        <f>E4483*0.05</f>
        <v>0.38450000000000006</v>
      </c>
      <c r="F4486" s="390" t="s">
        <v>1124</v>
      </c>
      <c r="G4486" s="196"/>
      <c r="H4486" s="196"/>
      <c r="I4486" s="196"/>
      <c r="J4486" s="114"/>
      <c r="AW4486" s="117"/>
      <c r="AX4486" s="117"/>
      <c r="AY4486" s="117"/>
      <c r="AZ4486" s="117"/>
      <c r="BA4486" s="117"/>
      <c r="BB4486" s="117"/>
      <c r="BC4486" s="117"/>
      <c r="BD4486" s="117"/>
    </row>
    <row r="4487" spans="1:56" ht="15">
      <c r="A4487" s="114"/>
      <c r="B4487" s="957" t="s">
        <v>1129</v>
      </c>
      <c r="C4487" s="172"/>
      <c r="D4487" s="173"/>
      <c r="E4487" s="397">
        <f>C4474*2*C4472</f>
        <v>17.302500000000002</v>
      </c>
      <c r="F4487" s="390" t="s">
        <v>13</v>
      </c>
      <c r="G4487" s="954" t="s">
        <v>1108</v>
      </c>
      <c r="H4487" s="196" t="s">
        <v>1131</v>
      </c>
      <c r="I4487" s="954"/>
      <c r="J4487" s="114"/>
      <c r="AW4487" s="117"/>
      <c r="AX4487" s="117"/>
      <c r="AY4487" s="117"/>
      <c r="AZ4487" s="117"/>
      <c r="BA4487" s="117"/>
      <c r="BB4487" s="117"/>
      <c r="BC4487" s="117"/>
      <c r="BD4487" s="117"/>
    </row>
    <row r="4488" spans="1:56" ht="18">
      <c r="A4488" s="114"/>
      <c r="B4488" s="957" t="s">
        <v>1130</v>
      </c>
      <c r="C4488" s="172"/>
      <c r="D4488" s="173"/>
      <c r="E4488" s="402">
        <f>C4471*C4472*C4474</f>
        <v>1.7302500000000003</v>
      </c>
      <c r="F4488" s="390" t="s">
        <v>1124</v>
      </c>
      <c r="G4488" s="196"/>
      <c r="H4488" s="196"/>
      <c r="I4488" s="196"/>
      <c r="J4488" s="114"/>
      <c r="AW4488" s="117"/>
      <c r="AX4488" s="117"/>
      <c r="AY4488" s="117"/>
      <c r="AZ4488" s="117"/>
      <c r="BA4488" s="117"/>
      <c r="BB4488" s="117"/>
      <c r="BC4488" s="117"/>
      <c r="BD4488" s="117"/>
    </row>
    <row r="4489" spans="1:56" ht="15">
      <c r="A4489" s="114"/>
      <c r="B4489" s="288"/>
      <c r="C4489" s="230"/>
      <c r="D4489" s="230"/>
      <c r="E4489" s="384"/>
      <c r="F4489" s="196"/>
      <c r="G4489" s="196"/>
      <c r="H4489" s="196"/>
      <c r="I4489" s="196"/>
      <c r="J4489" s="114"/>
      <c r="AW4489" s="117"/>
      <c r="AX4489" s="117"/>
      <c r="AY4489" s="117"/>
      <c r="AZ4489" s="117"/>
      <c r="BA4489" s="117"/>
      <c r="BB4489" s="117"/>
      <c r="BC4489" s="117"/>
      <c r="BD4489" s="117"/>
    </row>
    <row r="4490" spans="1:56" ht="15">
      <c r="A4490" s="114"/>
      <c r="B4490" s="288"/>
      <c r="C4490" s="230"/>
      <c r="D4490" s="230"/>
      <c r="E4490" s="384"/>
      <c r="F4490" s="196"/>
      <c r="G4490" s="196"/>
      <c r="H4490" s="196"/>
      <c r="I4490" s="196"/>
      <c r="J4490" s="114"/>
      <c r="AW4490" s="117"/>
      <c r="AX4490" s="117"/>
      <c r="AY4490" s="117"/>
      <c r="AZ4490" s="117"/>
      <c r="BA4490" s="117"/>
      <c r="BB4490" s="117"/>
      <c r="BC4490" s="117"/>
      <c r="BD4490" s="117"/>
    </row>
    <row r="4491" spans="1:56" customFormat="1" ht="12.75">
      <c r="B4491" s="953"/>
      <c r="C4491" s="953"/>
      <c r="D4491" s="953"/>
      <c r="E4491" s="953"/>
      <c r="F4491" s="953"/>
      <c r="G4491" s="953"/>
      <c r="H4491" s="953"/>
      <c r="I4491" s="953"/>
      <c r="J4491" s="953"/>
    </row>
    <row r="4492" spans="1:56">
      <c r="A4492" s="114"/>
      <c r="B4492" s="385" t="s">
        <v>1223</v>
      </c>
      <c r="C4492" s="196"/>
      <c r="D4492" s="196"/>
      <c r="E4492" s="196"/>
      <c r="F4492" s="196"/>
      <c r="G4492" s="196"/>
      <c r="H4492" s="196"/>
      <c r="I4492" s="196"/>
      <c r="J4492" s="196"/>
      <c r="AX4492" s="117"/>
      <c r="AY4492" s="117"/>
      <c r="AZ4492" s="117"/>
      <c r="BA4492" s="117"/>
      <c r="BB4492" s="117"/>
      <c r="BC4492" s="117"/>
      <c r="BD4492" s="117"/>
    </row>
    <row r="4493" spans="1:56" ht="15">
      <c r="A4493" s="114"/>
      <c r="B4493" s="953"/>
      <c r="C4493" s="953"/>
      <c r="D4493" s="953"/>
      <c r="E4493" s="953"/>
      <c r="F4493" s="404"/>
      <c r="G4493" s="404"/>
      <c r="H4493" s="404"/>
      <c r="I4493" s="404"/>
      <c r="J4493" s="404"/>
      <c r="AX4493" s="117"/>
      <c r="AY4493" s="117"/>
      <c r="AZ4493" s="117"/>
      <c r="BA4493" s="117"/>
      <c r="BB4493" s="117"/>
      <c r="BC4493" s="117"/>
      <c r="BD4493" s="117"/>
    </row>
    <row r="4494" spans="1:56" ht="18">
      <c r="A4494" s="114"/>
      <c r="B4494" s="388" t="s">
        <v>1141</v>
      </c>
      <c r="C4494" s="389">
        <v>0.2</v>
      </c>
      <c r="D4494" s="390" t="s">
        <v>10</v>
      </c>
      <c r="E4494" s="196"/>
      <c r="F4494" s="405"/>
      <c r="G4494" s="406" t="s">
        <v>1142</v>
      </c>
      <c r="H4494" s="407">
        <f>C4494*C4495</f>
        <v>4.0000000000000008E-2</v>
      </c>
      <c r="I4494" s="405" t="s">
        <v>1143</v>
      </c>
      <c r="J4494" s="405"/>
      <c r="AX4494" s="117"/>
      <c r="AY4494" s="117"/>
      <c r="AZ4494" s="117"/>
      <c r="BA4494" s="117"/>
      <c r="BB4494" s="117"/>
      <c r="BC4494" s="117"/>
      <c r="BD4494" s="117"/>
    </row>
    <row r="4495" spans="1:56" ht="15">
      <c r="A4495" s="114"/>
      <c r="B4495" s="388" t="s">
        <v>1144</v>
      </c>
      <c r="C4495" s="389">
        <v>0.2</v>
      </c>
      <c r="D4495" s="390" t="s">
        <v>10</v>
      </c>
      <c r="E4495" s="196"/>
      <c r="F4495" s="405"/>
      <c r="G4495" s="406" t="e">
        <f>TEXT(C4502,"tg 0°=")</f>
        <v>#VALUE!</v>
      </c>
      <c r="H4495" s="408">
        <f>TAN(3.14159265359*C4502/180)</f>
        <v>1.732050807569153</v>
      </c>
      <c r="I4495" s="405"/>
      <c r="J4495" s="405"/>
      <c r="AX4495" s="117"/>
      <c r="AY4495" s="117"/>
      <c r="AZ4495" s="117"/>
      <c r="BA4495" s="117"/>
      <c r="BB4495" s="117"/>
      <c r="BC4495" s="117"/>
      <c r="BD4495" s="117"/>
    </row>
    <row r="4496" spans="1:56" ht="15">
      <c r="A4496" s="114"/>
      <c r="B4496" s="388" t="s">
        <v>1145</v>
      </c>
      <c r="C4496" s="389">
        <v>0.5</v>
      </c>
      <c r="D4496" s="390" t="s">
        <v>10</v>
      </c>
      <c r="E4496" s="196"/>
      <c r="F4496" s="405"/>
      <c r="G4496" s="406"/>
      <c r="H4496" s="407"/>
      <c r="I4496" s="405"/>
      <c r="J4496" s="405"/>
      <c r="AX4496" s="117"/>
      <c r="AY4496" s="117"/>
      <c r="AZ4496" s="117"/>
      <c r="BA4496" s="117"/>
      <c r="BB4496" s="117"/>
      <c r="BC4496" s="117"/>
      <c r="BD4496" s="117"/>
    </row>
    <row r="4497" spans="1:56" ht="18">
      <c r="A4497" s="114"/>
      <c r="B4497" s="388" t="s">
        <v>1146</v>
      </c>
      <c r="C4497" s="389">
        <v>0.5</v>
      </c>
      <c r="D4497" s="390" t="s">
        <v>10</v>
      </c>
      <c r="E4497" s="196"/>
      <c r="F4497" s="405"/>
      <c r="G4497" s="406" t="s">
        <v>1142</v>
      </c>
      <c r="H4497" s="409">
        <f>(C4496+2*C4504+((C4498+C4499+0.05)/H4495)*2)*(C4497+2*C4504+((C4498+C4499+0.05)/H4495)*2)</f>
        <v>8.3269219381640323</v>
      </c>
      <c r="I4497" s="405" t="s">
        <v>1143</v>
      </c>
      <c r="J4497" s="405"/>
      <c r="AX4497" s="117"/>
      <c r="AY4497" s="117"/>
      <c r="AZ4497" s="117"/>
      <c r="BA4497" s="117"/>
      <c r="BB4497" s="117"/>
      <c r="BC4497" s="117"/>
      <c r="BD4497" s="117"/>
    </row>
    <row r="4498" spans="1:56" ht="18">
      <c r="A4498" s="114"/>
      <c r="B4498" s="388" t="s">
        <v>1112</v>
      </c>
      <c r="C4498" s="389">
        <v>0.35</v>
      </c>
      <c r="D4498" s="390" t="s">
        <v>10</v>
      </c>
      <c r="E4498" s="196"/>
      <c r="F4498" s="405"/>
      <c r="G4498" s="406" t="s">
        <v>1147</v>
      </c>
      <c r="H4498" s="409">
        <f>(C4496+2*C4504)*(C4497+2*C4504)</f>
        <v>2.25</v>
      </c>
      <c r="I4498" s="405" t="s">
        <v>1143</v>
      </c>
      <c r="J4498" s="405"/>
      <c r="AX4498" s="117"/>
      <c r="AY4498" s="117"/>
      <c r="AZ4498" s="117"/>
      <c r="BA4498" s="117"/>
      <c r="BB4498" s="117"/>
      <c r="BC4498" s="117"/>
      <c r="BD4498" s="117"/>
    </row>
    <row r="4499" spans="1:56" ht="15">
      <c r="A4499" s="114"/>
      <c r="B4499" s="388" t="s">
        <v>1113</v>
      </c>
      <c r="C4499" s="389">
        <v>0.8</v>
      </c>
      <c r="D4499" s="390" t="s">
        <v>10</v>
      </c>
      <c r="E4499" s="196"/>
      <c r="F4499" s="405"/>
      <c r="G4499" s="406"/>
      <c r="H4499" s="407"/>
      <c r="I4499" s="405"/>
      <c r="J4499" s="405"/>
      <c r="AX4499" s="117"/>
      <c r="AY4499" s="117"/>
      <c r="AZ4499" s="117"/>
      <c r="BA4499" s="117"/>
      <c r="BB4499" s="117"/>
      <c r="BC4499" s="117"/>
      <c r="BD4499" s="117"/>
    </row>
    <row r="4500" spans="1:56" ht="15">
      <c r="A4500" s="114"/>
      <c r="B4500" s="388" t="s">
        <v>1117</v>
      </c>
      <c r="C4500" s="391">
        <v>4</v>
      </c>
      <c r="D4500" s="390" t="s">
        <v>1118</v>
      </c>
      <c r="E4500" s="196"/>
      <c r="F4500" s="405"/>
      <c r="G4500" s="406"/>
      <c r="H4500" s="407"/>
      <c r="I4500" s="405"/>
      <c r="J4500" s="405"/>
      <c r="AX4500" s="117"/>
      <c r="AY4500" s="117"/>
      <c r="AZ4500" s="117"/>
      <c r="BA4500" s="117"/>
      <c r="BB4500" s="117"/>
      <c r="BC4500" s="117"/>
      <c r="BD4500" s="117"/>
    </row>
    <row r="4501" spans="1:56" ht="15">
      <c r="A4501" s="114"/>
      <c r="B4501" s="196" t="s">
        <v>1148</v>
      </c>
      <c r="C4501" s="954"/>
      <c r="D4501" s="196"/>
      <c r="E4501" s="196"/>
      <c r="F4501" s="405"/>
      <c r="G4501" s="406"/>
      <c r="H4501" s="407"/>
      <c r="I4501" s="405"/>
      <c r="J4501" s="405"/>
      <c r="AX4501" s="117"/>
      <c r="AY4501" s="117"/>
      <c r="AZ4501" s="117"/>
      <c r="BA4501" s="117"/>
      <c r="BB4501" s="117"/>
      <c r="BC4501" s="117"/>
      <c r="BD4501" s="117"/>
    </row>
    <row r="4502" spans="1:56" ht="15">
      <c r="A4502" s="114"/>
      <c r="B4502" s="388" t="s">
        <v>1149</v>
      </c>
      <c r="C4502" s="389">
        <v>60</v>
      </c>
      <c r="D4502" s="390" t="s">
        <v>1150</v>
      </c>
      <c r="E4502" s="196"/>
      <c r="F4502" s="196"/>
      <c r="G4502" s="392"/>
      <c r="H4502" s="954"/>
      <c r="I4502" s="196"/>
      <c r="J4502" s="196"/>
      <c r="AX4502" s="117"/>
      <c r="AY4502" s="117"/>
      <c r="AZ4502" s="117"/>
      <c r="BA4502" s="117"/>
      <c r="BB4502" s="117"/>
      <c r="BC4502" s="117"/>
      <c r="BD4502" s="117"/>
    </row>
    <row r="4503" spans="1:56" ht="15">
      <c r="A4503" s="114"/>
      <c r="B4503" s="953"/>
      <c r="C4503" s="196"/>
      <c r="D4503" s="196"/>
      <c r="E4503" s="196"/>
      <c r="F4503" s="196"/>
      <c r="G4503" s="953"/>
      <c r="H4503" s="953"/>
      <c r="I4503" s="953"/>
      <c r="J4503" s="196"/>
      <c r="AX4503" s="117"/>
      <c r="AY4503" s="117"/>
      <c r="AZ4503" s="117"/>
      <c r="BA4503" s="117"/>
      <c r="BB4503" s="117"/>
      <c r="BC4503" s="117"/>
      <c r="BD4503" s="117"/>
    </row>
    <row r="4504" spans="1:56" ht="15">
      <c r="A4504" s="114"/>
      <c r="B4504" s="388" t="s">
        <v>1114</v>
      </c>
      <c r="C4504" s="389">
        <v>0.5</v>
      </c>
      <c r="D4504" s="390" t="s">
        <v>10</v>
      </c>
      <c r="E4504" s="288" t="s">
        <v>1120</v>
      </c>
      <c r="F4504" s="196"/>
      <c r="G4504" s="196" t="s">
        <v>1131</v>
      </c>
      <c r="H4504" s="114"/>
      <c r="I4504" s="953"/>
      <c r="J4504" s="196"/>
      <c r="AX4504" s="117"/>
      <c r="AY4504" s="117"/>
      <c r="AZ4504" s="117"/>
      <c r="BA4504" s="117"/>
      <c r="BB4504" s="117"/>
      <c r="BC4504" s="117"/>
      <c r="BD4504" s="117"/>
    </row>
    <row r="4505" spans="1:56" ht="15">
      <c r="A4505" s="114"/>
      <c r="B4505" s="388" t="s">
        <v>1114</v>
      </c>
      <c r="C4505" s="389">
        <v>0.1</v>
      </c>
      <c r="D4505" s="390" t="s">
        <v>10</v>
      </c>
      <c r="E4505" s="288" t="s">
        <v>1121</v>
      </c>
      <c r="F4505" s="196"/>
      <c r="G4505" s="196"/>
      <c r="H4505" s="196"/>
      <c r="I4505" s="196"/>
      <c r="J4505" s="196"/>
      <c r="AX4505" s="117"/>
      <c r="AY4505" s="117"/>
      <c r="AZ4505" s="117"/>
      <c r="BA4505" s="117"/>
      <c r="BB4505" s="117"/>
      <c r="BC4505" s="117"/>
      <c r="BD4505" s="117"/>
    </row>
    <row r="4506" spans="1:56" ht="15">
      <c r="A4506" s="114"/>
      <c r="B4506" s="953"/>
      <c r="C4506" s="953"/>
      <c r="D4506" s="953"/>
      <c r="E4506" s="953"/>
      <c r="F4506" s="953"/>
      <c r="G4506" s="114"/>
      <c r="H4506" s="953"/>
      <c r="I4506" s="196"/>
      <c r="J4506" s="196"/>
      <c r="AX4506" s="117"/>
      <c r="AY4506" s="117"/>
      <c r="AZ4506" s="117"/>
      <c r="BA4506" s="117"/>
      <c r="BB4506" s="117"/>
      <c r="BC4506" s="117"/>
      <c r="BD4506" s="117"/>
    </row>
    <row r="4507" spans="1:56" ht="15">
      <c r="A4507" s="114"/>
      <c r="B4507" s="303" t="s">
        <v>1122</v>
      </c>
      <c r="C4507" s="953"/>
      <c r="D4507" s="953"/>
      <c r="E4507" s="953"/>
      <c r="F4507" s="953"/>
      <c r="G4507" s="196"/>
      <c r="H4507" s="196"/>
      <c r="I4507" s="196"/>
      <c r="J4507" s="196"/>
      <c r="AX4507" s="117"/>
      <c r="AY4507" s="117"/>
      <c r="AZ4507" s="117"/>
      <c r="BA4507" s="117"/>
      <c r="BB4507" s="117"/>
      <c r="BC4507" s="117"/>
      <c r="BD4507" s="117"/>
    </row>
    <row r="4508" spans="1:56" ht="18">
      <c r="A4508" s="114"/>
      <c r="B4508" s="957" t="s">
        <v>1123</v>
      </c>
      <c r="C4508" s="172"/>
      <c r="D4508" s="173"/>
      <c r="E4508" s="397">
        <f>C4500*((H4498+H4497)/2)*(C4498+C4499+0.05)</f>
        <v>25.384612651593677</v>
      </c>
      <c r="F4508" s="390" t="s">
        <v>1124</v>
      </c>
      <c r="G4508" s="196"/>
      <c r="H4508" s="953"/>
      <c r="I4508" s="953"/>
      <c r="J4508" s="953"/>
      <c r="AX4508" s="117"/>
      <c r="AY4508" s="117"/>
      <c r="AZ4508" s="117"/>
      <c r="BA4508" s="117"/>
      <c r="BB4508" s="117"/>
      <c r="BC4508" s="117"/>
      <c r="BD4508" s="117"/>
    </row>
    <row r="4509" spans="1:56" ht="18">
      <c r="A4509" s="114"/>
      <c r="B4509" s="957" t="s">
        <v>1125</v>
      </c>
      <c r="C4509" s="172"/>
      <c r="D4509" s="173"/>
      <c r="E4509" s="400">
        <f>E4508-(E4520+E4522)</f>
        <v>24.486612651593678</v>
      </c>
      <c r="F4509" s="390" t="s">
        <v>1124</v>
      </c>
      <c r="G4509" s="196"/>
      <c r="H4509" s="196"/>
      <c r="I4509" s="196"/>
      <c r="J4509" s="196"/>
      <c r="AX4509" s="117"/>
      <c r="AY4509" s="117"/>
      <c r="AZ4509" s="117"/>
      <c r="BA4509" s="117"/>
      <c r="BB4509" s="117"/>
      <c r="BC4509" s="117"/>
      <c r="BD4509" s="117"/>
    </row>
    <row r="4510" spans="1:56" ht="15">
      <c r="A4510" s="114"/>
      <c r="B4510" s="957" t="s">
        <v>1126</v>
      </c>
      <c r="C4510" s="172"/>
      <c r="D4510" s="173"/>
      <c r="E4510" s="400">
        <f>((C4496+2*C4505)*(C4497+2*C4505))*C4500</f>
        <v>1.9599999999999997</v>
      </c>
      <c r="F4510" s="390" t="s">
        <v>13</v>
      </c>
      <c r="G4510" s="953"/>
      <c r="H4510" s="953"/>
      <c r="I4510" s="953"/>
      <c r="J4510" s="953"/>
      <c r="AX4510" s="117"/>
      <c r="AY4510" s="117"/>
      <c r="AZ4510" s="117"/>
      <c r="BA4510" s="117"/>
      <c r="BB4510" s="117"/>
      <c r="BC4510" s="117"/>
      <c r="BD4510" s="117"/>
    </row>
    <row r="4511" spans="1:56" ht="15">
      <c r="A4511" s="114"/>
      <c r="B4511" s="953"/>
      <c r="C4511" s="953"/>
      <c r="D4511" s="953"/>
      <c r="E4511" s="401"/>
      <c r="F4511" s="196"/>
      <c r="G4511" s="953"/>
      <c r="H4511" s="953"/>
      <c r="I4511" s="953"/>
      <c r="J4511" s="953"/>
      <c r="AX4511" s="117"/>
      <c r="AY4511" s="117"/>
      <c r="AZ4511" s="117"/>
      <c r="BA4511" s="117"/>
      <c r="BB4511" s="117"/>
      <c r="BC4511" s="117"/>
      <c r="BD4511" s="117"/>
    </row>
    <row r="4512" spans="1:56" ht="15">
      <c r="A4512" s="114"/>
      <c r="B4512" s="303" t="s">
        <v>1162</v>
      </c>
      <c r="C4512" s="953"/>
      <c r="D4512" s="953"/>
      <c r="E4512" s="410"/>
      <c r="F4512" s="953"/>
      <c r="G4512" s="953"/>
      <c r="H4512" s="953"/>
      <c r="I4512" s="953"/>
      <c r="J4512" s="953"/>
      <c r="AX4512" s="117"/>
      <c r="AY4512" s="117"/>
      <c r="AZ4512" s="117"/>
      <c r="BA4512" s="117"/>
      <c r="BB4512" s="117"/>
      <c r="BC4512" s="117"/>
      <c r="BD4512" s="117"/>
    </row>
    <row r="4513" spans="1:56" ht="15">
      <c r="A4513" s="114"/>
      <c r="B4513" s="957" t="s">
        <v>1152</v>
      </c>
      <c r="C4513" s="957"/>
      <c r="D4513" s="955"/>
      <c r="E4513" s="411">
        <v>1</v>
      </c>
      <c r="F4513" s="390" t="s">
        <v>1153</v>
      </c>
      <c r="G4513" s="953"/>
      <c r="H4513" s="953"/>
      <c r="I4513" s="953"/>
      <c r="J4513" s="953"/>
      <c r="AX4513" s="117"/>
      <c r="AY4513" s="117"/>
      <c r="AZ4513" s="117"/>
      <c r="BA4513" s="117"/>
      <c r="BB4513" s="117"/>
      <c r="BC4513" s="117"/>
      <c r="BD4513" s="117"/>
    </row>
    <row r="4514" spans="1:56" ht="15">
      <c r="A4514" s="114"/>
      <c r="B4514" s="399" t="s">
        <v>1154</v>
      </c>
      <c r="C4514" s="31"/>
      <c r="D4514" s="32"/>
      <c r="E4514" s="412">
        <f>C4500*E4513</f>
        <v>4</v>
      </c>
      <c r="F4514" s="390" t="s">
        <v>1153</v>
      </c>
      <c r="G4514" s="953"/>
      <c r="H4514" s="953"/>
      <c r="I4514" s="953"/>
      <c r="J4514" s="953"/>
      <c r="AX4514" s="117"/>
      <c r="AY4514" s="117"/>
      <c r="AZ4514" s="117"/>
      <c r="BA4514" s="117"/>
      <c r="BB4514" s="117"/>
      <c r="BC4514" s="117"/>
      <c r="BD4514" s="117"/>
    </row>
    <row r="4515" spans="1:56" ht="15">
      <c r="A4515" s="114"/>
      <c r="B4515" s="957" t="s">
        <v>1155</v>
      </c>
      <c r="C4515" s="21"/>
      <c r="D4515" s="413"/>
      <c r="E4515" s="411">
        <v>250</v>
      </c>
      <c r="F4515" s="390" t="s">
        <v>1156</v>
      </c>
      <c r="G4515" s="953"/>
      <c r="H4515" s="414"/>
      <c r="I4515" s="953"/>
      <c r="J4515" s="415"/>
      <c r="AX4515" s="117"/>
      <c r="AY4515" s="117"/>
      <c r="AZ4515" s="117"/>
      <c r="BA4515" s="117"/>
      <c r="BB4515" s="117"/>
      <c r="BC4515" s="117"/>
      <c r="BD4515" s="117"/>
    </row>
    <row r="4516" spans="1:56" ht="15">
      <c r="A4516" s="114"/>
      <c r="B4516" s="957" t="s">
        <v>1157</v>
      </c>
      <c r="C4516" s="21"/>
      <c r="D4516" s="413"/>
      <c r="E4516" s="411">
        <v>12</v>
      </c>
      <c r="F4516" s="390" t="s">
        <v>10</v>
      </c>
      <c r="G4516" s="953"/>
      <c r="H4516" s="6"/>
      <c r="I4516" s="953"/>
      <c r="J4516" s="953"/>
      <c r="AX4516" s="117"/>
      <c r="AY4516" s="117"/>
      <c r="AZ4516" s="117"/>
      <c r="BA4516" s="117"/>
      <c r="BB4516" s="117"/>
      <c r="BC4516" s="117"/>
      <c r="BD4516" s="117"/>
    </row>
    <row r="4517" spans="1:56" ht="15">
      <c r="A4517" s="114"/>
      <c r="B4517" s="957" t="s">
        <v>1158</v>
      </c>
      <c r="C4517" s="21"/>
      <c r="D4517" s="413"/>
      <c r="E4517" s="412">
        <f>E4514*E4516</f>
        <v>48</v>
      </c>
      <c r="F4517" s="390" t="s">
        <v>10</v>
      </c>
      <c r="G4517" s="953"/>
      <c r="H4517" s="953"/>
      <c r="I4517" s="953"/>
      <c r="J4517" s="953"/>
      <c r="AX4517" s="117"/>
      <c r="AY4517" s="117"/>
      <c r="AZ4517" s="117"/>
      <c r="BA4517" s="117"/>
      <c r="BB4517" s="117"/>
      <c r="BC4517" s="117"/>
      <c r="BD4517" s="117"/>
    </row>
    <row r="4518" spans="1:56" ht="15">
      <c r="A4518" s="114"/>
      <c r="B4518" s="953"/>
      <c r="C4518" s="953"/>
      <c r="D4518" s="953"/>
      <c r="E4518" s="410"/>
      <c r="F4518" s="953"/>
      <c r="G4518" s="953"/>
      <c r="H4518" s="953"/>
      <c r="I4518" s="953"/>
      <c r="J4518" s="953"/>
      <c r="AX4518" s="117"/>
      <c r="AY4518" s="117"/>
      <c r="AZ4518" s="117"/>
      <c r="BA4518" s="117"/>
      <c r="BB4518" s="117"/>
      <c r="BC4518" s="117"/>
      <c r="BD4518" s="117"/>
    </row>
    <row r="4519" spans="1:56" ht="15">
      <c r="A4519" s="114"/>
      <c r="B4519" s="303" t="s">
        <v>1160</v>
      </c>
      <c r="C4519" s="953"/>
      <c r="D4519" s="953"/>
      <c r="E4519" s="410"/>
      <c r="F4519" s="953"/>
      <c r="G4519" s="953"/>
      <c r="H4519" s="953"/>
      <c r="I4519" s="953"/>
      <c r="J4519" s="953"/>
      <c r="AX4519" s="117"/>
      <c r="AY4519" s="117"/>
      <c r="AZ4519" s="117"/>
      <c r="BA4519" s="117"/>
      <c r="BB4519" s="117"/>
      <c r="BC4519" s="117"/>
      <c r="BD4519" s="117"/>
    </row>
    <row r="4520" spans="1:56" ht="18">
      <c r="A4520" s="114"/>
      <c r="B4520" s="957" t="s">
        <v>1128</v>
      </c>
      <c r="C4520" s="172"/>
      <c r="D4520" s="173"/>
      <c r="E4520" s="402">
        <f>E4510*0.05</f>
        <v>9.799999999999999E-2</v>
      </c>
      <c r="F4520" s="390" t="s">
        <v>1124</v>
      </c>
      <c r="G4520" s="953"/>
      <c r="H4520" s="953"/>
      <c r="I4520" s="953"/>
      <c r="J4520" s="953"/>
      <c r="AX4520" s="117"/>
      <c r="AY4520" s="117"/>
      <c r="AZ4520" s="117"/>
      <c r="BA4520" s="117"/>
      <c r="BB4520" s="117"/>
      <c r="BC4520" s="117"/>
      <c r="BD4520" s="117"/>
    </row>
    <row r="4521" spans="1:56" ht="15">
      <c r="A4521" s="114"/>
      <c r="B4521" s="957" t="s">
        <v>1129</v>
      </c>
      <c r="C4521" s="172"/>
      <c r="D4521" s="173"/>
      <c r="E4521" s="397">
        <f>(2*(C4496+C4497)*C4499)*C4500</f>
        <v>6.4</v>
      </c>
      <c r="F4521" s="390" t="s">
        <v>13</v>
      </c>
      <c r="G4521" s="953"/>
      <c r="H4521" s="953"/>
      <c r="I4521" s="953"/>
      <c r="J4521" s="953"/>
      <c r="AX4521" s="117"/>
      <c r="AY4521" s="117"/>
      <c r="AZ4521" s="117"/>
      <c r="BA4521" s="117"/>
      <c r="BB4521" s="117"/>
      <c r="BC4521" s="117"/>
      <c r="BD4521" s="117"/>
    </row>
    <row r="4522" spans="1:56" ht="18">
      <c r="A4522" s="114"/>
      <c r="B4522" s="957" t="s">
        <v>1130</v>
      </c>
      <c r="C4522" s="172"/>
      <c r="D4522" s="173"/>
      <c r="E4522" s="402">
        <f>(C4496*C4497*C4499)*C4500</f>
        <v>0.8</v>
      </c>
      <c r="F4522" s="390" t="s">
        <v>1124</v>
      </c>
      <c r="G4522" s="953"/>
      <c r="H4522" s="953"/>
      <c r="I4522" s="953"/>
      <c r="J4522" s="953"/>
      <c r="AX4522" s="117"/>
      <c r="AY4522" s="117"/>
      <c r="AZ4522" s="117"/>
      <c r="BA4522" s="117"/>
      <c r="BB4522" s="117"/>
      <c r="BC4522" s="117"/>
      <c r="BD4522" s="117"/>
    </row>
    <row r="4523" spans="1:56" ht="15">
      <c r="A4523" s="114"/>
      <c r="B4523" s="196"/>
      <c r="C4523" s="196"/>
      <c r="D4523" s="196"/>
      <c r="E4523" s="196"/>
      <c r="F4523" s="196"/>
      <c r="G4523" s="196"/>
      <c r="H4523" s="196"/>
      <c r="I4523" s="196"/>
      <c r="J4523" s="114"/>
      <c r="AW4523" s="117"/>
      <c r="AX4523" s="117"/>
      <c r="AY4523" s="117"/>
      <c r="AZ4523" s="117"/>
      <c r="BA4523" s="117"/>
      <c r="BB4523" s="117"/>
      <c r="BC4523" s="117"/>
      <c r="BD4523" s="117"/>
    </row>
    <row r="4524" spans="1:56" ht="15">
      <c r="A4524" s="114"/>
      <c r="B4524" s="196"/>
      <c r="C4524" s="196"/>
      <c r="D4524" s="196"/>
      <c r="E4524" s="196"/>
      <c r="F4524" s="196"/>
      <c r="G4524" s="196"/>
      <c r="H4524" s="196"/>
      <c r="I4524" s="196"/>
      <c r="J4524" s="114"/>
      <c r="AW4524" s="117"/>
      <c r="AX4524" s="117"/>
      <c r="AY4524" s="117"/>
      <c r="AZ4524" s="117"/>
      <c r="BA4524" s="117"/>
      <c r="BB4524" s="117"/>
      <c r="BC4524" s="117"/>
      <c r="BD4524" s="117"/>
    </row>
    <row r="4525" spans="1:56" customFormat="1" ht="13.5" thickBot="1">
      <c r="B4525" s="953"/>
      <c r="C4525" s="953"/>
      <c r="D4525" s="953"/>
      <c r="E4525" s="953"/>
      <c r="F4525" s="953"/>
      <c r="G4525" s="953"/>
      <c r="H4525" s="953"/>
      <c r="I4525" s="953"/>
      <c r="J4525" s="953"/>
    </row>
    <row r="4526" spans="1:56">
      <c r="A4526" s="114"/>
      <c r="B4526" s="702" t="s">
        <v>1189</v>
      </c>
      <c r="C4526" s="282"/>
      <c r="D4526" s="282"/>
      <c r="E4526" s="282"/>
      <c r="F4526" s="283"/>
      <c r="G4526" s="953"/>
      <c r="H4526" s="953"/>
      <c r="I4526" s="953"/>
      <c r="J4526" s="114"/>
      <c r="AU4526" s="117"/>
      <c r="AV4526" s="117"/>
      <c r="AW4526" s="117"/>
      <c r="AX4526" s="117"/>
      <c r="AY4526" s="117"/>
      <c r="AZ4526" s="117"/>
      <c r="BA4526" s="117"/>
      <c r="BB4526" s="117"/>
      <c r="BC4526" s="117"/>
      <c r="BD4526" s="117"/>
    </row>
    <row r="4527" spans="1:56" ht="15">
      <c r="A4527" s="114"/>
      <c r="B4527" s="693"/>
      <c r="C4527" s="196"/>
      <c r="D4527" s="196"/>
      <c r="E4527" s="196"/>
      <c r="F4527" s="284"/>
      <c r="G4527" s="953"/>
      <c r="H4527" s="953"/>
      <c r="I4527" s="953"/>
      <c r="J4527" s="114"/>
      <c r="AU4527" s="117"/>
      <c r="AV4527" s="117"/>
      <c r="AW4527" s="117"/>
      <c r="AX4527" s="117"/>
      <c r="AY4527" s="117"/>
      <c r="AZ4527" s="117"/>
      <c r="BA4527" s="117"/>
      <c r="BB4527" s="117"/>
      <c r="BC4527" s="117"/>
      <c r="BD4527" s="117"/>
    </row>
    <row r="4528" spans="1:56" ht="15">
      <c r="A4528" s="114"/>
      <c r="B4528" s="691" t="s">
        <v>1122</v>
      </c>
      <c r="C4528" s="410"/>
      <c r="D4528" s="1008"/>
      <c r="E4528" s="1008"/>
      <c r="F4528" s="424"/>
      <c r="G4528" s="953"/>
      <c r="H4528" s="953"/>
      <c r="I4528" s="953"/>
      <c r="J4528" s="114"/>
      <c r="AU4528" s="117"/>
      <c r="AV4528" s="117"/>
      <c r="AW4528" s="117"/>
      <c r="AX4528" s="117"/>
      <c r="AY4528" s="117"/>
      <c r="AZ4528" s="117"/>
      <c r="BA4528" s="117"/>
      <c r="BB4528" s="117"/>
      <c r="BC4528" s="117"/>
      <c r="BD4528" s="117"/>
    </row>
    <row r="4529" spans="1:56" ht="18">
      <c r="A4529" s="114"/>
      <c r="B4529" s="1011" t="s">
        <v>1123</v>
      </c>
      <c r="C4529" s="172"/>
      <c r="D4529" s="173"/>
      <c r="E4529" s="425">
        <f>E4481+E4508</f>
        <v>44.994112651593682</v>
      </c>
      <c r="F4529" s="139" t="s">
        <v>1124</v>
      </c>
      <c r="G4529" s="953"/>
      <c r="H4529" s="953"/>
      <c r="I4529" s="953"/>
      <c r="J4529" s="114"/>
      <c r="AU4529" s="117"/>
      <c r="AV4529" s="117"/>
      <c r="AW4529" s="117"/>
      <c r="AX4529" s="117"/>
      <c r="AY4529" s="117"/>
      <c r="AZ4529" s="117"/>
      <c r="BA4529" s="117"/>
      <c r="BB4529" s="117"/>
      <c r="BC4529" s="117"/>
      <c r="BD4529" s="117"/>
    </row>
    <row r="4530" spans="1:56" ht="18">
      <c r="A4530" s="114"/>
      <c r="B4530" s="1011" t="s">
        <v>1190</v>
      </c>
      <c r="C4530" s="172"/>
      <c r="D4530" s="173"/>
      <c r="E4530" s="446">
        <f>E4482+E4509</f>
        <v>41.981362651593678</v>
      </c>
      <c r="F4530" s="139" t="s">
        <v>1124</v>
      </c>
      <c r="G4530" s="953"/>
      <c r="H4530" s="953"/>
      <c r="I4530" s="953"/>
      <c r="J4530" s="114"/>
      <c r="AU4530" s="117"/>
      <c r="AV4530" s="117"/>
      <c r="AW4530" s="117"/>
      <c r="AX4530" s="117"/>
      <c r="AY4530" s="117"/>
      <c r="AZ4530" s="117"/>
      <c r="BA4530" s="117"/>
      <c r="BB4530" s="117"/>
      <c r="BC4530" s="117"/>
      <c r="BD4530" s="117"/>
    </row>
    <row r="4531" spans="1:56" ht="15">
      <c r="A4531" s="114"/>
      <c r="B4531" s="1011" t="s">
        <v>1191</v>
      </c>
      <c r="C4531" s="172"/>
      <c r="D4531" s="173"/>
      <c r="E4531" s="446">
        <f>E4483+E4510</f>
        <v>9.65</v>
      </c>
      <c r="F4531" s="139" t="s">
        <v>13</v>
      </c>
      <c r="G4531" s="953"/>
      <c r="H4531" s="953"/>
      <c r="I4531" s="953"/>
      <c r="J4531" s="114"/>
      <c r="AU4531" s="117"/>
      <c r="AV4531" s="117"/>
      <c r="AW4531" s="117"/>
      <c r="AX4531" s="117"/>
      <c r="AY4531" s="117"/>
      <c r="AZ4531" s="117"/>
      <c r="BA4531" s="117"/>
      <c r="BB4531" s="117"/>
      <c r="BC4531" s="117"/>
      <c r="BD4531" s="117"/>
    </row>
    <row r="4532" spans="1:56" ht="15">
      <c r="A4532" s="114"/>
      <c r="B4532" s="40"/>
      <c r="C4532" s="1008"/>
      <c r="D4532" s="1008"/>
      <c r="E4532" s="401"/>
      <c r="F4532" s="284"/>
      <c r="G4532" s="953"/>
      <c r="H4532" s="953"/>
      <c r="I4532" s="953"/>
      <c r="J4532" s="114"/>
      <c r="AU4532" s="117"/>
      <c r="AV4532" s="117"/>
      <c r="AW4532" s="117"/>
      <c r="AX4532" s="117"/>
      <c r="AY4532" s="117"/>
      <c r="AZ4532" s="117"/>
      <c r="BA4532" s="117"/>
      <c r="BB4532" s="117"/>
      <c r="BC4532" s="117"/>
      <c r="BD4532" s="117"/>
    </row>
    <row r="4533" spans="1:56" ht="18">
      <c r="A4533" s="114"/>
      <c r="B4533" s="1011" t="s">
        <v>317</v>
      </c>
      <c r="C4533" s="172"/>
      <c r="D4533" s="173"/>
      <c r="E4533" s="425">
        <f>E4486+E4520</f>
        <v>0.48250000000000004</v>
      </c>
      <c r="F4533" s="139" t="s">
        <v>1124</v>
      </c>
      <c r="G4533" s="196"/>
      <c r="H4533" s="196"/>
      <c r="I4533" s="196"/>
      <c r="J4533" s="114"/>
      <c r="AU4533" s="117"/>
      <c r="AV4533" s="117"/>
      <c r="AW4533" s="117"/>
      <c r="AX4533" s="117"/>
      <c r="AY4533" s="117"/>
      <c r="AZ4533" s="117"/>
      <c r="BA4533" s="117"/>
      <c r="BB4533" s="117"/>
      <c r="BC4533" s="117"/>
      <c r="BD4533" s="117"/>
    </row>
    <row r="4534" spans="1:56" ht="15">
      <c r="A4534" s="114"/>
      <c r="B4534" s="1011" t="s">
        <v>1192</v>
      </c>
      <c r="C4534" s="172"/>
      <c r="D4534" s="173"/>
      <c r="E4534" s="425">
        <f>E4487+E4521</f>
        <v>23.702500000000001</v>
      </c>
      <c r="F4534" s="139" t="s">
        <v>13</v>
      </c>
      <c r="G4534" s="196"/>
      <c r="H4534" s="196"/>
      <c r="I4534" s="196"/>
      <c r="J4534" s="114"/>
      <c r="AU4534" s="117"/>
      <c r="AV4534" s="117"/>
      <c r="AW4534" s="117"/>
      <c r="AX4534" s="117"/>
      <c r="AY4534" s="117"/>
      <c r="AZ4534" s="117"/>
      <c r="BA4534" s="117"/>
      <c r="BB4534" s="117"/>
      <c r="BC4534" s="117"/>
      <c r="BD4534" s="117"/>
    </row>
    <row r="4535" spans="1:56" ht="18">
      <c r="A4535" s="114"/>
      <c r="B4535" s="1011" t="s">
        <v>316</v>
      </c>
      <c r="C4535" s="172"/>
      <c r="D4535" s="173"/>
      <c r="E4535" s="425">
        <f>E4488+E4522</f>
        <v>2.5302500000000006</v>
      </c>
      <c r="F4535" s="139" t="s">
        <v>1124</v>
      </c>
      <c r="G4535" s="196"/>
      <c r="H4535" s="196"/>
      <c r="I4535" s="196"/>
      <c r="J4535" s="114"/>
      <c r="AU4535" s="117"/>
      <c r="AV4535" s="117"/>
      <c r="AW4535" s="117"/>
      <c r="AX4535" s="117"/>
      <c r="AY4535" s="117"/>
      <c r="AZ4535" s="117"/>
      <c r="BA4535" s="117"/>
      <c r="BB4535" s="117"/>
      <c r="BC4535" s="117"/>
      <c r="BD4535" s="117"/>
    </row>
    <row r="4536" spans="1:56">
      <c r="A4536" s="114"/>
      <c r="B4536" s="690"/>
      <c r="C4536" s="115"/>
      <c r="D4536" s="115"/>
      <c r="E4536" s="115"/>
      <c r="F4536" s="182"/>
      <c r="G4536" s="953"/>
      <c r="H4536" s="953"/>
      <c r="I4536" s="953"/>
      <c r="J4536" s="114"/>
      <c r="AU4536" s="117"/>
      <c r="AV4536" s="117"/>
      <c r="AW4536" s="117"/>
      <c r="AX4536" s="117"/>
      <c r="AY4536" s="117"/>
      <c r="AZ4536" s="117"/>
      <c r="BA4536" s="117"/>
      <c r="BB4536" s="117"/>
      <c r="BC4536" s="117"/>
      <c r="BD4536" s="117"/>
    </row>
    <row r="4537" spans="1:56">
      <c r="A4537" s="114"/>
      <c r="B4537" s="691" t="s">
        <v>1162</v>
      </c>
      <c r="C4537" s="1008"/>
      <c r="D4537" s="452" t="s">
        <v>1194</v>
      </c>
      <c r="E4537" s="452" t="s">
        <v>67</v>
      </c>
      <c r="F4537" s="182"/>
      <c r="G4537" s="953"/>
      <c r="H4537" s="953"/>
      <c r="I4537" s="953"/>
      <c r="J4537" s="114"/>
      <c r="AU4537" s="117"/>
      <c r="AV4537" s="117"/>
      <c r="AW4537" s="117"/>
      <c r="AX4537" s="117"/>
      <c r="AY4537" s="117"/>
      <c r="AZ4537" s="117"/>
      <c r="BA4537" s="117"/>
      <c r="BB4537" s="117"/>
      <c r="BC4537" s="117"/>
      <c r="BD4537" s="117"/>
    </row>
    <row r="4538" spans="1:56">
      <c r="A4538" s="114"/>
      <c r="B4538" s="1011" t="s">
        <v>1195</v>
      </c>
      <c r="C4538" s="413"/>
      <c r="D4538" s="291">
        <f>E4517</f>
        <v>48</v>
      </c>
      <c r="E4538" s="427">
        <f>E4514</f>
        <v>4</v>
      </c>
      <c r="F4538" s="182"/>
      <c r="G4538" s="953"/>
      <c r="H4538" s="953"/>
      <c r="I4538" s="953"/>
      <c r="J4538" s="114"/>
      <c r="AU4538" s="117"/>
      <c r="AV4538" s="117"/>
      <c r="AW4538" s="117"/>
      <c r="AX4538" s="117"/>
      <c r="AY4538" s="117"/>
      <c r="AZ4538" s="117"/>
      <c r="BA4538" s="117"/>
      <c r="BB4538" s="117"/>
      <c r="BC4538" s="117"/>
      <c r="BD4538" s="117"/>
    </row>
    <row r="4539" spans="1:56">
      <c r="A4539" s="114"/>
      <c r="B4539" s="694"/>
      <c r="C4539" s="1008"/>
      <c r="D4539" s="1026"/>
      <c r="E4539" s="1027"/>
      <c r="F4539" s="182"/>
      <c r="G4539" s="1008"/>
      <c r="H4539" s="1008"/>
      <c r="I4539" s="1008"/>
      <c r="J4539" s="114"/>
      <c r="AU4539" s="117"/>
      <c r="AV4539" s="117"/>
      <c r="AW4539" s="117"/>
      <c r="AX4539" s="117"/>
      <c r="AY4539" s="117"/>
      <c r="AZ4539" s="117"/>
      <c r="BA4539" s="117"/>
      <c r="BB4539" s="117"/>
      <c r="BC4539" s="117"/>
      <c r="BD4539" s="117"/>
    </row>
    <row r="4540" spans="1:56" thickBot="1">
      <c r="A4540" s="114"/>
      <c r="B4540" s="1041" t="s">
        <v>102</v>
      </c>
      <c r="C4540" s="1016">
        <v>208</v>
      </c>
      <c r="D4540" s="1042" t="s">
        <v>12</v>
      </c>
      <c r="E4540" s="1272" t="s">
        <v>2390</v>
      </c>
      <c r="F4540" s="1273"/>
      <c r="G4540" s="1008"/>
      <c r="H4540" s="1008"/>
      <c r="I4540" s="1008"/>
      <c r="J4540" s="114"/>
      <c r="AU4540" s="117"/>
      <c r="AV4540" s="117"/>
      <c r="AW4540" s="117"/>
      <c r="AX4540" s="117"/>
      <c r="AY4540" s="117"/>
      <c r="AZ4540" s="117"/>
      <c r="BA4540" s="117"/>
      <c r="BB4540" s="117"/>
      <c r="BC4540" s="117"/>
      <c r="BD4540" s="117"/>
    </row>
    <row r="4541" spans="1:56">
      <c r="A4541" s="114"/>
      <c r="B4541" s="288"/>
      <c r="C4541" s="953"/>
      <c r="D4541" s="430"/>
      <c r="E4541" s="430"/>
      <c r="F4541" s="115"/>
      <c r="G4541" s="953"/>
      <c r="H4541" s="953"/>
      <c r="I4541" s="953"/>
      <c r="J4541" s="114"/>
      <c r="AU4541" s="117"/>
      <c r="AV4541" s="117"/>
      <c r="AW4541" s="117"/>
      <c r="AX4541" s="117"/>
      <c r="AY4541" s="117"/>
      <c r="AZ4541" s="117"/>
      <c r="BA4541" s="117"/>
      <c r="BB4541" s="117"/>
      <c r="BC4541" s="117"/>
      <c r="BD4541" s="117"/>
    </row>
    <row r="4542" spans="1:56" customFormat="1" ht="13.5" thickBot="1">
      <c r="B4542" s="953"/>
      <c r="C4542" s="953"/>
      <c r="D4542" s="953"/>
      <c r="E4542" s="953"/>
      <c r="F4542" s="953"/>
      <c r="G4542" s="953"/>
      <c r="H4542" s="953"/>
      <c r="I4542" s="953"/>
      <c r="J4542" s="953"/>
    </row>
    <row r="4543" spans="1:56">
      <c r="A4543" s="114"/>
      <c r="B4543" s="702" t="s">
        <v>320</v>
      </c>
      <c r="C4543" s="282"/>
      <c r="D4543" s="282"/>
      <c r="E4543" s="282"/>
      <c r="F4543" s="283"/>
      <c r="G4543" s="196"/>
      <c r="H4543" s="196"/>
      <c r="I4543" s="196"/>
      <c r="J4543" s="114"/>
      <c r="AW4543" s="117"/>
      <c r="AX4543" s="117"/>
      <c r="AY4543" s="117"/>
      <c r="AZ4543" s="117"/>
      <c r="BA4543" s="117"/>
      <c r="BB4543" s="117"/>
      <c r="BC4543" s="117"/>
      <c r="BD4543" s="117"/>
    </row>
    <row r="4544" spans="1:56" ht="15">
      <c r="A4544" s="114"/>
      <c r="B4544" s="693"/>
      <c r="C4544" s="196"/>
      <c r="D4544" s="196"/>
      <c r="E4544" s="196"/>
      <c r="F4544" s="284"/>
      <c r="G4544" s="196"/>
      <c r="H4544" s="196"/>
      <c r="I4544" s="196"/>
      <c r="J4544" s="114"/>
      <c r="AW4544" s="117"/>
      <c r="AX4544" s="117"/>
      <c r="AY4544" s="117"/>
      <c r="AZ4544" s="117"/>
      <c r="BA4544" s="117"/>
      <c r="BB4544" s="117"/>
      <c r="BC4544" s="117"/>
      <c r="BD4544" s="117"/>
    </row>
    <row r="4545" spans="1:56" customFormat="1" ht="12.75">
      <c r="B4545" s="40"/>
      <c r="C4545" s="953"/>
      <c r="D4545" s="953"/>
      <c r="E4545" s="953"/>
      <c r="F4545" s="424"/>
      <c r="G4545" s="953"/>
      <c r="H4545" s="953"/>
      <c r="I4545" s="953"/>
      <c r="J4545" s="953"/>
    </row>
    <row r="4546" spans="1:56" customFormat="1" ht="15">
      <c r="B4546" s="691" t="s">
        <v>351</v>
      </c>
      <c r="C4546" s="953"/>
      <c r="D4546" s="953"/>
      <c r="E4546" s="953"/>
      <c r="F4546" s="424"/>
      <c r="G4546" s="953"/>
      <c r="H4546" s="953"/>
      <c r="I4546" s="953"/>
      <c r="J4546" s="953"/>
    </row>
    <row r="4547" spans="1:56" thickBot="1">
      <c r="A4547" s="114"/>
      <c r="B4547" s="958" t="s">
        <v>352</v>
      </c>
      <c r="C4547" s="174"/>
      <c r="D4547" s="176"/>
      <c r="E4547" s="477">
        <f>SUM(C4540:C4540)</f>
        <v>208</v>
      </c>
      <c r="F4547" s="440" t="s">
        <v>12</v>
      </c>
      <c r="G4547" s="953"/>
      <c r="H4547" s="953"/>
      <c r="I4547" s="953"/>
      <c r="J4547" s="114"/>
      <c r="AU4547" s="117"/>
      <c r="AV4547" s="117"/>
      <c r="AW4547" s="117"/>
      <c r="AX4547" s="117"/>
      <c r="AY4547" s="117"/>
      <c r="AZ4547" s="117"/>
      <c r="BA4547" s="117"/>
      <c r="BB4547" s="117"/>
      <c r="BC4547" s="117"/>
      <c r="BD4547" s="117"/>
    </row>
    <row r="4548" spans="1:56" customFormat="1" ht="12.75"/>
    <row r="4549" spans="1:56" thickBot="1">
      <c r="A4549" s="114"/>
      <c r="B4549" s="288"/>
      <c r="C4549" s="230"/>
      <c r="D4549" s="230"/>
      <c r="E4549" s="484"/>
      <c r="F4549" s="196"/>
      <c r="G4549" s="362"/>
      <c r="H4549" s="362"/>
      <c r="I4549" s="362"/>
      <c r="J4549" s="114"/>
      <c r="AU4549" s="117"/>
      <c r="AV4549" s="117"/>
      <c r="AW4549" s="117"/>
      <c r="AX4549" s="117"/>
      <c r="AY4549" s="117"/>
      <c r="AZ4549" s="117"/>
      <c r="BA4549" s="117"/>
      <c r="BB4549" s="117"/>
      <c r="BC4549" s="117"/>
      <c r="BD4549" s="117"/>
    </row>
    <row r="4550" spans="1:56" ht="24.75" thickTop="1" thickBot="1">
      <c r="A4550" s="114"/>
      <c r="B4550" s="563" t="s">
        <v>1090</v>
      </c>
      <c r="C4550" s="381"/>
      <c r="D4550" s="381"/>
      <c r="E4550" s="381"/>
      <c r="F4550" s="381"/>
      <c r="G4550" s="381"/>
      <c r="H4550" s="381"/>
      <c r="I4550" s="381"/>
      <c r="J4550" s="381"/>
    </row>
    <row r="4551" spans="1:56" thickTop="1">
      <c r="A4551" s="114"/>
      <c r="B4551" s="288"/>
      <c r="C4551" s="230"/>
      <c r="D4551" s="230"/>
      <c r="E4551" s="484"/>
      <c r="F4551" s="196"/>
      <c r="G4551" s="362"/>
      <c r="H4551" s="362"/>
      <c r="I4551" s="362"/>
      <c r="J4551" s="114"/>
      <c r="AU4551" s="117"/>
      <c r="AV4551" s="117"/>
      <c r="AW4551" s="117"/>
      <c r="AX4551" s="117"/>
      <c r="AY4551" s="117"/>
      <c r="AZ4551" s="117"/>
      <c r="BA4551" s="117"/>
      <c r="BB4551" s="117"/>
      <c r="BC4551" s="117"/>
      <c r="BD4551" s="117"/>
    </row>
    <row r="4552" spans="1:56" ht="15">
      <c r="A4552" s="114"/>
      <c r="B4552" s="382" t="s">
        <v>2281</v>
      </c>
      <c r="C4552" s="382"/>
      <c r="D4552" s="382"/>
      <c r="E4552" s="382"/>
      <c r="F4552" s="382"/>
      <c r="G4552" s="382"/>
      <c r="H4552" s="383"/>
      <c r="I4552" s="383"/>
      <c r="J4552" s="351"/>
      <c r="AW4552" s="117"/>
      <c r="AX4552" s="117"/>
      <c r="AY4552" s="117"/>
      <c r="AZ4552" s="117"/>
      <c r="BA4552" s="117"/>
      <c r="BB4552" s="117"/>
      <c r="BC4552" s="117"/>
      <c r="BD4552" s="117"/>
    </row>
    <row r="4553" spans="1:56" ht="15">
      <c r="A4553" s="114"/>
      <c r="B4553" s="288"/>
      <c r="C4553" s="230"/>
      <c r="D4553" s="230"/>
      <c r="E4553" s="384"/>
      <c r="F4553" s="196"/>
      <c r="G4553" s="196"/>
      <c r="H4553" s="196"/>
      <c r="I4553" s="196"/>
      <c r="J4553" s="114"/>
      <c r="AW4553" s="117"/>
      <c r="AX4553" s="117"/>
      <c r="AY4553" s="117"/>
      <c r="AZ4553" s="117"/>
      <c r="BA4553" s="117"/>
      <c r="BB4553" s="117"/>
      <c r="BC4553" s="117"/>
      <c r="BD4553" s="117"/>
    </row>
    <row r="4554" spans="1:56" ht="15">
      <c r="A4554" s="114"/>
      <c r="B4554" s="288" t="s">
        <v>1790</v>
      </c>
      <c r="C4554" s="230"/>
      <c r="D4554" s="230"/>
      <c r="E4554" s="384"/>
      <c r="F4554" s="196"/>
      <c r="G4554" s="196"/>
      <c r="H4554" s="196"/>
      <c r="I4554" s="196"/>
      <c r="J4554" s="114"/>
      <c r="AW4554" s="117"/>
      <c r="AX4554" s="117"/>
      <c r="AY4554" s="117"/>
      <c r="AZ4554" s="117"/>
      <c r="BA4554" s="117"/>
      <c r="BB4554" s="117"/>
      <c r="BC4554" s="117"/>
      <c r="BD4554" s="117"/>
    </row>
    <row r="4555" spans="1:56" ht="15">
      <c r="A4555" s="114"/>
      <c r="B4555" s="288" t="s">
        <v>1787</v>
      </c>
      <c r="C4555" s="230"/>
      <c r="D4555" s="230"/>
      <c r="E4555" s="384"/>
      <c r="F4555" s="196"/>
      <c r="G4555" s="196"/>
      <c r="H4555" s="196"/>
      <c r="I4555" s="196"/>
      <c r="J4555" s="114"/>
      <c r="AW4555" s="117"/>
      <c r="AX4555" s="117"/>
      <c r="AY4555" s="117"/>
      <c r="AZ4555" s="117"/>
      <c r="BA4555" s="117"/>
      <c r="BB4555" s="117"/>
      <c r="BC4555" s="117"/>
      <c r="BD4555" s="117"/>
    </row>
    <row r="4556" spans="1:56" ht="15">
      <c r="A4556" s="114"/>
      <c r="B4556" s="288"/>
      <c r="C4556" s="230"/>
      <c r="D4556" s="230"/>
      <c r="E4556" s="384"/>
      <c r="F4556" s="196"/>
      <c r="G4556" s="196"/>
      <c r="H4556" s="196"/>
      <c r="I4556" s="196"/>
      <c r="J4556" s="114"/>
      <c r="AW4556" s="117"/>
      <c r="AX4556" s="117"/>
      <c r="AY4556" s="117"/>
      <c r="AZ4556" s="117"/>
      <c r="BA4556" s="117"/>
      <c r="BB4556" s="117"/>
      <c r="BC4556" s="117"/>
      <c r="BD4556" s="117"/>
    </row>
    <row r="4557" spans="1:56" ht="15">
      <c r="A4557" s="114"/>
      <c r="B4557" s="293"/>
      <c r="C4557" s="387"/>
      <c r="D4557" s="387"/>
      <c r="E4557" s="387"/>
      <c r="F4557" s="387"/>
      <c r="G4557" s="387"/>
      <c r="H4557" s="386"/>
      <c r="I4557" s="386"/>
      <c r="J4557" s="114"/>
      <c r="AW4557" s="117"/>
      <c r="AX4557" s="117"/>
      <c r="AY4557" s="117"/>
      <c r="AZ4557" s="117"/>
      <c r="BA4557" s="117"/>
      <c r="BB4557" s="117"/>
      <c r="BC4557" s="117"/>
      <c r="BD4557" s="117"/>
    </row>
    <row r="4558" spans="1:56">
      <c r="A4558" s="114"/>
      <c r="B4558" s="385" t="s">
        <v>1287</v>
      </c>
      <c r="C4558" s="196"/>
      <c r="D4558" s="196"/>
      <c r="E4558" s="196"/>
      <c r="F4558" s="196"/>
      <c r="G4558" s="196"/>
      <c r="H4558" s="196"/>
      <c r="I4558" s="196"/>
      <c r="J4558" s="114"/>
      <c r="AW4558" s="117"/>
      <c r="AX4558" s="117"/>
      <c r="AY4558" s="117"/>
      <c r="AZ4558" s="117"/>
      <c r="BA4558" s="117"/>
      <c r="BB4558" s="117"/>
      <c r="BC4558" s="117"/>
      <c r="BD4558" s="117"/>
    </row>
    <row r="4559" spans="1:56" ht="15">
      <c r="A4559" s="114"/>
      <c r="B4559" s="196"/>
      <c r="C4559" s="196"/>
      <c r="D4559" s="196"/>
      <c r="E4559" s="196"/>
      <c r="F4559" s="196"/>
      <c r="G4559" s="196"/>
      <c r="H4559" s="196"/>
      <c r="I4559" s="196"/>
      <c r="J4559" s="114"/>
      <c r="AW4559" s="117"/>
      <c r="AX4559" s="117"/>
      <c r="AY4559" s="117"/>
      <c r="AZ4559" s="117"/>
      <c r="BA4559" s="117"/>
      <c r="BB4559" s="117"/>
      <c r="BC4559" s="117"/>
      <c r="BD4559" s="117"/>
    </row>
    <row r="4560" spans="1:56" ht="15">
      <c r="A4560" s="114"/>
      <c r="B4560" s="388" t="s">
        <v>1110</v>
      </c>
      <c r="C4560" s="389">
        <v>0.2</v>
      </c>
      <c r="D4560" s="390" t="s">
        <v>10</v>
      </c>
      <c r="E4560" s="196"/>
      <c r="F4560" s="196"/>
      <c r="G4560" s="392"/>
      <c r="H4560" s="393"/>
      <c r="I4560" s="196"/>
      <c r="J4560" s="114"/>
      <c r="AW4560" s="117"/>
      <c r="AX4560" s="117"/>
      <c r="AY4560" s="117"/>
      <c r="AZ4560" s="117"/>
      <c r="BA4560" s="117"/>
      <c r="BB4560" s="117"/>
      <c r="BC4560" s="117"/>
      <c r="BD4560" s="117"/>
    </row>
    <row r="4561" spans="1:56" ht="15">
      <c r="A4561" s="114"/>
      <c r="B4561" s="388" t="s">
        <v>1111</v>
      </c>
      <c r="C4561" s="391">
        <v>52</v>
      </c>
      <c r="D4561" s="390" t="s">
        <v>10</v>
      </c>
      <c r="E4561" s="910"/>
      <c r="F4561" s="196"/>
      <c r="G4561" s="392"/>
      <c r="H4561" s="393"/>
      <c r="I4561" s="196"/>
      <c r="J4561" s="114"/>
      <c r="AW4561" s="117"/>
      <c r="AX4561" s="117"/>
      <c r="AY4561" s="117"/>
      <c r="AZ4561" s="117"/>
      <c r="BA4561" s="117"/>
      <c r="BB4561" s="117"/>
      <c r="BC4561" s="117"/>
      <c r="BD4561" s="117"/>
    </row>
    <row r="4562" spans="1:56" ht="15">
      <c r="A4562" s="114"/>
      <c r="B4562" s="388" t="s">
        <v>1112</v>
      </c>
      <c r="C4562" s="389">
        <v>0.55000000000000004</v>
      </c>
      <c r="D4562" s="390" t="s">
        <v>10</v>
      </c>
      <c r="E4562" s="196"/>
      <c r="F4562" s="196"/>
      <c r="G4562" s="392"/>
      <c r="H4562" s="393"/>
      <c r="I4562" s="196"/>
      <c r="J4562" s="114"/>
      <c r="AW4562" s="117"/>
      <c r="AX4562" s="117"/>
      <c r="AY4562" s="117"/>
      <c r="AZ4562" s="117"/>
      <c r="BA4562" s="117"/>
      <c r="BB4562" s="117"/>
      <c r="BC4562" s="117"/>
      <c r="BD4562" s="117"/>
    </row>
    <row r="4563" spans="1:56" ht="15">
      <c r="A4563" s="114"/>
      <c r="B4563" s="388" t="s">
        <v>1113</v>
      </c>
      <c r="C4563" s="389">
        <v>0.3</v>
      </c>
      <c r="D4563" s="390" t="s">
        <v>10</v>
      </c>
      <c r="E4563" s="196"/>
      <c r="F4563" s="196"/>
      <c r="G4563" s="392"/>
      <c r="H4563" s="394"/>
      <c r="I4563" s="196"/>
      <c r="J4563" s="114"/>
      <c r="AW4563" s="117"/>
      <c r="AX4563" s="117"/>
      <c r="AY4563" s="117"/>
      <c r="AZ4563" s="117"/>
      <c r="BA4563" s="117"/>
      <c r="BB4563" s="117"/>
      <c r="BC4563" s="117"/>
      <c r="BD4563" s="117"/>
    </row>
    <row r="4564" spans="1:56" ht="15">
      <c r="A4564" s="114"/>
      <c r="B4564" s="388" t="s">
        <v>1117</v>
      </c>
      <c r="C4564" s="389">
        <v>1</v>
      </c>
      <c r="D4564" s="390" t="s">
        <v>1118</v>
      </c>
      <c r="E4564" s="196"/>
      <c r="F4564" s="196"/>
      <c r="G4564" s="392"/>
      <c r="H4564" s="393"/>
      <c r="I4564" s="196"/>
      <c r="J4564" s="114"/>
      <c r="AW4564" s="117"/>
      <c r="AX4564" s="117"/>
      <c r="AY4564" s="117"/>
      <c r="AZ4564" s="117"/>
      <c r="BA4564" s="117"/>
      <c r="BB4564" s="117"/>
      <c r="BC4564" s="117"/>
      <c r="BD4564" s="117"/>
    </row>
    <row r="4565" spans="1:56" ht="15">
      <c r="A4565" s="114"/>
      <c r="B4565" s="392"/>
      <c r="C4565" s="393"/>
      <c r="D4565" s="196"/>
      <c r="E4565" s="196"/>
      <c r="F4565" s="196"/>
      <c r="G4565" s="392"/>
      <c r="H4565" s="393"/>
      <c r="I4565" s="196"/>
      <c r="J4565" s="114"/>
      <c r="AW4565" s="117"/>
      <c r="AX4565" s="117"/>
      <c r="AY4565" s="117"/>
      <c r="AZ4565" s="117"/>
      <c r="BA4565" s="117"/>
      <c r="BB4565" s="117"/>
      <c r="BC4565" s="117"/>
      <c r="BD4565" s="117"/>
    </row>
    <row r="4566" spans="1:56" ht="15">
      <c r="A4566" s="114"/>
      <c r="B4566" s="388" t="s">
        <v>1114</v>
      </c>
      <c r="C4566" s="389">
        <v>0.6</v>
      </c>
      <c r="D4566" s="390" t="s">
        <v>10</v>
      </c>
      <c r="E4566" s="288" t="s">
        <v>1120</v>
      </c>
      <c r="F4566" s="288"/>
      <c r="G4566" s="230"/>
      <c r="H4566" s="395"/>
      <c r="I4566" s="196"/>
      <c r="J4566" s="114"/>
      <c r="AW4566" s="117"/>
      <c r="AX4566" s="117"/>
      <c r="AY4566" s="117"/>
      <c r="AZ4566" s="117"/>
      <c r="BA4566" s="117"/>
      <c r="BB4566" s="117"/>
      <c r="BC4566" s="117"/>
      <c r="BD4566" s="117"/>
    </row>
    <row r="4567" spans="1:56" ht="15">
      <c r="A4567" s="114"/>
      <c r="B4567" s="388" t="s">
        <v>1114</v>
      </c>
      <c r="C4567" s="389">
        <v>0.2</v>
      </c>
      <c r="D4567" s="390" t="s">
        <v>10</v>
      </c>
      <c r="E4567" s="288" t="s">
        <v>1121</v>
      </c>
      <c r="F4567" s="288"/>
      <c r="G4567" s="230"/>
      <c r="H4567" s="395"/>
      <c r="I4567" s="196"/>
      <c r="J4567" s="114"/>
      <c r="AW4567" s="117"/>
      <c r="AX4567" s="117"/>
      <c r="AY4567" s="117"/>
      <c r="AZ4567" s="117"/>
      <c r="BA4567" s="117"/>
      <c r="BB4567" s="117"/>
      <c r="BC4567" s="117"/>
      <c r="BD4567" s="117"/>
    </row>
    <row r="4568" spans="1:56" ht="15">
      <c r="A4568" s="114"/>
      <c r="B4568" s="196"/>
      <c r="C4568" s="196"/>
      <c r="D4568" s="196"/>
      <c r="E4568" s="196"/>
      <c r="F4568" s="196"/>
      <c r="G4568" s="196"/>
      <c r="H4568" s="196"/>
      <c r="I4568" s="196"/>
      <c r="J4568" s="114"/>
      <c r="AW4568" s="117"/>
      <c r="AX4568" s="117"/>
      <c r="AY4568" s="117"/>
      <c r="AZ4568" s="117"/>
      <c r="BA4568" s="117"/>
      <c r="BB4568" s="117"/>
      <c r="BC4568" s="117"/>
      <c r="BD4568" s="117"/>
    </row>
    <row r="4569" spans="1:56" ht="15">
      <c r="A4569" s="114"/>
      <c r="B4569" s="303" t="s">
        <v>1122</v>
      </c>
      <c r="C4569" s="362"/>
      <c r="D4569" s="362"/>
      <c r="E4569" s="196"/>
      <c r="F4569" s="196"/>
      <c r="G4569" s="196"/>
      <c r="H4569" s="196"/>
      <c r="I4569" s="196"/>
      <c r="J4569" s="114"/>
      <c r="AW4569" s="117"/>
      <c r="AX4569" s="117"/>
      <c r="AY4569" s="117"/>
      <c r="AZ4569" s="117"/>
      <c r="BA4569" s="117"/>
      <c r="BB4569" s="117"/>
      <c r="BC4569" s="117"/>
      <c r="BD4569" s="117"/>
    </row>
    <row r="4570" spans="1:56" ht="18">
      <c r="A4570" s="114"/>
      <c r="B4570" s="396" t="s">
        <v>1123</v>
      </c>
      <c r="C4570" s="289"/>
      <c r="D4570" s="290"/>
      <c r="E4570" s="397">
        <f>C4564*(C4566*2*(0.05+C4563+C4562)*C4561)</f>
        <v>56.160000000000004</v>
      </c>
      <c r="F4570" s="390" t="s">
        <v>1124</v>
      </c>
      <c r="G4570" s="196"/>
      <c r="H4570" s="196"/>
      <c r="I4570" s="196"/>
      <c r="J4570" s="114"/>
      <c r="AW4570" s="117"/>
      <c r="AX4570" s="117"/>
      <c r="AY4570" s="117"/>
      <c r="AZ4570" s="117"/>
      <c r="BA4570" s="117"/>
      <c r="BB4570" s="117"/>
      <c r="BC4570" s="117"/>
      <c r="BD4570" s="117"/>
    </row>
    <row r="4571" spans="1:56" ht="18">
      <c r="A4571" s="114"/>
      <c r="B4571" s="398" t="s">
        <v>1125</v>
      </c>
      <c r="C4571" s="172"/>
      <c r="D4571" s="173"/>
      <c r="E4571" s="397">
        <f>E4570-((C4560*0.05+C4560*C4563)*C4561)</f>
        <v>52.52</v>
      </c>
      <c r="F4571" s="390" t="s">
        <v>1124</v>
      </c>
      <c r="G4571" s="196"/>
      <c r="H4571" s="196"/>
      <c r="I4571" s="196"/>
      <c r="J4571" s="114"/>
      <c r="AW4571" s="117"/>
      <c r="AX4571" s="117"/>
      <c r="AY4571" s="117"/>
      <c r="AZ4571" s="117"/>
      <c r="BA4571" s="117"/>
      <c r="BB4571" s="117"/>
      <c r="BC4571" s="117"/>
      <c r="BD4571" s="117"/>
    </row>
    <row r="4572" spans="1:56" ht="15">
      <c r="A4572" s="114"/>
      <c r="B4572" s="399" t="s">
        <v>1126</v>
      </c>
      <c r="C4572" s="317"/>
      <c r="D4572" s="318"/>
      <c r="E4572" s="400">
        <f>(2*C4567)*C4561</f>
        <v>20.8</v>
      </c>
      <c r="F4572" s="390" t="s">
        <v>13</v>
      </c>
      <c r="G4572" s="196"/>
      <c r="H4572" s="196"/>
      <c r="I4572" s="196"/>
      <c r="J4572" s="114"/>
      <c r="AW4572" s="117"/>
      <c r="AX4572" s="117"/>
      <c r="AY4572" s="117"/>
      <c r="AZ4572" s="117"/>
      <c r="BA4572" s="117"/>
      <c r="BB4572" s="117"/>
      <c r="BC4572" s="117"/>
      <c r="BD4572" s="117"/>
    </row>
    <row r="4573" spans="1:56" ht="15">
      <c r="A4573" s="114"/>
      <c r="B4573" s="196"/>
      <c r="C4573" s="196"/>
      <c r="D4573" s="196"/>
      <c r="E4573" s="401"/>
      <c r="F4573" s="196"/>
      <c r="G4573" s="196"/>
      <c r="H4573" s="196"/>
      <c r="I4573" s="196"/>
      <c r="J4573" s="114"/>
      <c r="AW4573" s="117"/>
      <c r="AX4573" s="117"/>
      <c r="AY4573" s="117"/>
      <c r="AZ4573" s="117"/>
      <c r="BA4573" s="117"/>
      <c r="BB4573" s="117"/>
      <c r="BC4573" s="117"/>
      <c r="BD4573" s="117"/>
    </row>
    <row r="4574" spans="1:56" ht="15">
      <c r="A4574" s="114"/>
      <c r="B4574" s="303" t="s">
        <v>1127</v>
      </c>
      <c r="C4574" s="196"/>
      <c r="D4574" s="196"/>
      <c r="E4574" s="401"/>
      <c r="F4574" s="196"/>
      <c r="G4574" s="196"/>
      <c r="H4574" s="196"/>
      <c r="I4574" s="196"/>
      <c r="J4574" s="114"/>
      <c r="AW4574" s="117"/>
      <c r="AX4574" s="117"/>
      <c r="AY4574" s="117"/>
      <c r="AZ4574" s="117"/>
      <c r="BA4574" s="117"/>
      <c r="BB4574" s="117"/>
      <c r="BC4574" s="117"/>
      <c r="BD4574" s="117"/>
    </row>
    <row r="4575" spans="1:56" ht="18">
      <c r="A4575" s="114"/>
      <c r="B4575" s="398" t="s">
        <v>1128</v>
      </c>
      <c r="C4575" s="172"/>
      <c r="D4575" s="173"/>
      <c r="E4575" s="402">
        <f>E4572*0.05</f>
        <v>1.04</v>
      </c>
      <c r="F4575" s="390" t="s">
        <v>1124</v>
      </c>
      <c r="G4575" s="196"/>
      <c r="H4575" s="196"/>
      <c r="I4575" s="196"/>
      <c r="J4575" s="114"/>
      <c r="AW4575" s="117"/>
      <c r="AX4575" s="117"/>
      <c r="AY4575" s="117"/>
      <c r="AZ4575" s="117"/>
      <c r="BA4575" s="117"/>
      <c r="BB4575" s="117"/>
      <c r="BC4575" s="117"/>
      <c r="BD4575" s="117"/>
    </row>
    <row r="4576" spans="1:56" ht="15">
      <c r="A4576" s="114"/>
      <c r="B4576" s="398" t="s">
        <v>1129</v>
      </c>
      <c r="C4576" s="172"/>
      <c r="D4576" s="173"/>
      <c r="E4576" s="397">
        <f>C4563*2*C4561</f>
        <v>31.2</v>
      </c>
      <c r="F4576" s="390" t="s">
        <v>13</v>
      </c>
      <c r="G4576" s="393" t="s">
        <v>1108</v>
      </c>
      <c r="H4576" s="196" t="s">
        <v>1131</v>
      </c>
      <c r="I4576" s="393"/>
      <c r="J4576" s="114"/>
      <c r="AW4576" s="117"/>
      <c r="AX4576" s="117"/>
      <c r="AY4576" s="117"/>
      <c r="AZ4576" s="117"/>
      <c r="BA4576" s="117"/>
      <c r="BB4576" s="117"/>
      <c r="BC4576" s="117"/>
      <c r="BD4576" s="117"/>
    </row>
    <row r="4577" spans="1:56" ht="18">
      <c r="A4577" s="114"/>
      <c r="B4577" s="398" t="s">
        <v>1130</v>
      </c>
      <c r="C4577" s="172"/>
      <c r="D4577" s="173"/>
      <c r="E4577" s="402">
        <f>C4560*C4561*C4563</f>
        <v>3.12</v>
      </c>
      <c r="F4577" s="390" t="s">
        <v>1124</v>
      </c>
      <c r="G4577" s="196"/>
      <c r="H4577" s="196"/>
      <c r="I4577" s="196"/>
      <c r="J4577" s="114"/>
      <c r="AW4577" s="117"/>
      <c r="AX4577" s="117"/>
      <c r="AY4577" s="117"/>
      <c r="AZ4577" s="117"/>
      <c r="BA4577" s="117"/>
      <c r="BB4577" s="117"/>
      <c r="BC4577" s="117"/>
      <c r="BD4577" s="117"/>
    </row>
    <row r="4578" spans="1:56" ht="15">
      <c r="A4578" s="114"/>
      <c r="B4578" s="288"/>
      <c r="C4578" s="230"/>
      <c r="D4578" s="230"/>
      <c r="E4578" s="384"/>
      <c r="F4578" s="196"/>
      <c r="G4578" s="196"/>
      <c r="H4578" s="196"/>
      <c r="I4578" s="196"/>
      <c r="J4578" s="114"/>
      <c r="AW4578" s="117"/>
      <c r="AX4578" s="117"/>
      <c r="AY4578" s="117"/>
      <c r="AZ4578" s="117"/>
      <c r="BA4578" s="117"/>
      <c r="BB4578" s="117"/>
      <c r="BC4578" s="117"/>
      <c r="BD4578" s="117"/>
    </row>
    <row r="4579" spans="1:56" ht="15">
      <c r="A4579" s="114"/>
      <c r="B4579" s="288"/>
      <c r="C4579" s="230"/>
      <c r="D4579" s="230"/>
      <c r="E4579" s="384"/>
      <c r="F4579" s="196"/>
      <c r="G4579" s="196"/>
      <c r="H4579" s="196"/>
      <c r="I4579" s="196"/>
      <c r="J4579" s="114"/>
      <c r="AW4579" s="117"/>
      <c r="AX4579" s="117"/>
      <c r="AY4579" s="117"/>
      <c r="AZ4579" s="117"/>
      <c r="BA4579" s="117"/>
      <c r="BB4579" s="117"/>
      <c r="BC4579" s="117"/>
      <c r="BD4579" s="117"/>
    </row>
    <row r="4580" spans="1:56" ht="15">
      <c r="A4580" s="114"/>
      <c r="B4580" s="293"/>
      <c r="C4580" s="387"/>
      <c r="D4580" s="387"/>
      <c r="E4580" s="387"/>
      <c r="F4580" s="387"/>
      <c r="G4580" s="387"/>
      <c r="H4580" s="386"/>
      <c r="I4580" s="386"/>
      <c r="J4580" s="114"/>
      <c r="AW4580" s="117"/>
      <c r="AX4580" s="117"/>
      <c r="AY4580" s="117"/>
      <c r="AZ4580" s="117"/>
      <c r="BA4580" s="117"/>
      <c r="BB4580" s="117"/>
      <c r="BC4580" s="117"/>
      <c r="BD4580" s="117"/>
    </row>
    <row r="4581" spans="1:56">
      <c r="A4581" s="114"/>
      <c r="B4581" s="385" t="s">
        <v>1135</v>
      </c>
      <c r="C4581" s="196"/>
      <c r="D4581" s="196"/>
      <c r="E4581" s="196"/>
      <c r="F4581" s="196"/>
      <c r="G4581" s="196"/>
      <c r="H4581" s="196"/>
      <c r="I4581" s="196"/>
      <c r="J4581" s="114"/>
      <c r="AW4581" s="117"/>
      <c r="AX4581" s="117"/>
      <c r="AY4581" s="117"/>
      <c r="AZ4581" s="117"/>
      <c r="BA4581" s="117"/>
      <c r="BB4581" s="117"/>
      <c r="BC4581" s="117"/>
      <c r="BD4581" s="117"/>
    </row>
    <row r="4582" spans="1:56" ht="15">
      <c r="A4582" s="114"/>
      <c r="B4582" s="196"/>
      <c r="C4582" s="196"/>
      <c r="D4582" s="196"/>
      <c r="E4582" s="196"/>
      <c r="F4582" s="196"/>
      <c r="G4582" s="196"/>
      <c r="H4582" s="196"/>
      <c r="I4582" s="196"/>
      <c r="J4582" s="114"/>
      <c r="AW4582" s="117"/>
      <c r="AX4582" s="117"/>
      <c r="AY4582" s="117"/>
      <c r="AZ4582" s="117"/>
      <c r="BA4582" s="117"/>
      <c r="BB4582" s="117"/>
      <c r="BC4582" s="117"/>
      <c r="BD4582" s="117"/>
    </row>
    <row r="4583" spans="1:56" ht="15">
      <c r="A4583" s="114"/>
      <c r="B4583" s="388" t="s">
        <v>1110</v>
      </c>
      <c r="C4583" s="389">
        <v>0.2</v>
      </c>
      <c r="D4583" s="390" t="s">
        <v>10</v>
      </c>
      <c r="E4583" s="196"/>
      <c r="F4583" s="196"/>
      <c r="G4583" s="392"/>
      <c r="H4583" s="393"/>
      <c r="I4583" s="196"/>
      <c r="J4583" s="114"/>
      <c r="AW4583" s="117"/>
      <c r="AX4583" s="117"/>
      <c r="AY4583" s="117"/>
      <c r="AZ4583" s="117"/>
      <c r="BA4583" s="117"/>
      <c r="BB4583" s="117"/>
      <c r="BC4583" s="117"/>
      <c r="BD4583" s="117"/>
    </row>
    <row r="4584" spans="1:56" ht="15">
      <c r="A4584" s="114"/>
      <c r="B4584" s="388" t="s">
        <v>1111</v>
      </c>
      <c r="C4584" s="951">
        <v>68.099999999999994</v>
      </c>
      <c r="D4584" s="390" t="s">
        <v>10</v>
      </c>
      <c r="E4584" s="908"/>
      <c r="F4584" s="196"/>
      <c r="G4584" s="392"/>
      <c r="H4584" s="393"/>
      <c r="I4584" s="196"/>
      <c r="J4584" s="114"/>
      <c r="AW4584" s="117"/>
      <c r="AX4584" s="117"/>
      <c r="AY4584" s="117"/>
      <c r="AZ4584" s="117"/>
      <c r="BA4584" s="117"/>
      <c r="BB4584" s="117"/>
      <c r="BC4584" s="117"/>
      <c r="BD4584" s="117"/>
    </row>
    <row r="4585" spans="1:56" ht="15">
      <c r="A4585" s="114"/>
      <c r="B4585" s="388" t="s">
        <v>1112</v>
      </c>
      <c r="C4585" s="389">
        <v>0.55000000000000004</v>
      </c>
      <c r="D4585" s="390" t="s">
        <v>10</v>
      </c>
      <c r="E4585" s="196"/>
      <c r="F4585" s="196"/>
      <c r="G4585" s="392"/>
      <c r="H4585" s="393"/>
      <c r="I4585" s="196"/>
      <c r="J4585" s="114"/>
      <c r="AW4585" s="117"/>
      <c r="AX4585" s="117"/>
      <c r="AY4585" s="117"/>
      <c r="AZ4585" s="117"/>
      <c r="BA4585" s="117"/>
      <c r="BB4585" s="117"/>
      <c r="BC4585" s="117"/>
      <c r="BD4585" s="117"/>
    </row>
    <row r="4586" spans="1:56" ht="15">
      <c r="A4586" s="114"/>
      <c r="B4586" s="388" t="s">
        <v>1113</v>
      </c>
      <c r="C4586" s="389">
        <v>0.4</v>
      </c>
      <c r="D4586" s="390" t="s">
        <v>10</v>
      </c>
      <c r="E4586" s="196"/>
      <c r="F4586" s="196"/>
      <c r="G4586" s="392"/>
      <c r="H4586" s="394"/>
      <c r="I4586" s="196"/>
      <c r="J4586" s="114"/>
      <c r="AW4586" s="117"/>
      <c r="AX4586" s="117"/>
      <c r="AY4586" s="117"/>
      <c r="AZ4586" s="117"/>
      <c r="BA4586" s="117"/>
      <c r="BB4586" s="117"/>
      <c r="BC4586" s="117"/>
      <c r="BD4586" s="117"/>
    </row>
    <row r="4587" spans="1:56" ht="15">
      <c r="A4587" s="114"/>
      <c r="B4587" s="388" t="s">
        <v>1117</v>
      </c>
      <c r="C4587" s="389">
        <v>1</v>
      </c>
      <c r="D4587" s="390" t="s">
        <v>1118</v>
      </c>
      <c r="E4587" s="196"/>
      <c r="F4587" s="196"/>
      <c r="G4587" s="392"/>
      <c r="H4587" s="393"/>
      <c r="I4587" s="196"/>
      <c r="J4587" s="114"/>
      <c r="AW4587" s="117"/>
      <c r="AX4587" s="117"/>
      <c r="AY4587" s="117"/>
      <c r="AZ4587" s="117"/>
      <c r="BA4587" s="117"/>
      <c r="BB4587" s="117"/>
      <c r="BC4587" s="117"/>
      <c r="BD4587" s="117"/>
    </row>
    <row r="4588" spans="1:56" ht="15">
      <c r="A4588" s="114"/>
      <c r="B4588" s="392"/>
      <c r="C4588" s="393"/>
      <c r="D4588" s="196"/>
      <c r="E4588" s="196"/>
      <c r="F4588" s="196"/>
      <c r="G4588" s="392"/>
      <c r="H4588" s="393"/>
      <c r="I4588" s="196"/>
      <c r="J4588" s="114"/>
      <c r="AW4588" s="117"/>
      <c r="AX4588" s="117"/>
      <c r="AY4588" s="117"/>
      <c r="AZ4588" s="117"/>
      <c r="BA4588" s="117"/>
      <c r="BB4588" s="117"/>
      <c r="BC4588" s="117"/>
      <c r="BD4588" s="117"/>
    </row>
    <row r="4589" spans="1:56" ht="15">
      <c r="A4589" s="114"/>
      <c r="B4589" s="388" t="s">
        <v>1114</v>
      </c>
      <c r="C4589" s="389">
        <v>0.6</v>
      </c>
      <c r="D4589" s="390" t="s">
        <v>10</v>
      </c>
      <c r="E4589" s="288" t="s">
        <v>1120</v>
      </c>
      <c r="F4589" s="288"/>
      <c r="G4589" s="230"/>
      <c r="H4589" s="395"/>
      <c r="I4589" s="196"/>
      <c r="J4589" s="114"/>
      <c r="AW4589" s="117"/>
      <c r="AX4589" s="117"/>
      <c r="AY4589" s="117"/>
      <c r="AZ4589" s="117"/>
      <c r="BA4589" s="117"/>
      <c r="BB4589" s="117"/>
      <c r="BC4589" s="117"/>
      <c r="BD4589" s="117"/>
    </row>
    <row r="4590" spans="1:56" ht="15">
      <c r="A4590" s="114"/>
      <c r="B4590" s="388" t="s">
        <v>1114</v>
      </c>
      <c r="C4590" s="389">
        <v>0.2</v>
      </c>
      <c r="D4590" s="390" t="s">
        <v>10</v>
      </c>
      <c r="E4590" s="288" t="s">
        <v>1121</v>
      </c>
      <c r="F4590" s="288"/>
      <c r="G4590" s="230"/>
      <c r="H4590" s="395"/>
      <c r="I4590" s="196"/>
      <c r="J4590" s="114"/>
      <c r="AW4590" s="117"/>
      <c r="AX4590" s="117"/>
      <c r="AY4590" s="117"/>
      <c r="AZ4590" s="117"/>
      <c r="BA4590" s="117"/>
      <c r="BB4590" s="117"/>
      <c r="BC4590" s="117"/>
      <c r="BD4590" s="117"/>
    </row>
    <row r="4591" spans="1:56" ht="15">
      <c r="A4591" s="114"/>
      <c r="B4591" s="196"/>
      <c r="C4591" s="196"/>
      <c r="D4591" s="196"/>
      <c r="E4591" s="196"/>
      <c r="F4591" s="196"/>
      <c r="G4591" s="196"/>
      <c r="H4591" s="196"/>
      <c r="I4591" s="196"/>
      <c r="J4591" s="114"/>
      <c r="AW4591" s="117"/>
      <c r="AX4591" s="117"/>
      <c r="AY4591" s="117"/>
      <c r="AZ4591" s="117"/>
      <c r="BA4591" s="117"/>
      <c r="BB4591" s="117"/>
      <c r="BC4591" s="117"/>
      <c r="BD4591" s="117"/>
    </row>
    <row r="4592" spans="1:56" ht="15">
      <c r="A4592" s="114"/>
      <c r="B4592" s="303" t="s">
        <v>1122</v>
      </c>
      <c r="C4592" s="362"/>
      <c r="D4592" s="362"/>
      <c r="E4592" s="196"/>
      <c r="F4592" s="196"/>
      <c r="G4592" s="196"/>
      <c r="H4592" s="196"/>
      <c r="I4592" s="196"/>
      <c r="J4592" s="114"/>
      <c r="AW4592" s="117"/>
      <c r="AX4592" s="117"/>
      <c r="AY4592" s="117"/>
      <c r="AZ4592" s="117"/>
      <c r="BA4592" s="117"/>
      <c r="BB4592" s="117"/>
      <c r="BC4592" s="117"/>
      <c r="BD4592" s="117"/>
    </row>
    <row r="4593" spans="1:56" ht="18">
      <c r="A4593" s="114"/>
      <c r="B4593" s="396" t="s">
        <v>1123</v>
      </c>
      <c r="C4593" s="289"/>
      <c r="D4593" s="290"/>
      <c r="E4593" s="397">
        <f>C4587*(C4589*2*(0.05+C4586+C4585)*C4584)</f>
        <v>81.719999999999985</v>
      </c>
      <c r="F4593" s="390" t="s">
        <v>1124</v>
      </c>
      <c r="G4593" s="196"/>
      <c r="H4593" s="196"/>
      <c r="I4593" s="196"/>
      <c r="J4593" s="114"/>
      <c r="AW4593" s="117"/>
      <c r="AX4593" s="117"/>
      <c r="AY4593" s="117"/>
      <c r="AZ4593" s="117"/>
      <c r="BA4593" s="117"/>
      <c r="BB4593" s="117"/>
      <c r="BC4593" s="117"/>
      <c r="BD4593" s="117"/>
    </row>
    <row r="4594" spans="1:56" ht="18">
      <c r="A4594" s="114"/>
      <c r="B4594" s="398" t="s">
        <v>1125</v>
      </c>
      <c r="C4594" s="172"/>
      <c r="D4594" s="173"/>
      <c r="E4594" s="397">
        <f>E4593-((C4583*0.05+C4583*C4586)*C4584)</f>
        <v>75.59099999999998</v>
      </c>
      <c r="F4594" s="390" t="s">
        <v>1124</v>
      </c>
      <c r="G4594" s="196"/>
      <c r="H4594" s="196"/>
      <c r="I4594" s="196"/>
      <c r="J4594" s="114"/>
      <c r="AW4594" s="117"/>
      <c r="AX4594" s="117"/>
      <c r="AY4594" s="117"/>
      <c r="AZ4594" s="117"/>
      <c r="BA4594" s="117"/>
      <c r="BB4594" s="117"/>
      <c r="BC4594" s="117"/>
      <c r="BD4594" s="117"/>
    </row>
    <row r="4595" spans="1:56" ht="15">
      <c r="A4595" s="114"/>
      <c r="B4595" s="399" t="s">
        <v>1126</v>
      </c>
      <c r="C4595" s="317"/>
      <c r="D4595" s="318"/>
      <c r="E4595" s="400">
        <f>(2*C4590)*C4584</f>
        <v>27.24</v>
      </c>
      <c r="F4595" s="390" t="s">
        <v>13</v>
      </c>
      <c r="G4595" s="196"/>
      <c r="H4595" s="196"/>
      <c r="I4595" s="196"/>
      <c r="J4595" s="114"/>
      <c r="AW4595" s="117"/>
      <c r="AX4595" s="117"/>
      <c r="AY4595" s="117"/>
      <c r="AZ4595" s="117"/>
      <c r="BA4595" s="117"/>
      <c r="BB4595" s="117"/>
      <c r="BC4595" s="117"/>
      <c r="BD4595" s="117"/>
    </row>
    <row r="4596" spans="1:56" ht="15">
      <c r="A4596" s="114"/>
      <c r="B4596" s="196"/>
      <c r="C4596" s="196"/>
      <c r="D4596" s="196"/>
      <c r="E4596" s="401"/>
      <c r="F4596" s="196"/>
      <c r="G4596" s="196"/>
      <c r="H4596" s="196"/>
      <c r="I4596" s="196"/>
      <c r="J4596" s="114"/>
      <c r="AW4596" s="117"/>
      <c r="AX4596" s="117"/>
      <c r="AY4596" s="117"/>
      <c r="AZ4596" s="117"/>
      <c r="BA4596" s="117"/>
      <c r="BB4596" s="117"/>
      <c r="BC4596" s="117"/>
      <c r="BD4596" s="117"/>
    </row>
    <row r="4597" spans="1:56" ht="15">
      <c r="A4597" s="114"/>
      <c r="B4597" s="303" t="s">
        <v>1127</v>
      </c>
      <c r="C4597" s="196"/>
      <c r="D4597" s="196"/>
      <c r="E4597" s="401"/>
      <c r="F4597" s="196"/>
      <c r="G4597" s="196"/>
      <c r="H4597" s="196"/>
      <c r="I4597" s="196"/>
      <c r="J4597" s="114"/>
      <c r="AW4597" s="117"/>
      <c r="AX4597" s="117"/>
      <c r="AY4597" s="117"/>
      <c r="AZ4597" s="117"/>
      <c r="BA4597" s="117"/>
      <c r="BB4597" s="117"/>
      <c r="BC4597" s="117"/>
      <c r="BD4597" s="117"/>
    </row>
    <row r="4598" spans="1:56" ht="18">
      <c r="A4598" s="114"/>
      <c r="B4598" s="398" t="s">
        <v>1128</v>
      </c>
      <c r="C4598" s="172"/>
      <c r="D4598" s="173"/>
      <c r="E4598" s="402">
        <f>E4595*0.05</f>
        <v>1.3620000000000001</v>
      </c>
      <c r="F4598" s="390" t="s">
        <v>1124</v>
      </c>
      <c r="G4598" s="196"/>
      <c r="H4598" s="196"/>
      <c r="I4598" s="196"/>
      <c r="J4598" s="114"/>
      <c r="AW4598" s="117"/>
      <c r="AX4598" s="117"/>
      <c r="AY4598" s="117"/>
      <c r="AZ4598" s="117"/>
      <c r="BA4598" s="117"/>
      <c r="BB4598" s="117"/>
      <c r="BC4598" s="117"/>
      <c r="BD4598" s="117"/>
    </row>
    <row r="4599" spans="1:56" ht="15">
      <c r="A4599" s="114"/>
      <c r="B4599" s="398" t="s">
        <v>1129</v>
      </c>
      <c r="C4599" s="172"/>
      <c r="D4599" s="173"/>
      <c r="E4599" s="397">
        <f>C4586*2*C4584</f>
        <v>54.48</v>
      </c>
      <c r="F4599" s="390" t="s">
        <v>13</v>
      </c>
      <c r="G4599" s="393" t="s">
        <v>1108</v>
      </c>
      <c r="H4599" s="196" t="s">
        <v>1131</v>
      </c>
      <c r="I4599" s="393"/>
      <c r="J4599" s="114"/>
      <c r="AW4599" s="117"/>
      <c r="AX4599" s="117"/>
      <c r="AY4599" s="117"/>
      <c r="AZ4599" s="117"/>
      <c r="BA4599" s="117"/>
      <c r="BB4599" s="117"/>
      <c r="BC4599" s="117"/>
      <c r="BD4599" s="117"/>
    </row>
    <row r="4600" spans="1:56" ht="18">
      <c r="A4600" s="114"/>
      <c r="B4600" s="398" t="s">
        <v>1130</v>
      </c>
      <c r="C4600" s="172"/>
      <c r="D4600" s="173"/>
      <c r="E4600" s="402">
        <f>C4583*C4584*C4586</f>
        <v>5.4480000000000004</v>
      </c>
      <c r="F4600" s="390" t="s">
        <v>1124</v>
      </c>
      <c r="G4600" s="196"/>
      <c r="H4600" s="196"/>
      <c r="I4600" s="196"/>
      <c r="J4600" s="114"/>
      <c r="AW4600" s="117"/>
      <c r="AX4600" s="117"/>
      <c r="AY4600" s="117"/>
      <c r="AZ4600" s="117"/>
      <c r="BA4600" s="117"/>
      <c r="BB4600" s="117"/>
      <c r="BC4600" s="117"/>
      <c r="BD4600" s="117"/>
    </row>
    <row r="4601" spans="1:56" ht="15">
      <c r="A4601" s="114"/>
      <c r="B4601" s="288"/>
      <c r="C4601" s="230"/>
      <c r="D4601" s="230"/>
      <c r="E4601" s="384"/>
      <c r="F4601" s="196"/>
      <c r="G4601" s="196"/>
      <c r="H4601" s="196"/>
      <c r="I4601" s="196"/>
      <c r="J4601" s="114"/>
      <c r="AW4601" s="117"/>
      <c r="AX4601" s="117"/>
      <c r="AY4601" s="117"/>
      <c r="AZ4601" s="117"/>
      <c r="BA4601" s="117"/>
      <c r="BB4601" s="117"/>
      <c r="BC4601" s="117"/>
      <c r="BD4601" s="117"/>
    </row>
    <row r="4602" spans="1:56" ht="15">
      <c r="A4602" s="114"/>
      <c r="B4602" s="293"/>
      <c r="C4602" s="387"/>
      <c r="D4602" s="387"/>
      <c r="E4602" s="387"/>
      <c r="F4602" s="387"/>
      <c r="G4602" s="387"/>
      <c r="H4602" s="386"/>
      <c r="I4602" s="386"/>
      <c r="J4602" s="114"/>
      <c r="AW4602" s="117"/>
      <c r="AX4602" s="117"/>
      <c r="AY4602" s="117"/>
      <c r="AZ4602" s="117"/>
      <c r="BA4602" s="117"/>
      <c r="BB4602" s="117"/>
      <c r="BC4602" s="117"/>
      <c r="BD4602" s="117"/>
    </row>
    <row r="4603" spans="1:56">
      <c r="A4603" s="114"/>
      <c r="B4603" s="115"/>
      <c r="C4603" s="115"/>
      <c r="D4603" s="115"/>
      <c r="E4603" s="115"/>
      <c r="F4603" s="115"/>
      <c r="G4603" s="115"/>
      <c r="H4603" s="115"/>
      <c r="I4603" s="115"/>
      <c r="J4603" s="114"/>
      <c r="AW4603" s="117"/>
      <c r="AX4603" s="117"/>
      <c r="AY4603" s="117"/>
      <c r="AZ4603" s="117"/>
      <c r="BA4603" s="117"/>
      <c r="BB4603" s="117"/>
      <c r="BC4603" s="117"/>
      <c r="BD4603" s="117"/>
    </row>
    <row r="4604" spans="1:56" ht="15">
      <c r="A4604" s="114"/>
      <c r="B4604" s="293"/>
      <c r="C4604" s="387"/>
      <c r="D4604" s="387"/>
      <c r="E4604" s="387"/>
      <c r="F4604" s="387"/>
      <c r="G4604" s="387"/>
      <c r="H4604" s="386"/>
      <c r="I4604" s="386"/>
      <c r="J4604" s="114"/>
      <c r="AW4604" s="117"/>
      <c r="AX4604" s="117"/>
      <c r="AY4604" s="117"/>
      <c r="AZ4604" s="117"/>
      <c r="BA4604" s="117"/>
      <c r="BB4604" s="117"/>
      <c r="BC4604" s="117"/>
      <c r="BD4604" s="117"/>
    </row>
    <row r="4605" spans="1:56">
      <c r="A4605" s="114"/>
      <c r="B4605" s="385" t="s">
        <v>1136</v>
      </c>
      <c r="C4605" s="196"/>
      <c r="D4605" s="196"/>
      <c r="E4605" s="196"/>
      <c r="F4605" s="196"/>
      <c r="G4605" s="196"/>
      <c r="H4605" s="196"/>
      <c r="I4605" s="196"/>
      <c r="J4605" s="114"/>
      <c r="AW4605" s="117"/>
      <c r="AX4605" s="117"/>
      <c r="AY4605" s="117"/>
      <c r="AZ4605" s="117"/>
      <c r="BA4605" s="117"/>
      <c r="BB4605" s="117"/>
      <c r="BC4605" s="117"/>
      <c r="BD4605" s="117"/>
    </row>
    <row r="4606" spans="1:56" ht="15">
      <c r="A4606" s="114"/>
      <c r="B4606" s="196"/>
      <c r="C4606" s="196"/>
      <c r="D4606" s="196"/>
      <c r="E4606" s="196"/>
      <c r="F4606" s="196"/>
      <c r="G4606" s="196"/>
      <c r="H4606" s="196"/>
      <c r="I4606" s="196"/>
      <c r="J4606" s="114"/>
      <c r="AW4606" s="117"/>
      <c r="AX4606" s="117"/>
      <c r="AY4606" s="117"/>
      <c r="AZ4606" s="117"/>
      <c r="BA4606" s="117"/>
      <c r="BB4606" s="117"/>
      <c r="BC4606" s="117"/>
      <c r="BD4606" s="117"/>
    </row>
    <row r="4607" spans="1:56" ht="15">
      <c r="A4607" s="114"/>
      <c r="B4607" s="388" t="s">
        <v>1110</v>
      </c>
      <c r="C4607" s="389">
        <v>0.2</v>
      </c>
      <c r="D4607" s="390" t="s">
        <v>10</v>
      </c>
      <c r="E4607" s="196"/>
      <c r="F4607" s="196"/>
      <c r="G4607" s="392"/>
      <c r="H4607" s="393"/>
      <c r="I4607" s="196"/>
      <c r="J4607" s="114"/>
      <c r="AW4607" s="117"/>
      <c r="AX4607" s="117"/>
      <c r="AY4607" s="117"/>
      <c r="AZ4607" s="117"/>
      <c r="BA4607" s="117"/>
      <c r="BB4607" s="117"/>
      <c r="BC4607" s="117"/>
      <c r="BD4607" s="117"/>
    </row>
    <row r="4608" spans="1:56" ht="15">
      <c r="A4608" s="114"/>
      <c r="B4608" s="388" t="s">
        <v>1111</v>
      </c>
      <c r="C4608" s="951">
        <v>140.82</v>
      </c>
      <c r="D4608" s="390" t="s">
        <v>10</v>
      </c>
      <c r="E4608" s="196"/>
      <c r="F4608" s="908"/>
      <c r="G4608" s="392"/>
      <c r="H4608" s="393"/>
      <c r="I4608" s="196"/>
      <c r="J4608" s="114"/>
      <c r="AW4608" s="117"/>
      <c r="AX4608" s="117"/>
      <c r="AY4608" s="117"/>
      <c r="AZ4608" s="117"/>
      <c r="BA4608" s="117"/>
      <c r="BB4608" s="117"/>
      <c r="BC4608" s="117"/>
      <c r="BD4608" s="117"/>
    </row>
    <row r="4609" spans="1:56" ht="15">
      <c r="A4609" s="114"/>
      <c r="B4609" s="388" t="s">
        <v>1112</v>
      </c>
      <c r="C4609" s="389">
        <v>0.55000000000000004</v>
      </c>
      <c r="D4609" s="390" t="s">
        <v>10</v>
      </c>
      <c r="E4609" s="196"/>
      <c r="F4609" s="196"/>
      <c r="G4609" s="392"/>
      <c r="H4609" s="393"/>
      <c r="I4609" s="196"/>
      <c r="J4609" s="114"/>
      <c r="AW4609" s="117"/>
      <c r="AX4609" s="117"/>
      <c r="AY4609" s="117"/>
      <c r="AZ4609" s="117"/>
      <c r="BA4609" s="117"/>
      <c r="BB4609" s="117"/>
      <c r="BC4609" s="117"/>
      <c r="BD4609" s="117"/>
    </row>
    <row r="4610" spans="1:56" ht="15">
      <c r="A4610" s="114"/>
      <c r="B4610" s="388" t="s">
        <v>1113</v>
      </c>
      <c r="C4610" s="389">
        <v>0.5</v>
      </c>
      <c r="D4610" s="390" t="s">
        <v>10</v>
      </c>
      <c r="E4610" s="196"/>
      <c r="F4610" s="196"/>
      <c r="G4610" s="392"/>
      <c r="H4610" s="394"/>
      <c r="I4610" s="196"/>
      <c r="J4610" s="114"/>
      <c r="AW4610" s="117"/>
      <c r="AX4610" s="117"/>
      <c r="AY4610" s="117"/>
      <c r="AZ4610" s="117"/>
      <c r="BA4610" s="117"/>
      <c r="BB4610" s="117"/>
      <c r="BC4610" s="117"/>
      <c r="BD4610" s="117"/>
    </row>
    <row r="4611" spans="1:56" ht="15">
      <c r="A4611" s="114"/>
      <c r="B4611" s="388" t="s">
        <v>1117</v>
      </c>
      <c r="C4611" s="389">
        <v>1</v>
      </c>
      <c r="D4611" s="390" t="s">
        <v>1118</v>
      </c>
      <c r="E4611" s="196"/>
      <c r="F4611" s="196"/>
      <c r="G4611" s="392"/>
      <c r="H4611" s="393"/>
      <c r="I4611" s="196"/>
      <c r="J4611" s="114"/>
      <c r="AW4611" s="117"/>
      <c r="AX4611" s="117"/>
      <c r="AY4611" s="117"/>
      <c r="AZ4611" s="117"/>
      <c r="BA4611" s="117"/>
      <c r="BB4611" s="117"/>
      <c r="BC4611" s="117"/>
      <c r="BD4611" s="117"/>
    </row>
    <row r="4612" spans="1:56" ht="15">
      <c r="A4612" s="114"/>
      <c r="B4612" s="392"/>
      <c r="C4612" s="393"/>
      <c r="D4612" s="196"/>
      <c r="E4612" s="196"/>
      <c r="F4612" s="196"/>
      <c r="G4612" s="392"/>
      <c r="H4612" s="393"/>
      <c r="I4612" s="196"/>
      <c r="J4612" s="114"/>
      <c r="AW4612" s="117"/>
      <c r="AX4612" s="117"/>
      <c r="AY4612" s="117"/>
      <c r="AZ4612" s="117"/>
      <c r="BA4612" s="117"/>
      <c r="BB4612" s="117"/>
      <c r="BC4612" s="117"/>
      <c r="BD4612" s="117"/>
    </row>
    <row r="4613" spans="1:56" ht="15">
      <c r="A4613" s="114"/>
      <c r="B4613" s="388" t="s">
        <v>1114</v>
      </c>
      <c r="C4613" s="389">
        <v>0.6</v>
      </c>
      <c r="D4613" s="390" t="s">
        <v>10</v>
      </c>
      <c r="E4613" s="288" t="s">
        <v>1120</v>
      </c>
      <c r="F4613" s="288"/>
      <c r="G4613" s="230"/>
      <c r="H4613" s="395"/>
      <c r="I4613" s="196"/>
      <c r="J4613" s="114"/>
      <c r="AW4613" s="117"/>
      <c r="AX4613" s="117"/>
      <c r="AY4613" s="117"/>
      <c r="AZ4613" s="117"/>
      <c r="BA4613" s="117"/>
      <c r="BB4613" s="117"/>
      <c r="BC4613" s="117"/>
      <c r="BD4613" s="117"/>
    </row>
    <row r="4614" spans="1:56" ht="15">
      <c r="A4614" s="114"/>
      <c r="B4614" s="388" t="s">
        <v>1114</v>
      </c>
      <c r="C4614" s="389">
        <v>0.2</v>
      </c>
      <c r="D4614" s="390" t="s">
        <v>10</v>
      </c>
      <c r="E4614" s="288" t="s">
        <v>1121</v>
      </c>
      <c r="F4614" s="288"/>
      <c r="G4614" s="230"/>
      <c r="H4614" s="395"/>
      <c r="I4614" s="196"/>
      <c r="J4614" s="114"/>
      <c r="AW4614" s="117"/>
      <c r="AX4614" s="117"/>
      <c r="AY4614" s="117"/>
      <c r="AZ4614" s="117"/>
      <c r="BA4614" s="117"/>
      <c r="BB4614" s="117"/>
      <c r="BC4614" s="117"/>
      <c r="BD4614" s="117"/>
    </row>
    <row r="4615" spans="1:56" ht="15">
      <c r="A4615" s="114"/>
      <c r="B4615" s="196"/>
      <c r="C4615" s="196"/>
      <c r="D4615" s="196"/>
      <c r="E4615" s="196"/>
      <c r="F4615" s="196"/>
      <c r="G4615" s="196"/>
      <c r="H4615" s="196"/>
      <c r="I4615" s="196"/>
      <c r="J4615" s="114"/>
      <c r="AW4615" s="117"/>
      <c r="AX4615" s="117"/>
      <c r="AY4615" s="117"/>
      <c r="AZ4615" s="117"/>
      <c r="BA4615" s="117"/>
      <c r="BB4615" s="117"/>
      <c r="BC4615" s="117"/>
      <c r="BD4615" s="117"/>
    </row>
    <row r="4616" spans="1:56" ht="15">
      <c r="A4616" s="114"/>
      <c r="B4616" s="303" t="s">
        <v>1122</v>
      </c>
      <c r="C4616" s="362"/>
      <c r="D4616" s="362"/>
      <c r="E4616" s="196"/>
      <c r="F4616" s="196"/>
      <c r="G4616" s="196"/>
      <c r="H4616" s="196"/>
      <c r="I4616" s="196"/>
      <c r="J4616" s="114"/>
      <c r="AW4616" s="117"/>
      <c r="AX4616" s="117"/>
      <c r="AY4616" s="117"/>
      <c r="AZ4616" s="117"/>
      <c r="BA4616" s="117"/>
      <c r="BB4616" s="117"/>
      <c r="BC4616" s="117"/>
      <c r="BD4616" s="117"/>
    </row>
    <row r="4617" spans="1:56" ht="18">
      <c r="A4617" s="114"/>
      <c r="B4617" s="396" t="s">
        <v>1123</v>
      </c>
      <c r="C4617" s="289"/>
      <c r="D4617" s="290"/>
      <c r="E4617" s="397">
        <f>C4611*(C4613*2*(0.05+C4610+C4609)*C4608)</f>
        <v>185.88239999999999</v>
      </c>
      <c r="F4617" s="390" t="s">
        <v>1124</v>
      </c>
      <c r="G4617" s="196"/>
      <c r="H4617" s="196"/>
      <c r="I4617" s="196"/>
      <c r="J4617" s="114"/>
      <c r="AW4617" s="117"/>
      <c r="AX4617" s="117"/>
      <c r="AY4617" s="117"/>
      <c r="AZ4617" s="117"/>
      <c r="BA4617" s="117"/>
      <c r="BB4617" s="117"/>
      <c r="BC4617" s="117"/>
      <c r="BD4617" s="117"/>
    </row>
    <row r="4618" spans="1:56" ht="18">
      <c r="A4618" s="114"/>
      <c r="B4618" s="398" t="s">
        <v>1125</v>
      </c>
      <c r="C4618" s="172"/>
      <c r="D4618" s="173"/>
      <c r="E4618" s="397">
        <f>E4617-((C4607*0.05+C4607*C4610)*C4608)</f>
        <v>170.3922</v>
      </c>
      <c r="F4618" s="390" t="s">
        <v>1124</v>
      </c>
      <c r="G4618" s="196"/>
      <c r="H4618" s="196"/>
      <c r="I4618" s="196"/>
      <c r="J4618" s="114"/>
      <c r="AW4618" s="117"/>
      <c r="AX4618" s="117"/>
      <c r="AY4618" s="117"/>
      <c r="AZ4618" s="117"/>
      <c r="BA4618" s="117"/>
      <c r="BB4618" s="117"/>
      <c r="BC4618" s="117"/>
      <c r="BD4618" s="117"/>
    </row>
    <row r="4619" spans="1:56" ht="15">
      <c r="A4619" s="114"/>
      <c r="B4619" s="399" t="s">
        <v>1126</v>
      </c>
      <c r="C4619" s="317"/>
      <c r="D4619" s="318"/>
      <c r="E4619" s="400">
        <f>(2*C4614)*C4608</f>
        <v>56.328000000000003</v>
      </c>
      <c r="F4619" s="390" t="s">
        <v>13</v>
      </c>
      <c r="G4619" s="196"/>
      <c r="H4619" s="196"/>
      <c r="I4619" s="196"/>
      <c r="J4619" s="114"/>
      <c r="AW4619" s="117"/>
      <c r="AX4619" s="117"/>
      <c r="AY4619" s="117"/>
      <c r="AZ4619" s="117"/>
      <c r="BA4619" s="117"/>
      <c r="BB4619" s="117"/>
      <c r="BC4619" s="117"/>
      <c r="BD4619" s="117"/>
    </row>
    <row r="4620" spans="1:56" ht="15">
      <c r="A4620" s="114"/>
      <c r="B4620" s="196"/>
      <c r="C4620" s="196"/>
      <c r="D4620" s="196"/>
      <c r="E4620" s="401"/>
      <c r="F4620" s="196"/>
      <c r="G4620" s="196"/>
      <c r="H4620" s="196"/>
      <c r="I4620" s="196"/>
      <c r="J4620" s="114"/>
      <c r="AW4620" s="117"/>
      <c r="AX4620" s="117"/>
      <c r="AY4620" s="117"/>
      <c r="AZ4620" s="117"/>
      <c r="BA4620" s="117"/>
      <c r="BB4620" s="117"/>
      <c r="BC4620" s="117"/>
      <c r="BD4620" s="117"/>
    </row>
    <row r="4621" spans="1:56" ht="15">
      <c r="A4621" s="114"/>
      <c r="B4621" s="303" t="s">
        <v>1127</v>
      </c>
      <c r="C4621" s="196"/>
      <c r="D4621" s="196"/>
      <c r="E4621" s="401"/>
      <c r="F4621" s="196"/>
      <c r="G4621" s="196"/>
      <c r="H4621" s="196"/>
      <c r="I4621" s="196"/>
      <c r="J4621" s="114"/>
      <c r="AW4621" s="117"/>
      <c r="AX4621" s="117"/>
      <c r="AY4621" s="117"/>
      <c r="AZ4621" s="117"/>
      <c r="BA4621" s="117"/>
      <c r="BB4621" s="117"/>
      <c r="BC4621" s="117"/>
      <c r="BD4621" s="117"/>
    </row>
    <row r="4622" spans="1:56" ht="18">
      <c r="A4622" s="114"/>
      <c r="B4622" s="398" t="s">
        <v>1128</v>
      </c>
      <c r="C4622" s="172"/>
      <c r="D4622" s="173"/>
      <c r="E4622" s="402">
        <f>E4619*0.05</f>
        <v>2.8164000000000002</v>
      </c>
      <c r="F4622" s="390" t="s">
        <v>1124</v>
      </c>
      <c r="G4622" s="196"/>
      <c r="H4622" s="196"/>
      <c r="I4622" s="196"/>
      <c r="J4622" s="114"/>
      <c r="AW4622" s="117"/>
      <c r="AX4622" s="117"/>
      <c r="AY4622" s="117"/>
      <c r="AZ4622" s="117"/>
      <c r="BA4622" s="117"/>
      <c r="BB4622" s="117"/>
      <c r="BC4622" s="117"/>
      <c r="BD4622" s="117"/>
    </row>
    <row r="4623" spans="1:56" ht="15">
      <c r="A4623" s="114"/>
      <c r="B4623" s="398" t="s">
        <v>1129</v>
      </c>
      <c r="C4623" s="172"/>
      <c r="D4623" s="173"/>
      <c r="E4623" s="397">
        <f>C4610*2*C4608</f>
        <v>140.82</v>
      </c>
      <c r="F4623" s="390" t="s">
        <v>13</v>
      </c>
      <c r="G4623" s="393" t="s">
        <v>1108</v>
      </c>
      <c r="H4623" s="196" t="s">
        <v>1131</v>
      </c>
      <c r="I4623" s="393"/>
      <c r="J4623" s="114"/>
      <c r="AW4623" s="117"/>
      <c r="AX4623" s="117"/>
      <c r="AY4623" s="117"/>
      <c r="AZ4623" s="117"/>
      <c r="BA4623" s="117"/>
      <c r="BB4623" s="117"/>
      <c r="BC4623" s="117"/>
      <c r="BD4623" s="117"/>
    </row>
    <row r="4624" spans="1:56" ht="18">
      <c r="A4624" s="114"/>
      <c r="B4624" s="398" t="s">
        <v>1130</v>
      </c>
      <c r="C4624" s="172"/>
      <c r="D4624" s="173"/>
      <c r="E4624" s="402">
        <f>C4607*C4608*C4610</f>
        <v>14.082000000000001</v>
      </c>
      <c r="F4624" s="390" t="s">
        <v>1124</v>
      </c>
      <c r="G4624" s="196"/>
      <c r="H4624" s="196"/>
      <c r="I4624" s="196"/>
      <c r="J4624" s="114"/>
      <c r="AW4624" s="117"/>
      <c r="AX4624" s="117"/>
      <c r="AY4624" s="117"/>
      <c r="AZ4624" s="117"/>
      <c r="BA4624" s="117"/>
      <c r="BB4624" s="117"/>
      <c r="BC4624" s="117"/>
      <c r="BD4624" s="117"/>
    </row>
    <row r="4625" spans="1:56" ht="15">
      <c r="A4625" s="114"/>
      <c r="B4625" s="288"/>
      <c r="C4625" s="230"/>
      <c r="D4625" s="230"/>
      <c r="E4625" s="384"/>
      <c r="F4625" s="196"/>
      <c r="G4625" s="196"/>
      <c r="H4625" s="196"/>
      <c r="I4625" s="196"/>
      <c r="J4625" s="114"/>
      <c r="AW4625" s="117"/>
      <c r="AX4625" s="117"/>
      <c r="AY4625" s="117"/>
      <c r="AZ4625" s="117"/>
      <c r="BA4625" s="117"/>
      <c r="BB4625" s="117"/>
      <c r="BC4625" s="117"/>
      <c r="BD4625" s="117"/>
    </row>
    <row r="4626" spans="1:56" ht="15">
      <c r="A4626" s="114"/>
      <c r="B4626" s="293"/>
      <c r="C4626" s="387"/>
      <c r="D4626" s="387"/>
      <c r="E4626" s="387"/>
      <c r="F4626" s="387"/>
      <c r="G4626" s="387"/>
      <c r="H4626" s="386"/>
      <c r="I4626" s="386"/>
      <c r="J4626" s="114"/>
      <c r="AW4626" s="117"/>
      <c r="AX4626" s="117"/>
      <c r="AY4626" s="117"/>
      <c r="AZ4626" s="117"/>
      <c r="BA4626" s="117"/>
      <c r="BB4626" s="117"/>
      <c r="BC4626" s="117"/>
      <c r="BD4626" s="117"/>
    </row>
    <row r="4627" spans="1:56" ht="15">
      <c r="A4627" s="114"/>
      <c r="B4627" s="293"/>
      <c r="C4627" s="387"/>
      <c r="D4627" s="387"/>
      <c r="E4627" s="387"/>
      <c r="F4627" s="387"/>
      <c r="G4627" s="387"/>
      <c r="H4627" s="386"/>
      <c r="I4627" s="386"/>
      <c r="J4627" s="114"/>
      <c r="AW4627" s="117"/>
      <c r="AX4627" s="117"/>
      <c r="AY4627" s="117"/>
      <c r="AZ4627" s="117"/>
      <c r="BA4627" s="117"/>
      <c r="BB4627" s="117"/>
      <c r="BC4627" s="117"/>
      <c r="BD4627" s="117"/>
    </row>
    <row r="4628" spans="1:56">
      <c r="A4628" s="114"/>
      <c r="B4628" s="385" t="s">
        <v>1134</v>
      </c>
      <c r="C4628" s="196"/>
      <c r="D4628" s="196"/>
      <c r="E4628" s="196"/>
      <c r="F4628" s="196"/>
      <c r="G4628" s="196"/>
      <c r="H4628" s="196"/>
      <c r="I4628" s="196"/>
      <c r="J4628" s="114"/>
      <c r="AW4628" s="117"/>
      <c r="AX4628" s="117"/>
      <c r="AY4628" s="117"/>
      <c r="AZ4628" s="117"/>
      <c r="BA4628" s="117"/>
      <c r="BB4628" s="117"/>
      <c r="BC4628" s="117"/>
      <c r="BD4628" s="117"/>
    </row>
    <row r="4629" spans="1:56" ht="15">
      <c r="A4629" s="114"/>
      <c r="B4629" s="196"/>
      <c r="C4629" s="196"/>
      <c r="D4629" s="196"/>
      <c r="E4629" s="196"/>
      <c r="F4629" s="196"/>
      <c r="G4629" s="196"/>
      <c r="H4629" s="196"/>
      <c r="I4629" s="196"/>
      <c r="J4629" s="114"/>
      <c r="AW4629" s="117"/>
      <c r="AX4629" s="117"/>
      <c r="AY4629" s="117"/>
      <c r="AZ4629" s="117"/>
      <c r="BA4629" s="117"/>
      <c r="BB4629" s="117"/>
      <c r="BC4629" s="117"/>
      <c r="BD4629" s="117"/>
    </row>
    <row r="4630" spans="1:56" ht="15">
      <c r="A4630" s="114"/>
      <c r="B4630" s="388" t="s">
        <v>1110</v>
      </c>
      <c r="C4630" s="389">
        <v>0.2</v>
      </c>
      <c r="D4630" s="390" t="s">
        <v>10</v>
      </c>
      <c r="E4630" s="196"/>
      <c r="F4630" s="196"/>
      <c r="G4630" s="392"/>
      <c r="H4630" s="393"/>
      <c r="I4630" s="196"/>
      <c r="J4630" s="114"/>
      <c r="AW4630" s="117"/>
      <c r="AX4630" s="117"/>
      <c r="AY4630" s="117"/>
      <c r="AZ4630" s="117"/>
      <c r="BA4630" s="117"/>
      <c r="BB4630" s="117"/>
      <c r="BC4630" s="117"/>
      <c r="BD4630" s="117"/>
    </row>
    <row r="4631" spans="1:56" ht="15">
      <c r="A4631" s="114"/>
      <c r="B4631" s="388" t="s">
        <v>1111</v>
      </c>
      <c r="C4631" s="951">
        <v>337.6</v>
      </c>
      <c r="D4631" s="390" t="s">
        <v>10</v>
      </c>
      <c r="E4631" s="196"/>
      <c r="F4631" s="196"/>
      <c r="G4631" s="392"/>
      <c r="H4631" s="393"/>
      <c r="I4631" s="196"/>
      <c r="J4631" s="114"/>
      <c r="AW4631" s="117"/>
      <c r="AX4631" s="117"/>
      <c r="AY4631" s="117"/>
      <c r="AZ4631" s="117"/>
      <c r="BA4631" s="117"/>
      <c r="BB4631" s="117"/>
      <c r="BC4631" s="117"/>
      <c r="BD4631" s="117"/>
    </row>
    <row r="4632" spans="1:56" ht="15">
      <c r="A4632" s="114"/>
      <c r="B4632" s="388" t="s">
        <v>1112</v>
      </c>
      <c r="C4632" s="389">
        <v>0.55000000000000004</v>
      </c>
      <c r="D4632" s="390" t="s">
        <v>10</v>
      </c>
      <c r="E4632" s="196"/>
      <c r="F4632" s="908"/>
      <c r="G4632" s="392"/>
      <c r="H4632" s="393"/>
      <c r="I4632" s="196"/>
      <c r="J4632" s="114"/>
      <c r="AW4632" s="117"/>
      <c r="AX4632" s="117"/>
      <c r="AY4632" s="117"/>
      <c r="AZ4632" s="117"/>
      <c r="BA4632" s="117"/>
      <c r="BB4632" s="117"/>
      <c r="BC4632" s="117"/>
      <c r="BD4632" s="117"/>
    </row>
    <row r="4633" spans="1:56" ht="15">
      <c r="A4633" s="114"/>
      <c r="B4633" s="388" t="s">
        <v>1113</v>
      </c>
      <c r="C4633" s="389">
        <v>0.6</v>
      </c>
      <c r="D4633" s="390" t="s">
        <v>10</v>
      </c>
      <c r="E4633" s="196"/>
      <c r="F4633" s="196"/>
      <c r="G4633" s="392"/>
      <c r="H4633" s="394"/>
      <c r="I4633" s="196"/>
      <c r="J4633" s="114"/>
      <c r="AW4633" s="117"/>
      <c r="AX4633" s="117"/>
      <c r="AY4633" s="117"/>
      <c r="AZ4633" s="117"/>
      <c r="BA4633" s="117"/>
      <c r="BB4633" s="117"/>
      <c r="BC4633" s="117"/>
      <c r="BD4633" s="117"/>
    </row>
    <row r="4634" spans="1:56" ht="15">
      <c r="A4634" s="114"/>
      <c r="B4634" s="388" t="s">
        <v>1117</v>
      </c>
      <c r="C4634" s="389">
        <v>1</v>
      </c>
      <c r="D4634" s="390" t="s">
        <v>1118</v>
      </c>
      <c r="E4634" s="196"/>
      <c r="F4634" s="196"/>
      <c r="G4634" s="392"/>
      <c r="H4634" s="393"/>
      <c r="I4634" s="196"/>
      <c r="J4634" s="114"/>
      <c r="AW4634" s="117"/>
      <c r="AX4634" s="117"/>
      <c r="AY4634" s="117"/>
      <c r="AZ4634" s="117"/>
      <c r="BA4634" s="117"/>
      <c r="BB4634" s="117"/>
      <c r="BC4634" s="117"/>
      <c r="BD4634" s="117"/>
    </row>
    <row r="4635" spans="1:56" ht="15">
      <c r="A4635" s="114"/>
      <c r="B4635" s="392"/>
      <c r="C4635" s="393"/>
      <c r="D4635" s="196"/>
      <c r="E4635" s="196"/>
      <c r="F4635" s="196"/>
      <c r="G4635" s="392"/>
      <c r="H4635" s="393"/>
      <c r="I4635" s="196"/>
      <c r="J4635" s="114"/>
      <c r="AW4635" s="117"/>
      <c r="AX4635" s="117"/>
      <c r="AY4635" s="117"/>
      <c r="AZ4635" s="117"/>
      <c r="BA4635" s="117"/>
      <c r="BB4635" s="117"/>
      <c r="BC4635" s="117"/>
      <c r="BD4635" s="117"/>
    </row>
    <row r="4636" spans="1:56" ht="15">
      <c r="A4636" s="114"/>
      <c r="B4636" s="388" t="s">
        <v>1114</v>
      </c>
      <c r="C4636" s="389">
        <v>0.6</v>
      </c>
      <c r="D4636" s="390" t="s">
        <v>10</v>
      </c>
      <c r="E4636" s="288" t="s">
        <v>1120</v>
      </c>
      <c r="F4636" s="288"/>
      <c r="G4636" s="230"/>
      <c r="H4636" s="395"/>
      <c r="I4636" s="196"/>
      <c r="J4636" s="114"/>
      <c r="AW4636" s="117"/>
      <c r="AX4636" s="117"/>
      <c r="AY4636" s="117"/>
      <c r="AZ4636" s="117"/>
      <c r="BA4636" s="117"/>
      <c r="BB4636" s="117"/>
      <c r="BC4636" s="117"/>
      <c r="BD4636" s="117"/>
    </row>
    <row r="4637" spans="1:56" ht="15">
      <c r="A4637" s="114"/>
      <c r="B4637" s="388" t="s">
        <v>1114</v>
      </c>
      <c r="C4637" s="389">
        <v>0.2</v>
      </c>
      <c r="D4637" s="390" t="s">
        <v>10</v>
      </c>
      <c r="E4637" s="288" t="s">
        <v>1121</v>
      </c>
      <c r="F4637" s="288"/>
      <c r="G4637" s="230"/>
      <c r="H4637" s="395"/>
      <c r="I4637" s="196"/>
      <c r="J4637" s="114"/>
      <c r="AW4637" s="117"/>
      <c r="AX4637" s="117"/>
      <c r="AY4637" s="117"/>
      <c r="AZ4637" s="117"/>
      <c r="BA4637" s="117"/>
      <c r="BB4637" s="117"/>
      <c r="BC4637" s="117"/>
      <c r="BD4637" s="117"/>
    </row>
    <row r="4638" spans="1:56" ht="15">
      <c r="A4638" s="114"/>
      <c r="B4638" s="196"/>
      <c r="C4638" s="196"/>
      <c r="D4638" s="196"/>
      <c r="E4638" s="196"/>
      <c r="F4638" s="196"/>
      <c r="G4638" s="196"/>
      <c r="H4638" s="196"/>
      <c r="I4638" s="196"/>
      <c r="J4638" s="114"/>
      <c r="AW4638" s="117"/>
      <c r="AX4638" s="117"/>
      <c r="AY4638" s="117"/>
      <c r="AZ4638" s="117"/>
      <c r="BA4638" s="117"/>
      <c r="BB4638" s="117"/>
      <c r="BC4638" s="117"/>
      <c r="BD4638" s="117"/>
    </row>
    <row r="4639" spans="1:56" ht="15">
      <c r="A4639" s="114"/>
      <c r="B4639" s="303" t="s">
        <v>1122</v>
      </c>
      <c r="C4639" s="362"/>
      <c r="D4639" s="362"/>
      <c r="E4639" s="196"/>
      <c r="F4639" s="196"/>
      <c r="G4639" s="196"/>
      <c r="H4639" s="196"/>
      <c r="I4639" s="196"/>
      <c r="J4639" s="114"/>
      <c r="AW4639" s="117"/>
      <c r="AX4639" s="117"/>
      <c r="AY4639" s="117"/>
      <c r="AZ4639" s="117"/>
      <c r="BA4639" s="117"/>
      <c r="BB4639" s="117"/>
      <c r="BC4639" s="117"/>
      <c r="BD4639" s="117"/>
    </row>
    <row r="4640" spans="1:56" ht="18">
      <c r="A4640" s="114"/>
      <c r="B4640" s="396" t="s">
        <v>1123</v>
      </c>
      <c r="C4640" s="289"/>
      <c r="D4640" s="290"/>
      <c r="E4640" s="397">
        <f>C4634*(C4636*2*(0.05+C4633+C4632)*C4631)</f>
        <v>486.14400000000006</v>
      </c>
      <c r="F4640" s="390" t="s">
        <v>1124</v>
      </c>
      <c r="G4640" s="196"/>
      <c r="H4640" s="196"/>
      <c r="I4640" s="196"/>
      <c r="J4640" s="114"/>
      <c r="AW4640" s="117"/>
      <c r="AX4640" s="117"/>
      <c r="AY4640" s="117"/>
      <c r="AZ4640" s="117"/>
      <c r="BA4640" s="117"/>
      <c r="BB4640" s="117"/>
      <c r="BC4640" s="117"/>
      <c r="BD4640" s="117"/>
    </row>
    <row r="4641" spans="1:56" ht="18">
      <c r="A4641" s="114"/>
      <c r="B4641" s="398" t="s">
        <v>1125</v>
      </c>
      <c r="C4641" s="172"/>
      <c r="D4641" s="173"/>
      <c r="E4641" s="397">
        <f>E4640-((C4630*0.05+C4630*C4633)*C4631)</f>
        <v>442.25600000000009</v>
      </c>
      <c r="F4641" s="390" t="s">
        <v>1124</v>
      </c>
      <c r="G4641" s="196"/>
      <c r="H4641" s="196"/>
      <c r="I4641" s="196"/>
      <c r="J4641" s="114"/>
      <c r="AW4641" s="117"/>
      <c r="AX4641" s="117"/>
      <c r="AY4641" s="117"/>
      <c r="AZ4641" s="117"/>
      <c r="BA4641" s="117"/>
      <c r="BB4641" s="117"/>
      <c r="BC4641" s="117"/>
      <c r="BD4641" s="117"/>
    </row>
    <row r="4642" spans="1:56" ht="15">
      <c r="A4642" s="114"/>
      <c r="B4642" s="399" t="s">
        <v>1126</v>
      </c>
      <c r="C4642" s="317"/>
      <c r="D4642" s="318"/>
      <c r="E4642" s="400">
        <f>(2*C4637)*C4631</f>
        <v>135.04000000000002</v>
      </c>
      <c r="F4642" s="390" t="s">
        <v>13</v>
      </c>
      <c r="G4642" s="196"/>
      <c r="H4642" s="196"/>
      <c r="I4642" s="196"/>
      <c r="J4642" s="114"/>
      <c r="AW4642" s="117"/>
      <c r="AX4642" s="117"/>
      <c r="AY4642" s="117"/>
      <c r="AZ4642" s="117"/>
      <c r="BA4642" s="117"/>
      <c r="BB4642" s="117"/>
      <c r="BC4642" s="117"/>
      <c r="BD4642" s="117"/>
    </row>
    <row r="4643" spans="1:56" ht="15">
      <c r="A4643" s="114"/>
      <c r="B4643" s="196"/>
      <c r="C4643" s="196"/>
      <c r="D4643" s="196"/>
      <c r="E4643" s="401"/>
      <c r="F4643" s="196"/>
      <c r="G4643" s="196"/>
      <c r="H4643" s="196"/>
      <c r="I4643" s="196"/>
      <c r="J4643" s="114"/>
      <c r="AW4643" s="117"/>
      <c r="AX4643" s="117"/>
      <c r="AY4643" s="117"/>
      <c r="AZ4643" s="117"/>
      <c r="BA4643" s="117"/>
      <c r="BB4643" s="117"/>
      <c r="BC4643" s="117"/>
      <c r="BD4643" s="117"/>
    </row>
    <row r="4644" spans="1:56" ht="15">
      <c r="A4644" s="114"/>
      <c r="B4644" s="303" t="s">
        <v>1127</v>
      </c>
      <c r="C4644" s="196"/>
      <c r="D4644" s="196"/>
      <c r="E4644" s="401"/>
      <c r="F4644" s="196"/>
      <c r="G4644" s="196"/>
      <c r="H4644" s="196"/>
      <c r="I4644" s="196"/>
      <c r="J4644" s="114"/>
      <c r="AW4644" s="117"/>
      <c r="AX4644" s="117"/>
      <c r="AY4644" s="117"/>
      <c r="AZ4644" s="117"/>
      <c r="BA4644" s="117"/>
      <c r="BB4644" s="117"/>
      <c r="BC4644" s="117"/>
      <c r="BD4644" s="117"/>
    </row>
    <row r="4645" spans="1:56" ht="18">
      <c r="A4645" s="114"/>
      <c r="B4645" s="398" t="s">
        <v>1128</v>
      </c>
      <c r="C4645" s="172"/>
      <c r="D4645" s="173"/>
      <c r="E4645" s="402">
        <f>E4642*0.05</f>
        <v>6.7520000000000016</v>
      </c>
      <c r="F4645" s="390" t="s">
        <v>1124</v>
      </c>
      <c r="G4645" s="196"/>
      <c r="H4645" s="196"/>
      <c r="I4645" s="196"/>
      <c r="J4645" s="114"/>
      <c r="AW4645" s="117"/>
      <c r="AX4645" s="117"/>
      <c r="AY4645" s="117"/>
      <c r="AZ4645" s="117"/>
      <c r="BA4645" s="117"/>
      <c r="BB4645" s="117"/>
      <c r="BC4645" s="117"/>
      <c r="BD4645" s="117"/>
    </row>
    <row r="4646" spans="1:56" ht="15">
      <c r="A4646" s="114"/>
      <c r="B4646" s="398" t="s">
        <v>1129</v>
      </c>
      <c r="C4646" s="172"/>
      <c r="D4646" s="173"/>
      <c r="E4646" s="397">
        <f>C4633*2*C4631</f>
        <v>405.12</v>
      </c>
      <c r="F4646" s="390" t="s">
        <v>13</v>
      </c>
      <c r="G4646" s="393" t="s">
        <v>1108</v>
      </c>
      <c r="H4646" s="196" t="s">
        <v>1131</v>
      </c>
      <c r="I4646" s="393"/>
      <c r="J4646" s="114"/>
      <c r="AW4646" s="117"/>
      <c r="AX4646" s="117"/>
      <c r="AY4646" s="117"/>
      <c r="AZ4646" s="117"/>
      <c r="BA4646" s="117"/>
      <c r="BB4646" s="117"/>
      <c r="BC4646" s="117"/>
      <c r="BD4646" s="117"/>
    </row>
    <row r="4647" spans="1:56" ht="18">
      <c r="A4647" s="114"/>
      <c r="B4647" s="398" t="s">
        <v>1130</v>
      </c>
      <c r="C4647" s="172"/>
      <c r="D4647" s="173"/>
      <c r="E4647" s="402">
        <f>C4630*C4631*C4633</f>
        <v>40.512000000000008</v>
      </c>
      <c r="F4647" s="390" t="s">
        <v>1124</v>
      </c>
      <c r="G4647" s="196"/>
      <c r="H4647" s="196"/>
      <c r="I4647" s="196"/>
      <c r="J4647" s="114"/>
      <c r="AW4647" s="117"/>
      <c r="AX4647" s="117"/>
      <c r="AY4647" s="117"/>
      <c r="AZ4647" s="117"/>
      <c r="BA4647" s="117"/>
      <c r="BB4647" s="117"/>
      <c r="BC4647" s="117"/>
      <c r="BD4647" s="117"/>
    </row>
    <row r="4648" spans="1:56" ht="15">
      <c r="A4648" s="114"/>
      <c r="B4648" s="288"/>
      <c r="C4648" s="230"/>
      <c r="D4648" s="230"/>
      <c r="E4648" s="384"/>
      <c r="F4648" s="196"/>
      <c r="G4648" s="196"/>
      <c r="H4648" s="196"/>
      <c r="I4648" s="196"/>
      <c r="J4648" s="114"/>
      <c r="AW4648" s="117"/>
      <c r="AX4648" s="117"/>
      <c r="AY4648" s="117"/>
      <c r="AZ4648" s="117"/>
      <c r="BA4648" s="117"/>
      <c r="BB4648" s="117"/>
      <c r="BC4648" s="117"/>
      <c r="BD4648" s="117"/>
    </row>
    <row r="4649" spans="1:56" ht="15">
      <c r="A4649" s="114"/>
      <c r="B4649" s="293"/>
      <c r="C4649" s="387"/>
      <c r="D4649" s="387"/>
      <c r="E4649" s="387"/>
      <c r="F4649" s="387"/>
      <c r="G4649" s="387"/>
      <c r="H4649" s="386"/>
      <c r="I4649" s="386"/>
      <c r="J4649" s="114"/>
      <c r="AW4649" s="117"/>
      <c r="AX4649" s="117"/>
      <c r="AY4649" s="117"/>
      <c r="AZ4649" s="117"/>
      <c r="BA4649" s="117"/>
      <c r="BB4649" s="117"/>
      <c r="BC4649" s="117"/>
      <c r="BD4649" s="117"/>
    </row>
    <row r="4650" spans="1:56" ht="15">
      <c r="A4650" s="114"/>
      <c r="B4650" s="293"/>
      <c r="C4650" s="387"/>
      <c r="D4650" s="387"/>
      <c r="E4650" s="387"/>
      <c r="F4650" s="387"/>
      <c r="G4650" s="387"/>
      <c r="H4650" s="386"/>
      <c r="I4650" s="386"/>
      <c r="J4650" s="114"/>
      <c r="AW4650" s="117"/>
      <c r="AX4650" s="117"/>
      <c r="AY4650" s="117"/>
      <c r="AZ4650" s="117"/>
      <c r="BA4650" s="117"/>
      <c r="BB4650" s="117"/>
      <c r="BC4650" s="117"/>
      <c r="BD4650" s="117"/>
    </row>
    <row r="4651" spans="1:56" ht="15">
      <c r="A4651" s="114"/>
      <c r="B4651" s="293"/>
      <c r="C4651" s="387"/>
      <c r="D4651" s="387"/>
      <c r="E4651" s="387"/>
      <c r="F4651" s="387"/>
      <c r="G4651" s="387"/>
      <c r="H4651" s="386"/>
      <c r="I4651" s="386"/>
      <c r="J4651" s="114"/>
      <c r="AW4651" s="117"/>
      <c r="AX4651" s="117"/>
      <c r="AY4651" s="117"/>
      <c r="AZ4651" s="117"/>
      <c r="BA4651" s="117"/>
      <c r="BB4651" s="117"/>
      <c r="BC4651" s="117"/>
      <c r="BD4651" s="117"/>
    </row>
    <row r="4652" spans="1:56">
      <c r="A4652" s="114"/>
      <c r="B4652" s="385" t="s">
        <v>1137</v>
      </c>
      <c r="C4652" s="196"/>
      <c r="D4652" s="196"/>
      <c r="E4652" s="196"/>
      <c r="F4652" s="196"/>
      <c r="G4652" s="196"/>
      <c r="H4652" s="196"/>
      <c r="I4652" s="196"/>
      <c r="J4652" s="114"/>
      <c r="AW4652" s="117"/>
      <c r="AX4652" s="117"/>
      <c r="AY4652" s="117"/>
      <c r="AZ4652" s="117"/>
      <c r="BA4652" s="117"/>
      <c r="BB4652" s="117"/>
      <c r="BC4652" s="117"/>
      <c r="BD4652" s="117"/>
    </row>
    <row r="4653" spans="1:56" ht="15">
      <c r="A4653" s="114"/>
      <c r="B4653" s="196"/>
      <c r="C4653" s="196"/>
      <c r="D4653" s="196"/>
      <c r="E4653" s="196"/>
      <c r="F4653" s="196"/>
      <c r="G4653" s="196"/>
      <c r="H4653" s="196"/>
      <c r="I4653" s="196"/>
      <c r="J4653" s="114"/>
      <c r="AW4653" s="117"/>
      <c r="AX4653" s="117"/>
      <c r="AY4653" s="117"/>
      <c r="AZ4653" s="117"/>
      <c r="BA4653" s="117"/>
      <c r="BB4653" s="117"/>
      <c r="BC4653" s="117"/>
      <c r="BD4653" s="117"/>
    </row>
    <row r="4654" spans="1:56" ht="15">
      <c r="A4654" s="114"/>
      <c r="B4654" s="388" t="s">
        <v>1110</v>
      </c>
      <c r="C4654" s="389">
        <v>0.2</v>
      </c>
      <c r="D4654" s="390" t="s">
        <v>10</v>
      </c>
      <c r="E4654" s="196"/>
      <c r="F4654" s="196"/>
      <c r="G4654" s="392"/>
      <c r="H4654" s="393"/>
      <c r="I4654" s="196"/>
      <c r="J4654" s="114"/>
      <c r="AW4654" s="117"/>
      <c r="AX4654" s="117"/>
      <c r="AY4654" s="117"/>
      <c r="AZ4654" s="117"/>
      <c r="BA4654" s="117"/>
      <c r="BB4654" s="117"/>
      <c r="BC4654" s="117"/>
      <c r="BD4654" s="117"/>
    </row>
    <row r="4655" spans="1:56" ht="15">
      <c r="A4655" s="114"/>
      <c r="B4655" s="388" t="s">
        <v>1111</v>
      </c>
      <c r="C4655" s="391">
        <v>18.7</v>
      </c>
      <c r="D4655" s="390" t="s">
        <v>10</v>
      </c>
      <c r="E4655" s="196"/>
      <c r="F4655" s="908"/>
      <c r="G4655" s="392"/>
      <c r="H4655" s="393"/>
      <c r="I4655" s="196"/>
      <c r="J4655" s="114"/>
      <c r="AW4655" s="117"/>
      <c r="AX4655" s="117"/>
      <c r="AY4655" s="117"/>
      <c r="AZ4655" s="117"/>
      <c r="BA4655" s="117"/>
      <c r="BB4655" s="117"/>
      <c r="BC4655" s="117"/>
      <c r="BD4655" s="117"/>
    </row>
    <row r="4656" spans="1:56" ht="15">
      <c r="A4656" s="114"/>
      <c r="B4656" s="388" t="s">
        <v>1112</v>
      </c>
      <c r="C4656" s="389">
        <v>0.55000000000000004</v>
      </c>
      <c r="D4656" s="390" t="s">
        <v>10</v>
      </c>
      <c r="E4656" s="196"/>
      <c r="F4656" s="196"/>
      <c r="G4656" s="392"/>
      <c r="H4656" s="393"/>
      <c r="I4656" s="196"/>
      <c r="J4656" s="114"/>
      <c r="AW4656" s="117"/>
      <c r="AX4656" s="117"/>
      <c r="AY4656" s="117"/>
      <c r="AZ4656" s="117"/>
      <c r="BA4656" s="117"/>
      <c r="BB4656" s="117"/>
      <c r="BC4656" s="117"/>
      <c r="BD4656" s="117"/>
    </row>
    <row r="4657" spans="1:56" ht="15">
      <c r="A4657" s="114"/>
      <c r="B4657" s="388" t="s">
        <v>1113</v>
      </c>
      <c r="C4657" s="389">
        <v>0.7</v>
      </c>
      <c r="D4657" s="390" t="s">
        <v>10</v>
      </c>
      <c r="E4657" s="196"/>
      <c r="F4657" s="196"/>
      <c r="G4657" s="392"/>
      <c r="H4657" s="394"/>
      <c r="I4657" s="196"/>
      <c r="J4657" s="114"/>
      <c r="AW4657" s="117"/>
      <c r="AX4657" s="117"/>
      <c r="AY4657" s="117"/>
      <c r="AZ4657" s="117"/>
      <c r="BA4657" s="117"/>
      <c r="BB4657" s="117"/>
      <c r="BC4657" s="117"/>
      <c r="BD4657" s="117"/>
    </row>
    <row r="4658" spans="1:56" ht="15">
      <c r="A4658" s="114"/>
      <c r="B4658" s="388" t="s">
        <v>1117</v>
      </c>
      <c r="C4658" s="389">
        <v>1</v>
      </c>
      <c r="D4658" s="390" t="s">
        <v>1118</v>
      </c>
      <c r="E4658" s="196"/>
      <c r="F4658" s="196"/>
      <c r="G4658" s="392"/>
      <c r="H4658" s="393"/>
      <c r="I4658" s="196"/>
      <c r="J4658" s="114"/>
      <c r="AW4658" s="117"/>
      <c r="AX4658" s="117"/>
      <c r="AY4658" s="117"/>
      <c r="AZ4658" s="117"/>
      <c r="BA4658" s="117"/>
      <c r="BB4658" s="117"/>
      <c r="BC4658" s="117"/>
      <c r="BD4658" s="117"/>
    </row>
    <row r="4659" spans="1:56" ht="15">
      <c r="A4659" s="114"/>
      <c r="B4659" s="392"/>
      <c r="C4659" s="393"/>
      <c r="D4659" s="196"/>
      <c r="E4659" s="196"/>
      <c r="F4659" s="196"/>
      <c r="G4659" s="392"/>
      <c r="H4659" s="393"/>
      <c r="I4659" s="196"/>
      <c r="J4659" s="114"/>
      <c r="AW4659" s="117"/>
      <c r="AX4659" s="117"/>
      <c r="AY4659" s="117"/>
      <c r="AZ4659" s="117"/>
      <c r="BA4659" s="117"/>
      <c r="BB4659" s="117"/>
      <c r="BC4659" s="117"/>
      <c r="BD4659" s="117"/>
    </row>
    <row r="4660" spans="1:56" ht="15">
      <c r="A4660" s="114"/>
      <c r="B4660" s="388" t="s">
        <v>1114</v>
      </c>
      <c r="C4660" s="389">
        <v>0.6</v>
      </c>
      <c r="D4660" s="390" t="s">
        <v>10</v>
      </c>
      <c r="E4660" s="288" t="s">
        <v>1120</v>
      </c>
      <c r="F4660" s="288"/>
      <c r="G4660" s="230"/>
      <c r="H4660" s="395"/>
      <c r="I4660" s="196"/>
      <c r="J4660" s="114"/>
      <c r="AW4660" s="117"/>
      <c r="AX4660" s="117"/>
      <c r="AY4660" s="117"/>
      <c r="AZ4660" s="117"/>
      <c r="BA4660" s="117"/>
      <c r="BB4660" s="117"/>
      <c r="BC4660" s="117"/>
      <c r="BD4660" s="117"/>
    </row>
    <row r="4661" spans="1:56" ht="15">
      <c r="A4661" s="114"/>
      <c r="B4661" s="388" t="s">
        <v>1114</v>
      </c>
      <c r="C4661" s="389">
        <v>0.2</v>
      </c>
      <c r="D4661" s="390" t="s">
        <v>10</v>
      </c>
      <c r="E4661" s="288" t="s">
        <v>1121</v>
      </c>
      <c r="F4661" s="288"/>
      <c r="G4661" s="230"/>
      <c r="H4661" s="395"/>
      <c r="I4661" s="196"/>
      <c r="J4661" s="114"/>
      <c r="AW4661" s="117"/>
      <c r="AX4661" s="117"/>
      <c r="AY4661" s="117"/>
      <c r="AZ4661" s="117"/>
      <c r="BA4661" s="117"/>
      <c r="BB4661" s="117"/>
      <c r="BC4661" s="117"/>
      <c r="BD4661" s="117"/>
    </row>
    <row r="4662" spans="1:56" ht="15">
      <c r="A4662" s="114"/>
      <c r="B4662" s="196"/>
      <c r="C4662" s="196"/>
      <c r="D4662" s="196"/>
      <c r="E4662" s="196"/>
      <c r="F4662" s="196"/>
      <c r="G4662" s="196"/>
      <c r="H4662" s="196"/>
      <c r="I4662" s="196"/>
      <c r="J4662" s="114"/>
      <c r="AW4662" s="117"/>
      <c r="AX4662" s="117"/>
      <c r="AY4662" s="117"/>
      <c r="AZ4662" s="117"/>
      <c r="BA4662" s="117"/>
      <c r="BB4662" s="117"/>
      <c r="BC4662" s="117"/>
      <c r="BD4662" s="117"/>
    </row>
    <row r="4663" spans="1:56" ht="15">
      <c r="A4663" s="114"/>
      <c r="B4663" s="303" t="s">
        <v>1122</v>
      </c>
      <c r="C4663" s="362"/>
      <c r="D4663" s="362"/>
      <c r="E4663" s="196"/>
      <c r="F4663" s="196"/>
      <c r="G4663" s="196"/>
      <c r="H4663" s="196"/>
      <c r="I4663" s="196"/>
      <c r="J4663" s="114"/>
      <c r="AW4663" s="117"/>
      <c r="AX4663" s="117"/>
      <c r="AY4663" s="117"/>
      <c r="AZ4663" s="117"/>
      <c r="BA4663" s="117"/>
      <c r="BB4663" s="117"/>
      <c r="BC4663" s="117"/>
      <c r="BD4663" s="117"/>
    </row>
    <row r="4664" spans="1:56" ht="18">
      <c r="A4664" s="114"/>
      <c r="B4664" s="396" t="s">
        <v>1123</v>
      </c>
      <c r="C4664" s="289"/>
      <c r="D4664" s="290"/>
      <c r="E4664" s="397">
        <f>C4658*(C4660*2*(0.05+C4657+C4656)*C4655)</f>
        <v>29.172000000000001</v>
      </c>
      <c r="F4664" s="390" t="s">
        <v>1124</v>
      </c>
      <c r="G4664" s="196"/>
      <c r="H4664" s="196"/>
      <c r="I4664" s="196"/>
      <c r="J4664" s="114"/>
      <c r="AW4664" s="117"/>
      <c r="AX4664" s="117"/>
      <c r="AY4664" s="117"/>
      <c r="AZ4664" s="117"/>
      <c r="BA4664" s="117"/>
      <c r="BB4664" s="117"/>
      <c r="BC4664" s="117"/>
      <c r="BD4664" s="117"/>
    </row>
    <row r="4665" spans="1:56" ht="18">
      <c r="A4665" s="114"/>
      <c r="B4665" s="398" t="s">
        <v>1125</v>
      </c>
      <c r="C4665" s="172"/>
      <c r="D4665" s="173"/>
      <c r="E4665" s="397">
        <f>E4664-((C4654*0.05+C4654*C4657)*C4655)</f>
        <v>26.367000000000001</v>
      </c>
      <c r="F4665" s="390" t="s">
        <v>1124</v>
      </c>
      <c r="G4665" s="196"/>
      <c r="H4665" s="196"/>
      <c r="I4665" s="196"/>
      <c r="J4665" s="114"/>
      <c r="AW4665" s="117"/>
      <c r="AX4665" s="117"/>
      <c r="AY4665" s="117"/>
      <c r="AZ4665" s="117"/>
      <c r="BA4665" s="117"/>
      <c r="BB4665" s="117"/>
      <c r="BC4665" s="117"/>
      <c r="BD4665" s="117"/>
    </row>
    <row r="4666" spans="1:56" ht="15">
      <c r="A4666" s="114"/>
      <c r="B4666" s="399" t="s">
        <v>1126</v>
      </c>
      <c r="C4666" s="317"/>
      <c r="D4666" s="318"/>
      <c r="E4666" s="400">
        <f>(2*C4661)*C4655</f>
        <v>7.48</v>
      </c>
      <c r="F4666" s="390" t="s">
        <v>13</v>
      </c>
      <c r="G4666" s="196"/>
      <c r="H4666" s="196"/>
      <c r="I4666" s="196"/>
      <c r="J4666" s="114"/>
      <c r="AW4666" s="117"/>
      <c r="AX4666" s="117"/>
      <c r="AY4666" s="117"/>
      <c r="AZ4666" s="117"/>
      <c r="BA4666" s="117"/>
      <c r="BB4666" s="117"/>
      <c r="BC4666" s="117"/>
      <c r="BD4666" s="117"/>
    </row>
    <row r="4667" spans="1:56" ht="15">
      <c r="A4667" s="114"/>
      <c r="B4667" s="196"/>
      <c r="C4667" s="196"/>
      <c r="D4667" s="196"/>
      <c r="E4667" s="401"/>
      <c r="F4667" s="196"/>
      <c r="G4667" s="196"/>
      <c r="H4667" s="196"/>
      <c r="I4667" s="196"/>
      <c r="J4667" s="114"/>
      <c r="AW4667" s="117"/>
      <c r="AX4667" s="117"/>
      <c r="AY4667" s="117"/>
      <c r="AZ4667" s="117"/>
      <c r="BA4667" s="117"/>
      <c r="BB4667" s="117"/>
      <c r="BC4667" s="117"/>
      <c r="BD4667" s="117"/>
    </row>
    <row r="4668" spans="1:56" ht="15">
      <c r="A4668" s="114"/>
      <c r="B4668" s="303" t="s">
        <v>1127</v>
      </c>
      <c r="C4668" s="196"/>
      <c r="D4668" s="196"/>
      <c r="E4668" s="401"/>
      <c r="F4668" s="196"/>
      <c r="G4668" s="196"/>
      <c r="H4668" s="196"/>
      <c r="I4668" s="196"/>
      <c r="J4668" s="114"/>
      <c r="AW4668" s="117"/>
      <c r="AX4668" s="117"/>
      <c r="AY4668" s="117"/>
      <c r="AZ4668" s="117"/>
      <c r="BA4668" s="117"/>
      <c r="BB4668" s="117"/>
      <c r="BC4668" s="117"/>
      <c r="BD4668" s="117"/>
    </row>
    <row r="4669" spans="1:56" ht="18">
      <c r="A4669" s="114"/>
      <c r="B4669" s="398" t="s">
        <v>1128</v>
      </c>
      <c r="C4669" s="172"/>
      <c r="D4669" s="173"/>
      <c r="E4669" s="402">
        <f>E4666*0.05</f>
        <v>0.37400000000000005</v>
      </c>
      <c r="F4669" s="390" t="s">
        <v>1124</v>
      </c>
      <c r="G4669" s="196"/>
      <c r="H4669" s="196"/>
      <c r="I4669" s="196"/>
      <c r="J4669" s="114"/>
      <c r="AW4669" s="117"/>
      <c r="AX4669" s="117"/>
      <c r="AY4669" s="117"/>
      <c r="AZ4669" s="117"/>
      <c r="BA4669" s="117"/>
      <c r="BB4669" s="117"/>
      <c r="BC4669" s="117"/>
      <c r="BD4669" s="117"/>
    </row>
    <row r="4670" spans="1:56" ht="15">
      <c r="A4670" s="114"/>
      <c r="B4670" s="398" t="s">
        <v>1129</v>
      </c>
      <c r="C4670" s="172"/>
      <c r="D4670" s="173"/>
      <c r="E4670" s="397">
        <f>C4657*2*C4655</f>
        <v>26.179999999999996</v>
      </c>
      <c r="F4670" s="390" t="s">
        <v>13</v>
      </c>
      <c r="G4670" s="393" t="s">
        <v>1108</v>
      </c>
      <c r="H4670" s="196" t="s">
        <v>1131</v>
      </c>
      <c r="I4670" s="393"/>
      <c r="J4670" s="114"/>
      <c r="AW4670" s="117"/>
      <c r="AX4670" s="117"/>
      <c r="AY4670" s="117"/>
      <c r="AZ4670" s="117"/>
      <c r="BA4670" s="117"/>
      <c r="BB4670" s="117"/>
      <c r="BC4670" s="117"/>
      <c r="BD4670" s="117"/>
    </row>
    <row r="4671" spans="1:56" ht="18">
      <c r="A4671" s="114"/>
      <c r="B4671" s="398" t="s">
        <v>1130</v>
      </c>
      <c r="C4671" s="172"/>
      <c r="D4671" s="173"/>
      <c r="E4671" s="402">
        <f>C4654*C4655*C4657</f>
        <v>2.6179999999999999</v>
      </c>
      <c r="F4671" s="390" t="s">
        <v>1124</v>
      </c>
      <c r="G4671" s="196"/>
      <c r="H4671" s="196"/>
      <c r="I4671" s="196"/>
      <c r="J4671" s="114"/>
      <c r="AW4671" s="117"/>
      <c r="AX4671" s="117"/>
      <c r="AY4671" s="117"/>
      <c r="AZ4671" s="117"/>
      <c r="BA4671" s="117"/>
      <c r="BB4671" s="117"/>
      <c r="BC4671" s="117"/>
      <c r="BD4671" s="117"/>
    </row>
    <row r="4672" spans="1:56" ht="15">
      <c r="A4672" s="114"/>
      <c r="B4672" s="288"/>
      <c r="C4672" s="230"/>
      <c r="D4672" s="230"/>
      <c r="E4672" s="384"/>
      <c r="F4672" s="196"/>
      <c r="G4672" s="196"/>
      <c r="H4672" s="196"/>
      <c r="I4672" s="196"/>
      <c r="J4672" s="114"/>
      <c r="AW4672" s="117"/>
      <c r="AX4672" s="117"/>
      <c r="AY4672" s="117"/>
      <c r="AZ4672" s="117"/>
      <c r="BA4672" s="117"/>
      <c r="BB4672" s="117"/>
      <c r="BC4672" s="117"/>
      <c r="BD4672" s="117"/>
    </row>
    <row r="4673" spans="1:56" ht="15">
      <c r="A4673" s="114"/>
      <c r="B4673" s="293"/>
      <c r="C4673" s="387"/>
      <c r="D4673" s="387"/>
      <c r="E4673" s="387"/>
      <c r="F4673" s="387"/>
      <c r="G4673" s="387"/>
      <c r="H4673" s="386"/>
      <c r="I4673" s="386"/>
      <c r="J4673" s="114"/>
      <c r="AW4673" s="117"/>
      <c r="AX4673" s="117"/>
      <c r="AY4673" s="117"/>
      <c r="AZ4673" s="117"/>
      <c r="BA4673" s="117"/>
      <c r="BB4673" s="117"/>
      <c r="BC4673" s="117"/>
      <c r="BD4673" s="117"/>
    </row>
    <row r="4674" spans="1:56" ht="15">
      <c r="A4674" s="114"/>
      <c r="B4674" s="293"/>
      <c r="C4674" s="387"/>
      <c r="D4674" s="387"/>
      <c r="E4674" s="387"/>
      <c r="F4674" s="387"/>
      <c r="G4674" s="387"/>
      <c r="H4674" s="386"/>
      <c r="I4674" s="386"/>
      <c r="J4674" s="114"/>
      <c r="AW4674" s="117"/>
      <c r="AX4674" s="117"/>
      <c r="AY4674" s="117"/>
      <c r="AZ4674" s="117"/>
      <c r="BA4674" s="117"/>
      <c r="BB4674" s="117"/>
      <c r="BC4674" s="117"/>
      <c r="BD4674" s="117"/>
    </row>
    <row r="4675" spans="1:56">
      <c r="A4675" s="114"/>
      <c r="B4675" s="385" t="s">
        <v>1288</v>
      </c>
      <c r="C4675" s="196"/>
      <c r="D4675" s="196"/>
      <c r="E4675" s="196"/>
      <c r="F4675" s="196"/>
      <c r="G4675" s="196"/>
      <c r="H4675" s="196"/>
      <c r="I4675" s="196"/>
      <c r="J4675" s="114"/>
      <c r="AW4675" s="117"/>
      <c r="AX4675" s="117"/>
      <c r="AY4675" s="117"/>
      <c r="AZ4675" s="117"/>
      <c r="BA4675" s="117"/>
      <c r="BB4675" s="117"/>
      <c r="BC4675" s="117"/>
      <c r="BD4675" s="117"/>
    </row>
    <row r="4676" spans="1:56" ht="15">
      <c r="A4676" s="114"/>
      <c r="B4676" s="196"/>
      <c r="C4676" s="196"/>
      <c r="D4676" s="196"/>
      <c r="E4676" s="196"/>
      <c r="F4676" s="196"/>
      <c r="G4676" s="196"/>
      <c r="H4676" s="196"/>
      <c r="I4676" s="196"/>
      <c r="J4676" s="114"/>
      <c r="AW4676" s="117"/>
      <c r="AX4676" s="117"/>
      <c r="AY4676" s="117"/>
      <c r="AZ4676" s="117"/>
      <c r="BA4676" s="117"/>
      <c r="BB4676" s="117"/>
      <c r="BC4676" s="117"/>
      <c r="BD4676" s="117"/>
    </row>
    <row r="4677" spans="1:56" ht="15">
      <c r="A4677" s="114"/>
      <c r="B4677" s="388" t="s">
        <v>1110</v>
      </c>
      <c r="C4677" s="389">
        <v>0.2</v>
      </c>
      <c r="D4677" s="390" t="s">
        <v>10</v>
      </c>
      <c r="E4677" s="196"/>
      <c r="F4677" s="196"/>
      <c r="G4677" s="392"/>
      <c r="H4677" s="393"/>
      <c r="I4677" s="196"/>
      <c r="J4677" s="114"/>
      <c r="AW4677" s="117"/>
      <c r="AX4677" s="117"/>
      <c r="AY4677" s="117"/>
      <c r="AZ4677" s="117"/>
      <c r="BA4677" s="117"/>
      <c r="BB4677" s="117"/>
      <c r="BC4677" s="117"/>
      <c r="BD4677" s="117"/>
    </row>
    <row r="4678" spans="1:56" ht="15">
      <c r="A4678" s="114"/>
      <c r="B4678" s="388" t="s">
        <v>1111</v>
      </c>
      <c r="C4678" s="951">
        <v>66.599999999999994</v>
      </c>
      <c r="D4678" s="390" t="s">
        <v>10</v>
      </c>
      <c r="E4678" s="196"/>
      <c r="F4678" s="908"/>
      <c r="G4678" s="392"/>
      <c r="H4678" s="393"/>
      <c r="I4678" s="196"/>
      <c r="J4678" s="114"/>
      <c r="AW4678" s="117"/>
      <c r="AX4678" s="117"/>
      <c r="AY4678" s="117"/>
      <c r="AZ4678" s="117"/>
      <c r="BA4678" s="117"/>
      <c r="BB4678" s="117"/>
      <c r="BC4678" s="117"/>
      <c r="BD4678" s="117"/>
    </row>
    <row r="4679" spans="1:56" ht="15">
      <c r="A4679" s="114"/>
      <c r="B4679" s="388" t="s">
        <v>1112</v>
      </c>
      <c r="C4679" s="389">
        <v>0.55000000000000004</v>
      </c>
      <c r="D4679" s="390" t="s">
        <v>10</v>
      </c>
      <c r="E4679" s="196"/>
      <c r="F4679" s="196"/>
      <c r="G4679" s="392"/>
      <c r="H4679" s="393"/>
      <c r="I4679" s="196"/>
      <c r="J4679" s="114"/>
      <c r="AW4679" s="117"/>
      <c r="AX4679" s="117"/>
      <c r="AY4679" s="117"/>
      <c r="AZ4679" s="117"/>
      <c r="BA4679" s="117"/>
      <c r="BB4679" s="117"/>
      <c r="BC4679" s="117"/>
      <c r="BD4679" s="117"/>
    </row>
    <row r="4680" spans="1:56" ht="15">
      <c r="A4680" s="114"/>
      <c r="B4680" s="388" t="s">
        <v>1113</v>
      </c>
      <c r="C4680" s="389">
        <v>0.8</v>
      </c>
      <c r="D4680" s="390" t="s">
        <v>10</v>
      </c>
      <c r="E4680" s="196"/>
      <c r="F4680" s="196"/>
      <c r="G4680" s="392"/>
      <c r="H4680" s="394"/>
      <c r="I4680" s="196"/>
      <c r="J4680" s="114"/>
      <c r="AW4680" s="117"/>
      <c r="AX4680" s="117"/>
      <c r="AY4680" s="117"/>
      <c r="AZ4680" s="117"/>
      <c r="BA4680" s="117"/>
      <c r="BB4680" s="117"/>
      <c r="BC4680" s="117"/>
      <c r="BD4680" s="117"/>
    </row>
    <row r="4681" spans="1:56" ht="15">
      <c r="A4681" s="114"/>
      <c r="B4681" s="388" t="s">
        <v>1117</v>
      </c>
      <c r="C4681" s="389">
        <v>1</v>
      </c>
      <c r="D4681" s="390" t="s">
        <v>1118</v>
      </c>
      <c r="E4681" s="196"/>
      <c r="F4681" s="196"/>
      <c r="G4681" s="392"/>
      <c r="H4681" s="393"/>
      <c r="I4681" s="196"/>
      <c r="J4681" s="114"/>
      <c r="AW4681" s="117"/>
      <c r="AX4681" s="117"/>
      <c r="AY4681" s="117"/>
      <c r="AZ4681" s="117"/>
      <c r="BA4681" s="117"/>
      <c r="BB4681" s="117"/>
      <c r="BC4681" s="117"/>
      <c r="BD4681" s="117"/>
    </row>
    <row r="4682" spans="1:56" ht="15">
      <c r="A4682" s="114"/>
      <c r="B4682" s="392"/>
      <c r="C4682" s="393"/>
      <c r="D4682" s="196"/>
      <c r="E4682" s="196"/>
      <c r="F4682" s="196"/>
      <c r="G4682" s="392"/>
      <c r="H4682" s="393"/>
      <c r="I4682" s="196"/>
      <c r="J4682" s="114"/>
      <c r="AW4682" s="117"/>
      <c r="AX4682" s="117"/>
      <c r="AY4682" s="117"/>
      <c r="AZ4682" s="117"/>
      <c r="BA4682" s="117"/>
      <c r="BB4682" s="117"/>
      <c r="BC4682" s="117"/>
      <c r="BD4682" s="117"/>
    </row>
    <row r="4683" spans="1:56" ht="15">
      <c r="A4683" s="114"/>
      <c r="B4683" s="388" t="s">
        <v>1114</v>
      </c>
      <c r="C4683" s="389">
        <v>0.6</v>
      </c>
      <c r="D4683" s="390" t="s">
        <v>10</v>
      </c>
      <c r="E4683" s="288" t="s">
        <v>1120</v>
      </c>
      <c r="F4683" s="288"/>
      <c r="G4683" s="230"/>
      <c r="H4683" s="395"/>
      <c r="I4683" s="196"/>
      <c r="J4683" s="114"/>
      <c r="AW4683" s="117"/>
      <c r="AX4683" s="117"/>
      <c r="AY4683" s="117"/>
      <c r="AZ4683" s="117"/>
      <c r="BA4683" s="117"/>
      <c r="BB4683" s="117"/>
      <c r="BC4683" s="117"/>
      <c r="BD4683" s="117"/>
    </row>
    <row r="4684" spans="1:56" ht="15">
      <c r="A4684" s="114"/>
      <c r="B4684" s="388" t="s">
        <v>1114</v>
      </c>
      <c r="C4684" s="389">
        <v>0.2</v>
      </c>
      <c r="D4684" s="390" t="s">
        <v>10</v>
      </c>
      <c r="E4684" s="288" t="s">
        <v>1121</v>
      </c>
      <c r="F4684" s="288"/>
      <c r="G4684" s="230"/>
      <c r="H4684" s="395"/>
      <c r="I4684" s="196"/>
      <c r="J4684" s="114"/>
      <c r="AW4684" s="117"/>
      <c r="AX4684" s="117"/>
      <c r="AY4684" s="117"/>
      <c r="AZ4684" s="117"/>
      <c r="BA4684" s="117"/>
      <c r="BB4684" s="117"/>
      <c r="BC4684" s="117"/>
      <c r="BD4684" s="117"/>
    </row>
    <row r="4685" spans="1:56" ht="15">
      <c r="A4685" s="114"/>
      <c r="B4685" s="196"/>
      <c r="C4685" s="196"/>
      <c r="D4685" s="196"/>
      <c r="E4685" s="196"/>
      <c r="F4685" s="196"/>
      <c r="G4685" s="196"/>
      <c r="H4685" s="196"/>
      <c r="I4685" s="196"/>
      <c r="J4685" s="114"/>
      <c r="AW4685" s="117"/>
      <c r="AX4685" s="117"/>
      <c r="AY4685" s="117"/>
      <c r="AZ4685" s="117"/>
      <c r="BA4685" s="117"/>
      <c r="BB4685" s="117"/>
      <c r="BC4685" s="117"/>
      <c r="BD4685" s="117"/>
    </row>
    <row r="4686" spans="1:56" ht="15">
      <c r="A4686" s="114"/>
      <c r="B4686" s="303" t="s">
        <v>1122</v>
      </c>
      <c r="C4686" s="362"/>
      <c r="D4686" s="362"/>
      <c r="E4686" s="196"/>
      <c r="F4686" s="196"/>
      <c r="G4686" s="196"/>
      <c r="H4686" s="196"/>
      <c r="I4686" s="196"/>
      <c r="J4686" s="114"/>
      <c r="AW4686" s="117"/>
      <c r="AX4686" s="117"/>
      <c r="AY4686" s="117"/>
      <c r="AZ4686" s="117"/>
      <c r="BA4686" s="117"/>
      <c r="BB4686" s="117"/>
      <c r="BC4686" s="117"/>
      <c r="BD4686" s="117"/>
    </row>
    <row r="4687" spans="1:56" ht="18">
      <c r="A4687" s="114"/>
      <c r="B4687" s="396" t="s">
        <v>1123</v>
      </c>
      <c r="C4687" s="289"/>
      <c r="D4687" s="290"/>
      <c r="E4687" s="397">
        <f>C4681*(C4683*2*(0.05+C4680+C4679)*C4678)</f>
        <v>111.88800000000001</v>
      </c>
      <c r="F4687" s="390" t="s">
        <v>1124</v>
      </c>
      <c r="G4687" s="196"/>
      <c r="H4687" s="196"/>
      <c r="I4687" s="196"/>
      <c r="J4687" s="114"/>
      <c r="AW4687" s="117"/>
      <c r="AX4687" s="117"/>
      <c r="AY4687" s="117"/>
      <c r="AZ4687" s="117"/>
      <c r="BA4687" s="117"/>
      <c r="BB4687" s="117"/>
      <c r="BC4687" s="117"/>
      <c r="BD4687" s="117"/>
    </row>
    <row r="4688" spans="1:56" ht="18">
      <c r="A4688" s="114"/>
      <c r="B4688" s="398" t="s">
        <v>1125</v>
      </c>
      <c r="C4688" s="172"/>
      <c r="D4688" s="173"/>
      <c r="E4688" s="397">
        <f>E4687-((C4677*0.05+C4677*C4680)*C4678)</f>
        <v>100.566</v>
      </c>
      <c r="F4688" s="390" t="s">
        <v>1124</v>
      </c>
      <c r="G4688" s="196"/>
      <c r="H4688" s="196"/>
      <c r="I4688" s="196"/>
      <c r="J4688" s="114"/>
      <c r="AW4688" s="117"/>
      <c r="AX4688" s="117"/>
      <c r="AY4688" s="117"/>
      <c r="AZ4688" s="117"/>
      <c r="BA4688" s="117"/>
      <c r="BB4688" s="117"/>
      <c r="BC4688" s="117"/>
      <c r="BD4688" s="117"/>
    </row>
    <row r="4689" spans="1:56" ht="15">
      <c r="A4689" s="114"/>
      <c r="B4689" s="399" t="s">
        <v>1126</v>
      </c>
      <c r="C4689" s="317"/>
      <c r="D4689" s="318"/>
      <c r="E4689" s="400">
        <f>(2*C4684)*C4678</f>
        <v>26.64</v>
      </c>
      <c r="F4689" s="390" t="s">
        <v>13</v>
      </c>
      <c r="G4689" s="196"/>
      <c r="H4689" s="196"/>
      <c r="I4689" s="196"/>
      <c r="J4689" s="114"/>
      <c r="AW4689" s="117"/>
      <c r="AX4689" s="117"/>
      <c r="AY4689" s="117"/>
      <c r="AZ4689" s="117"/>
      <c r="BA4689" s="117"/>
      <c r="BB4689" s="117"/>
      <c r="BC4689" s="117"/>
      <c r="BD4689" s="117"/>
    </row>
    <row r="4690" spans="1:56" ht="15">
      <c r="A4690" s="114"/>
      <c r="B4690" s="196"/>
      <c r="C4690" s="196"/>
      <c r="D4690" s="196"/>
      <c r="E4690" s="401"/>
      <c r="F4690" s="196"/>
      <c r="G4690" s="196"/>
      <c r="H4690" s="196"/>
      <c r="I4690" s="196"/>
      <c r="J4690" s="114"/>
      <c r="AW4690" s="117"/>
      <c r="AX4690" s="117"/>
      <c r="AY4690" s="117"/>
      <c r="AZ4690" s="117"/>
      <c r="BA4690" s="117"/>
      <c r="BB4690" s="117"/>
      <c r="BC4690" s="117"/>
      <c r="BD4690" s="117"/>
    </row>
    <row r="4691" spans="1:56" ht="15">
      <c r="A4691" s="114"/>
      <c r="B4691" s="303" t="s">
        <v>1127</v>
      </c>
      <c r="C4691" s="196"/>
      <c r="D4691" s="196"/>
      <c r="E4691" s="401"/>
      <c r="F4691" s="196"/>
      <c r="G4691" s="196"/>
      <c r="H4691" s="196"/>
      <c r="I4691" s="196"/>
      <c r="J4691" s="114"/>
      <c r="AW4691" s="117"/>
      <c r="AX4691" s="117"/>
      <c r="AY4691" s="117"/>
      <c r="AZ4691" s="117"/>
      <c r="BA4691" s="117"/>
      <c r="BB4691" s="117"/>
      <c r="BC4691" s="117"/>
      <c r="BD4691" s="117"/>
    </row>
    <row r="4692" spans="1:56" ht="18">
      <c r="A4692" s="114"/>
      <c r="B4692" s="398" t="s">
        <v>1128</v>
      </c>
      <c r="C4692" s="172"/>
      <c r="D4692" s="173"/>
      <c r="E4692" s="402">
        <f>E4689*0.05</f>
        <v>1.3320000000000001</v>
      </c>
      <c r="F4692" s="390" t="s">
        <v>1124</v>
      </c>
      <c r="G4692" s="196"/>
      <c r="H4692" s="196"/>
      <c r="I4692" s="196"/>
      <c r="J4692" s="114"/>
      <c r="AW4692" s="117"/>
      <c r="AX4692" s="117"/>
      <c r="AY4692" s="117"/>
      <c r="AZ4692" s="117"/>
      <c r="BA4692" s="117"/>
      <c r="BB4692" s="117"/>
      <c r="BC4692" s="117"/>
      <c r="BD4692" s="117"/>
    </row>
    <row r="4693" spans="1:56" ht="15">
      <c r="A4693" s="114"/>
      <c r="B4693" s="398" t="s">
        <v>1129</v>
      </c>
      <c r="C4693" s="172"/>
      <c r="D4693" s="173"/>
      <c r="E4693" s="397">
        <f>C4680*2*C4678</f>
        <v>106.56</v>
      </c>
      <c r="F4693" s="390" t="s">
        <v>13</v>
      </c>
      <c r="G4693" s="393" t="s">
        <v>1108</v>
      </c>
      <c r="H4693" s="196" t="s">
        <v>1131</v>
      </c>
      <c r="I4693" s="393"/>
      <c r="J4693" s="114"/>
      <c r="AW4693" s="117"/>
      <c r="AX4693" s="117"/>
      <c r="AY4693" s="117"/>
      <c r="AZ4693" s="117"/>
      <c r="BA4693" s="117"/>
      <c r="BB4693" s="117"/>
      <c r="BC4693" s="117"/>
      <c r="BD4693" s="117"/>
    </row>
    <row r="4694" spans="1:56" ht="18">
      <c r="A4694" s="114"/>
      <c r="B4694" s="398" t="s">
        <v>1130</v>
      </c>
      <c r="C4694" s="172"/>
      <c r="D4694" s="173"/>
      <c r="E4694" s="402">
        <f>C4677*C4678*C4680</f>
        <v>10.656000000000001</v>
      </c>
      <c r="F4694" s="390" t="s">
        <v>1124</v>
      </c>
      <c r="G4694" s="196"/>
      <c r="H4694" s="196"/>
      <c r="I4694" s="196"/>
      <c r="J4694" s="114"/>
      <c r="AW4694" s="117"/>
      <c r="AX4694" s="117"/>
      <c r="AY4694" s="117"/>
      <c r="AZ4694" s="117"/>
      <c r="BA4694" s="117"/>
      <c r="BB4694" s="117"/>
      <c r="BC4694" s="117"/>
      <c r="BD4694" s="117"/>
    </row>
    <row r="4695" spans="1:56" ht="15">
      <c r="A4695" s="114"/>
      <c r="B4695" s="288"/>
      <c r="C4695" s="230"/>
      <c r="D4695" s="230"/>
      <c r="E4695" s="384"/>
      <c r="F4695" s="196"/>
      <c r="G4695" s="196"/>
      <c r="H4695" s="196"/>
      <c r="I4695" s="196"/>
      <c r="J4695" s="114"/>
      <c r="AW4695" s="117"/>
      <c r="AX4695" s="117"/>
      <c r="AY4695" s="117"/>
      <c r="AZ4695" s="117"/>
      <c r="BA4695" s="117"/>
      <c r="BB4695" s="117"/>
      <c r="BC4695" s="117"/>
      <c r="BD4695" s="117"/>
    </row>
    <row r="4696" spans="1:56" ht="15">
      <c r="A4696" s="114"/>
      <c r="B4696" s="293"/>
      <c r="C4696" s="387"/>
      <c r="D4696" s="387"/>
      <c r="E4696" s="387"/>
      <c r="F4696" s="387"/>
      <c r="G4696" s="387"/>
      <c r="H4696" s="386"/>
      <c r="I4696" s="386"/>
      <c r="J4696" s="114"/>
      <c r="AW4696" s="117"/>
      <c r="AX4696" s="117"/>
      <c r="AY4696" s="117"/>
      <c r="AZ4696" s="117"/>
      <c r="BA4696" s="117"/>
      <c r="BB4696" s="117"/>
      <c r="BC4696" s="117"/>
      <c r="BD4696" s="117"/>
    </row>
    <row r="4697" spans="1:56" ht="15">
      <c r="A4697" s="114"/>
      <c r="B4697" s="293"/>
      <c r="C4697" s="387"/>
      <c r="D4697" s="387"/>
      <c r="E4697" s="387"/>
      <c r="F4697" s="387"/>
      <c r="G4697" s="387"/>
      <c r="H4697" s="386"/>
      <c r="I4697" s="386"/>
      <c r="J4697" s="114"/>
      <c r="AW4697" s="117"/>
      <c r="AX4697" s="117"/>
      <c r="AY4697" s="117"/>
      <c r="AZ4697" s="117"/>
      <c r="BA4697" s="117"/>
      <c r="BB4697" s="117"/>
      <c r="BC4697" s="117"/>
      <c r="BD4697" s="117"/>
    </row>
    <row r="4698" spans="1:56">
      <c r="A4698" s="114"/>
      <c r="B4698" s="385" t="s">
        <v>1289</v>
      </c>
      <c r="C4698" s="196"/>
      <c r="D4698" s="196"/>
      <c r="E4698" s="196"/>
      <c r="F4698" s="196"/>
      <c r="G4698" s="196"/>
      <c r="H4698" s="196"/>
      <c r="I4698" s="196"/>
      <c r="J4698" s="114"/>
      <c r="AW4698" s="117"/>
      <c r="AX4698" s="117"/>
      <c r="AY4698" s="117"/>
      <c r="AZ4698" s="117"/>
      <c r="BA4698" s="117"/>
      <c r="BB4698" s="117"/>
      <c r="BC4698" s="117"/>
      <c r="BD4698" s="117"/>
    </row>
    <row r="4699" spans="1:56" ht="15">
      <c r="A4699" s="114"/>
      <c r="B4699" s="196"/>
      <c r="C4699" s="196"/>
      <c r="D4699" s="196"/>
      <c r="E4699" s="196"/>
      <c r="F4699" s="196"/>
      <c r="G4699" s="196"/>
      <c r="H4699" s="196"/>
      <c r="I4699" s="196"/>
      <c r="J4699" s="114"/>
      <c r="AW4699" s="117"/>
      <c r="AX4699" s="117"/>
      <c r="AY4699" s="117"/>
      <c r="AZ4699" s="117"/>
      <c r="BA4699" s="117"/>
      <c r="BB4699" s="117"/>
      <c r="BC4699" s="117"/>
      <c r="BD4699" s="117"/>
    </row>
    <row r="4700" spans="1:56" ht="15">
      <c r="A4700" s="114"/>
      <c r="B4700" s="388" t="s">
        <v>1110</v>
      </c>
      <c r="C4700" s="389">
        <v>0.2</v>
      </c>
      <c r="D4700" s="390" t="s">
        <v>10</v>
      </c>
      <c r="E4700" s="196"/>
      <c r="F4700" s="196"/>
      <c r="G4700" s="392"/>
      <c r="H4700" s="393"/>
      <c r="I4700" s="196"/>
      <c r="J4700" s="114"/>
      <c r="AW4700" s="117"/>
      <c r="AX4700" s="117"/>
      <c r="AY4700" s="117"/>
      <c r="AZ4700" s="117"/>
      <c r="BA4700" s="117"/>
      <c r="BB4700" s="117"/>
      <c r="BC4700" s="117"/>
      <c r="BD4700" s="117"/>
    </row>
    <row r="4701" spans="1:56" ht="15">
      <c r="A4701" s="114"/>
      <c r="B4701" s="388" t="s">
        <v>1111</v>
      </c>
      <c r="C4701" s="391">
        <v>55.88</v>
      </c>
      <c r="D4701" s="390" t="s">
        <v>10</v>
      </c>
      <c r="E4701" s="196"/>
      <c r="F4701" s="908"/>
      <c r="G4701" s="392"/>
      <c r="H4701" s="393"/>
      <c r="I4701" s="196"/>
      <c r="J4701" s="114"/>
      <c r="AW4701" s="117"/>
      <c r="AX4701" s="117"/>
      <c r="AY4701" s="117"/>
      <c r="AZ4701" s="117"/>
      <c r="BA4701" s="117"/>
      <c r="BB4701" s="117"/>
      <c r="BC4701" s="117"/>
      <c r="BD4701" s="117"/>
    </row>
    <row r="4702" spans="1:56" ht="15">
      <c r="A4702" s="114"/>
      <c r="B4702" s="388" t="s">
        <v>1112</v>
      </c>
      <c r="C4702" s="389">
        <v>0.55000000000000004</v>
      </c>
      <c r="D4702" s="390" t="s">
        <v>10</v>
      </c>
      <c r="E4702" s="196"/>
      <c r="F4702" s="196"/>
      <c r="G4702" s="392"/>
      <c r="H4702" s="393"/>
      <c r="I4702" s="196"/>
      <c r="J4702" s="114"/>
      <c r="AW4702" s="117"/>
      <c r="AX4702" s="117"/>
      <c r="AY4702" s="117"/>
      <c r="AZ4702" s="117"/>
      <c r="BA4702" s="117"/>
      <c r="BB4702" s="117"/>
      <c r="BC4702" s="117"/>
      <c r="BD4702" s="117"/>
    </row>
    <row r="4703" spans="1:56" ht="15">
      <c r="A4703" s="114"/>
      <c r="B4703" s="388" t="s">
        <v>1113</v>
      </c>
      <c r="C4703" s="389">
        <v>0.9</v>
      </c>
      <c r="D4703" s="390" t="s">
        <v>10</v>
      </c>
      <c r="E4703" s="196"/>
      <c r="F4703" s="196"/>
      <c r="G4703" s="392"/>
      <c r="H4703" s="394"/>
      <c r="I4703" s="196"/>
      <c r="J4703" s="114"/>
      <c r="AW4703" s="117"/>
      <c r="AX4703" s="117"/>
      <c r="AY4703" s="117"/>
      <c r="AZ4703" s="117"/>
      <c r="BA4703" s="117"/>
      <c r="BB4703" s="117"/>
      <c r="BC4703" s="117"/>
      <c r="BD4703" s="117"/>
    </row>
    <row r="4704" spans="1:56" ht="15">
      <c r="A4704" s="114"/>
      <c r="B4704" s="388" t="s">
        <v>1117</v>
      </c>
      <c r="C4704" s="389">
        <v>1</v>
      </c>
      <c r="D4704" s="390" t="s">
        <v>1118</v>
      </c>
      <c r="E4704" s="196"/>
      <c r="F4704" s="196"/>
      <c r="G4704" s="392"/>
      <c r="H4704" s="393"/>
      <c r="I4704" s="196"/>
      <c r="J4704" s="114"/>
      <c r="AW4704" s="117"/>
      <c r="AX4704" s="117"/>
      <c r="AY4704" s="117"/>
      <c r="AZ4704" s="117"/>
      <c r="BA4704" s="117"/>
      <c r="BB4704" s="117"/>
      <c r="BC4704" s="117"/>
      <c r="BD4704" s="117"/>
    </row>
    <row r="4705" spans="1:56" ht="15">
      <c r="A4705" s="114"/>
      <c r="B4705" s="392"/>
      <c r="C4705" s="393"/>
      <c r="D4705" s="196"/>
      <c r="E4705" s="196"/>
      <c r="F4705" s="196"/>
      <c r="G4705" s="392"/>
      <c r="H4705" s="393"/>
      <c r="I4705" s="196"/>
      <c r="J4705" s="114"/>
      <c r="AW4705" s="117"/>
      <c r="AX4705" s="117"/>
      <c r="AY4705" s="117"/>
      <c r="AZ4705" s="117"/>
      <c r="BA4705" s="117"/>
      <c r="BB4705" s="117"/>
      <c r="BC4705" s="117"/>
      <c r="BD4705" s="117"/>
    </row>
    <row r="4706" spans="1:56" ht="15">
      <c r="A4706" s="114"/>
      <c r="B4706" s="388" t="s">
        <v>1114</v>
      </c>
      <c r="C4706" s="389">
        <v>0.6</v>
      </c>
      <c r="D4706" s="390" t="s">
        <v>10</v>
      </c>
      <c r="E4706" s="288" t="s">
        <v>1120</v>
      </c>
      <c r="F4706" s="288"/>
      <c r="G4706" s="230"/>
      <c r="H4706" s="395"/>
      <c r="I4706" s="196"/>
      <c r="J4706" s="114"/>
      <c r="AW4706" s="117"/>
      <c r="AX4706" s="117"/>
      <c r="AY4706" s="117"/>
      <c r="AZ4706" s="117"/>
      <c r="BA4706" s="117"/>
      <c r="BB4706" s="117"/>
      <c r="BC4706" s="117"/>
      <c r="BD4706" s="117"/>
    </row>
    <row r="4707" spans="1:56" ht="15">
      <c r="A4707" s="114"/>
      <c r="B4707" s="388" t="s">
        <v>1114</v>
      </c>
      <c r="C4707" s="389">
        <v>0.2</v>
      </c>
      <c r="D4707" s="390" t="s">
        <v>10</v>
      </c>
      <c r="E4707" s="288" t="s">
        <v>1121</v>
      </c>
      <c r="F4707" s="288"/>
      <c r="G4707" s="230"/>
      <c r="H4707" s="395"/>
      <c r="I4707" s="196"/>
      <c r="J4707" s="114"/>
      <c r="AW4707" s="117"/>
      <c r="AX4707" s="117"/>
      <c r="AY4707" s="117"/>
      <c r="AZ4707" s="117"/>
      <c r="BA4707" s="117"/>
      <c r="BB4707" s="117"/>
      <c r="BC4707" s="117"/>
      <c r="BD4707" s="117"/>
    </row>
    <row r="4708" spans="1:56" ht="15">
      <c r="A4708" s="114"/>
      <c r="B4708" s="196"/>
      <c r="C4708" s="196"/>
      <c r="D4708" s="196"/>
      <c r="E4708" s="196"/>
      <c r="F4708" s="196"/>
      <c r="G4708" s="196"/>
      <c r="H4708" s="196"/>
      <c r="I4708" s="196"/>
      <c r="J4708" s="114"/>
      <c r="AW4708" s="117"/>
      <c r="AX4708" s="117"/>
      <c r="AY4708" s="117"/>
      <c r="AZ4708" s="117"/>
      <c r="BA4708" s="117"/>
      <c r="BB4708" s="117"/>
      <c r="BC4708" s="117"/>
      <c r="BD4708" s="117"/>
    </row>
    <row r="4709" spans="1:56" ht="15">
      <c r="A4709" s="114"/>
      <c r="B4709" s="303" t="s">
        <v>1122</v>
      </c>
      <c r="C4709" s="362"/>
      <c r="D4709" s="362"/>
      <c r="E4709" s="196"/>
      <c r="F4709" s="196"/>
      <c r="G4709" s="196"/>
      <c r="H4709" s="196"/>
      <c r="I4709" s="196"/>
      <c r="J4709" s="114"/>
      <c r="AW4709" s="117"/>
      <c r="AX4709" s="117"/>
      <c r="AY4709" s="117"/>
      <c r="AZ4709" s="117"/>
      <c r="BA4709" s="117"/>
      <c r="BB4709" s="117"/>
      <c r="BC4709" s="117"/>
      <c r="BD4709" s="117"/>
    </row>
    <row r="4710" spans="1:56" ht="18">
      <c r="A4710" s="114"/>
      <c r="B4710" s="396" t="s">
        <v>1123</v>
      </c>
      <c r="C4710" s="289"/>
      <c r="D4710" s="290"/>
      <c r="E4710" s="397">
        <f>C4704*(C4706*2*(0.05+C4703+C4702)*C4701)</f>
        <v>100.58399999999999</v>
      </c>
      <c r="F4710" s="390" t="s">
        <v>1124</v>
      </c>
      <c r="G4710" s="196"/>
      <c r="H4710" s="196"/>
      <c r="I4710" s="196"/>
      <c r="J4710" s="114"/>
      <c r="AW4710" s="117"/>
      <c r="AX4710" s="117"/>
      <c r="AY4710" s="117"/>
      <c r="AZ4710" s="117"/>
      <c r="BA4710" s="117"/>
      <c r="BB4710" s="117"/>
      <c r="BC4710" s="117"/>
      <c r="BD4710" s="117"/>
    </row>
    <row r="4711" spans="1:56" ht="18">
      <c r="A4711" s="114"/>
      <c r="B4711" s="398" t="s">
        <v>1125</v>
      </c>
      <c r="C4711" s="172"/>
      <c r="D4711" s="173"/>
      <c r="E4711" s="397">
        <f>E4710-((C4700*0.05+C4700*C4703)*C4701)</f>
        <v>89.966799999999992</v>
      </c>
      <c r="F4711" s="390" t="s">
        <v>1124</v>
      </c>
      <c r="G4711" s="196"/>
      <c r="H4711" s="196"/>
      <c r="I4711" s="196"/>
      <c r="J4711" s="114"/>
      <c r="AW4711" s="117"/>
      <c r="AX4711" s="117"/>
      <c r="AY4711" s="117"/>
      <c r="AZ4711" s="117"/>
      <c r="BA4711" s="117"/>
      <c r="BB4711" s="117"/>
      <c r="BC4711" s="117"/>
      <c r="BD4711" s="117"/>
    </row>
    <row r="4712" spans="1:56" ht="15">
      <c r="A4712" s="114"/>
      <c r="B4712" s="399" t="s">
        <v>1126</v>
      </c>
      <c r="C4712" s="317"/>
      <c r="D4712" s="318"/>
      <c r="E4712" s="400">
        <f>(2*C4707)*C4701</f>
        <v>22.352000000000004</v>
      </c>
      <c r="F4712" s="390" t="s">
        <v>13</v>
      </c>
      <c r="G4712" s="196"/>
      <c r="H4712" s="196"/>
      <c r="I4712" s="196"/>
      <c r="J4712" s="114"/>
      <c r="AW4712" s="117"/>
      <c r="AX4712" s="117"/>
      <c r="AY4712" s="117"/>
      <c r="AZ4712" s="117"/>
      <c r="BA4712" s="117"/>
      <c r="BB4712" s="117"/>
      <c r="BC4712" s="117"/>
      <c r="BD4712" s="117"/>
    </row>
    <row r="4713" spans="1:56" ht="15">
      <c r="A4713" s="114"/>
      <c r="B4713" s="196"/>
      <c r="C4713" s="196"/>
      <c r="D4713" s="196"/>
      <c r="E4713" s="401"/>
      <c r="F4713" s="196"/>
      <c r="G4713" s="196"/>
      <c r="H4713" s="196"/>
      <c r="I4713" s="196"/>
      <c r="J4713" s="114"/>
      <c r="AW4713" s="117"/>
      <c r="AX4713" s="117"/>
      <c r="AY4713" s="117"/>
      <c r="AZ4713" s="117"/>
      <c r="BA4713" s="117"/>
      <c r="BB4713" s="117"/>
      <c r="BC4713" s="117"/>
      <c r="BD4713" s="117"/>
    </row>
    <row r="4714" spans="1:56" ht="15">
      <c r="A4714" s="114"/>
      <c r="B4714" s="303" t="s">
        <v>1127</v>
      </c>
      <c r="C4714" s="196"/>
      <c r="D4714" s="196"/>
      <c r="E4714" s="401"/>
      <c r="F4714" s="196"/>
      <c r="G4714" s="196"/>
      <c r="H4714" s="196"/>
      <c r="I4714" s="196"/>
      <c r="J4714" s="114"/>
      <c r="AW4714" s="117"/>
      <c r="AX4714" s="117"/>
      <c r="AY4714" s="117"/>
      <c r="AZ4714" s="117"/>
      <c r="BA4714" s="117"/>
      <c r="BB4714" s="117"/>
      <c r="BC4714" s="117"/>
      <c r="BD4714" s="117"/>
    </row>
    <row r="4715" spans="1:56" ht="18">
      <c r="A4715" s="114"/>
      <c r="B4715" s="398" t="s">
        <v>1128</v>
      </c>
      <c r="C4715" s="172"/>
      <c r="D4715" s="173"/>
      <c r="E4715" s="402">
        <f>E4712*0.05</f>
        <v>1.1176000000000001</v>
      </c>
      <c r="F4715" s="390" t="s">
        <v>1124</v>
      </c>
      <c r="G4715" s="196"/>
      <c r="H4715" s="196"/>
      <c r="I4715" s="196"/>
      <c r="J4715" s="114"/>
      <c r="AW4715" s="117"/>
      <c r="AX4715" s="117"/>
      <c r="AY4715" s="117"/>
      <c r="AZ4715" s="117"/>
      <c r="BA4715" s="117"/>
      <c r="BB4715" s="117"/>
      <c r="BC4715" s="117"/>
      <c r="BD4715" s="117"/>
    </row>
    <row r="4716" spans="1:56" ht="15">
      <c r="A4716" s="114"/>
      <c r="B4716" s="398" t="s">
        <v>1129</v>
      </c>
      <c r="C4716" s="172"/>
      <c r="D4716" s="173"/>
      <c r="E4716" s="397">
        <f>C4703*2*C4701</f>
        <v>100.584</v>
      </c>
      <c r="F4716" s="390" t="s">
        <v>13</v>
      </c>
      <c r="G4716" s="393" t="s">
        <v>1108</v>
      </c>
      <c r="H4716" s="196" t="s">
        <v>1131</v>
      </c>
      <c r="I4716" s="393"/>
      <c r="J4716" s="114"/>
      <c r="AW4716" s="117"/>
      <c r="AX4716" s="117"/>
      <c r="AY4716" s="117"/>
      <c r="AZ4716" s="117"/>
      <c r="BA4716" s="117"/>
      <c r="BB4716" s="117"/>
      <c r="BC4716" s="117"/>
      <c r="BD4716" s="117"/>
    </row>
    <row r="4717" spans="1:56" ht="18">
      <c r="A4717" s="114"/>
      <c r="B4717" s="398" t="s">
        <v>1130</v>
      </c>
      <c r="C4717" s="172"/>
      <c r="D4717" s="173"/>
      <c r="E4717" s="402">
        <f>C4700*C4701*C4703</f>
        <v>10.058400000000002</v>
      </c>
      <c r="F4717" s="390" t="s">
        <v>1124</v>
      </c>
      <c r="G4717" s="196"/>
      <c r="H4717" s="196"/>
      <c r="I4717" s="196"/>
      <c r="J4717" s="114"/>
      <c r="AW4717" s="117"/>
      <c r="AX4717" s="117"/>
      <c r="AY4717" s="117"/>
      <c r="AZ4717" s="117"/>
      <c r="BA4717" s="117"/>
      <c r="BB4717" s="117"/>
      <c r="BC4717" s="117"/>
      <c r="BD4717" s="117"/>
    </row>
    <row r="4718" spans="1:56" ht="15">
      <c r="A4718" s="114"/>
      <c r="B4718" s="288"/>
      <c r="C4718" s="230"/>
      <c r="D4718" s="230"/>
      <c r="E4718" s="384"/>
      <c r="F4718" s="196"/>
      <c r="G4718" s="196"/>
      <c r="H4718" s="196"/>
      <c r="I4718" s="196"/>
      <c r="J4718" s="114"/>
      <c r="AW4718" s="117"/>
      <c r="AX4718" s="117"/>
      <c r="AY4718" s="117"/>
      <c r="AZ4718" s="117"/>
      <c r="BA4718" s="117"/>
      <c r="BB4718" s="117"/>
      <c r="BC4718" s="117"/>
      <c r="BD4718" s="117"/>
    </row>
    <row r="4719" spans="1:56" ht="15">
      <c r="A4719" s="114"/>
      <c r="B4719" s="293"/>
      <c r="C4719" s="387"/>
      <c r="D4719" s="387"/>
      <c r="E4719" s="387"/>
      <c r="F4719" s="387"/>
      <c r="G4719" s="387"/>
      <c r="H4719" s="386"/>
      <c r="I4719" s="386"/>
      <c r="J4719" s="114"/>
      <c r="AW4719" s="117"/>
      <c r="AX4719" s="117"/>
      <c r="AY4719" s="117"/>
      <c r="AZ4719" s="117"/>
      <c r="BA4719" s="117"/>
      <c r="BB4719" s="117"/>
      <c r="BC4719" s="117"/>
      <c r="BD4719" s="117"/>
    </row>
    <row r="4720" spans="1:56" ht="15">
      <c r="A4720" s="114"/>
      <c r="B4720" s="293"/>
      <c r="C4720" s="387"/>
      <c r="D4720" s="387"/>
      <c r="E4720" s="387"/>
      <c r="F4720" s="387"/>
      <c r="G4720" s="387"/>
      <c r="H4720" s="386"/>
      <c r="I4720" s="386"/>
      <c r="J4720" s="114"/>
      <c r="AW4720" s="117"/>
      <c r="AX4720" s="117"/>
      <c r="AY4720" s="117"/>
      <c r="AZ4720" s="117"/>
      <c r="BA4720" s="117"/>
      <c r="BB4720" s="117"/>
      <c r="BC4720" s="117"/>
      <c r="BD4720" s="117"/>
    </row>
    <row r="4721" spans="1:56">
      <c r="A4721" s="114"/>
      <c r="B4721" s="385" t="s">
        <v>1290</v>
      </c>
      <c r="C4721" s="196"/>
      <c r="D4721" s="196"/>
      <c r="E4721" s="196"/>
      <c r="F4721" s="196"/>
      <c r="G4721" s="196"/>
      <c r="H4721" s="196"/>
      <c r="I4721" s="196"/>
      <c r="J4721" s="114"/>
      <c r="AW4721" s="117"/>
      <c r="AX4721" s="117"/>
      <c r="AY4721" s="117"/>
      <c r="AZ4721" s="117"/>
      <c r="BA4721" s="117"/>
      <c r="BB4721" s="117"/>
      <c r="BC4721" s="117"/>
      <c r="BD4721" s="117"/>
    </row>
    <row r="4722" spans="1:56" ht="15">
      <c r="A4722" s="114"/>
      <c r="B4722" s="196"/>
      <c r="C4722" s="196"/>
      <c r="D4722" s="196"/>
      <c r="E4722" s="196"/>
      <c r="F4722" s="196"/>
      <c r="G4722" s="196"/>
      <c r="H4722" s="196"/>
      <c r="I4722" s="196"/>
      <c r="J4722" s="114"/>
      <c r="AW4722" s="117"/>
      <c r="AX4722" s="117"/>
      <c r="AY4722" s="117"/>
      <c r="AZ4722" s="117"/>
      <c r="BA4722" s="117"/>
      <c r="BB4722" s="117"/>
      <c r="BC4722" s="117"/>
      <c r="BD4722" s="117"/>
    </row>
    <row r="4723" spans="1:56" ht="15">
      <c r="A4723" s="114"/>
      <c r="B4723" s="388" t="s">
        <v>1110</v>
      </c>
      <c r="C4723" s="389">
        <v>0.2</v>
      </c>
      <c r="D4723" s="390" t="s">
        <v>10</v>
      </c>
      <c r="E4723" s="196"/>
      <c r="F4723" s="196"/>
      <c r="G4723" s="392"/>
      <c r="H4723" s="393"/>
      <c r="I4723" s="196"/>
      <c r="J4723" s="114"/>
      <c r="AW4723" s="117"/>
      <c r="AX4723" s="117"/>
      <c r="AY4723" s="117"/>
      <c r="AZ4723" s="117"/>
      <c r="BA4723" s="117"/>
      <c r="BB4723" s="117"/>
      <c r="BC4723" s="117"/>
      <c r="BD4723" s="117"/>
    </row>
    <row r="4724" spans="1:56" ht="15">
      <c r="A4724" s="114"/>
      <c r="B4724" s="388" t="s">
        <v>1111</v>
      </c>
      <c r="C4724" s="951">
        <v>423.6</v>
      </c>
      <c r="D4724" s="390" t="s">
        <v>10</v>
      </c>
      <c r="E4724" s="196"/>
      <c r="F4724" s="196"/>
      <c r="G4724" s="392"/>
      <c r="H4724" s="393"/>
      <c r="I4724" s="196"/>
      <c r="J4724" s="114"/>
      <c r="AW4724" s="117"/>
      <c r="AX4724" s="117"/>
      <c r="AY4724" s="117"/>
      <c r="AZ4724" s="117"/>
      <c r="BA4724" s="117"/>
      <c r="BB4724" s="117"/>
      <c r="BC4724" s="117"/>
      <c r="BD4724" s="117"/>
    </row>
    <row r="4725" spans="1:56" ht="15">
      <c r="A4725" s="114"/>
      <c r="B4725" s="388" t="s">
        <v>1112</v>
      </c>
      <c r="C4725" s="389">
        <v>0.55000000000000004</v>
      </c>
      <c r="D4725" s="390" t="s">
        <v>10</v>
      </c>
      <c r="E4725" s="196"/>
      <c r="F4725" s="908"/>
      <c r="G4725" s="392"/>
      <c r="H4725" s="393"/>
      <c r="I4725" s="196"/>
      <c r="J4725" s="114"/>
      <c r="AW4725" s="117"/>
      <c r="AX4725" s="117"/>
      <c r="AY4725" s="117"/>
      <c r="AZ4725" s="117"/>
      <c r="BA4725" s="117"/>
      <c r="BB4725" s="117"/>
      <c r="BC4725" s="117"/>
      <c r="BD4725" s="117"/>
    </row>
    <row r="4726" spans="1:56" ht="15">
      <c r="A4726" s="114"/>
      <c r="B4726" s="388" t="s">
        <v>1113</v>
      </c>
      <c r="C4726" s="389">
        <v>1</v>
      </c>
      <c r="D4726" s="390" t="s">
        <v>10</v>
      </c>
      <c r="E4726" s="196"/>
      <c r="F4726" s="196"/>
      <c r="G4726" s="392"/>
      <c r="H4726" s="394"/>
      <c r="I4726" s="196"/>
      <c r="J4726" s="114"/>
      <c r="AW4726" s="117"/>
      <c r="AX4726" s="117"/>
      <c r="AY4726" s="117"/>
      <c r="AZ4726" s="117"/>
      <c r="BA4726" s="117"/>
      <c r="BB4726" s="117"/>
      <c r="BC4726" s="117"/>
      <c r="BD4726" s="117"/>
    </row>
    <row r="4727" spans="1:56" ht="15">
      <c r="A4727" s="114"/>
      <c r="B4727" s="388" t="s">
        <v>1117</v>
      </c>
      <c r="C4727" s="389">
        <v>1</v>
      </c>
      <c r="D4727" s="390" t="s">
        <v>1118</v>
      </c>
      <c r="E4727" s="196"/>
      <c r="F4727" s="196"/>
      <c r="G4727" s="392"/>
      <c r="H4727" s="393"/>
      <c r="I4727" s="196"/>
      <c r="J4727" s="114"/>
      <c r="AW4727" s="117"/>
      <c r="AX4727" s="117"/>
      <c r="AY4727" s="117"/>
      <c r="AZ4727" s="117"/>
      <c r="BA4727" s="117"/>
      <c r="BB4727" s="117"/>
      <c r="BC4727" s="117"/>
      <c r="BD4727" s="117"/>
    </row>
    <row r="4728" spans="1:56" ht="15">
      <c r="A4728" s="114"/>
      <c r="B4728" s="392"/>
      <c r="C4728" s="393"/>
      <c r="D4728" s="196"/>
      <c r="E4728" s="196"/>
      <c r="F4728" s="196"/>
      <c r="G4728" s="392"/>
      <c r="H4728" s="393"/>
      <c r="I4728" s="196"/>
      <c r="J4728" s="114"/>
      <c r="AW4728" s="117"/>
      <c r="AX4728" s="117"/>
      <c r="AY4728" s="117"/>
      <c r="AZ4728" s="117"/>
      <c r="BA4728" s="117"/>
      <c r="BB4728" s="117"/>
      <c r="BC4728" s="117"/>
      <c r="BD4728" s="117"/>
    </row>
    <row r="4729" spans="1:56" ht="15">
      <c r="A4729" s="114"/>
      <c r="B4729" s="388" t="s">
        <v>1114</v>
      </c>
      <c r="C4729" s="389">
        <v>0.6</v>
      </c>
      <c r="D4729" s="390" t="s">
        <v>10</v>
      </c>
      <c r="E4729" s="288" t="s">
        <v>1120</v>
      </c>
      <c r="F4729" s="288"/>
      <c r="G4729" s="230"/>
      <c r="H4729" s="395"/>
      <c r="I4729" s="196"/>
      <c r="J4729" s="114"/>
      <c r="AW4729" s="117"/>
      <c r="AX4729" s="117"/>
      <c r="AY4729" s="117"/>
      <c r="AZ4729" s="117"/>
      <c r="BA4729" s="117"/>
      <c r="BB4729" s="117"/>
      <c r="BC4729" s="117"/>
      <c r="BD4729" s="117"/>
    </row>
    <row r="4730" spans="1:56" ht="15">
      <c r="A4730" s="114"/>
      <c r="B4730" s="388" t="s">
        <v>1114</v>
      </c>
      <c r="C4730" s="389">
        <v>0.2</v>
      </c>
      <c r="D4730" s="390" t="s">
        <v>10</v>
      </c>
      <c r="E4730" s="288" t="s">
        <v>1121</v>
      </c>
      <c r="F4730" s="288"/>
      <c r="G4730" s="230"/>
      <c r="H4730" s="395"/>
      <c r="I4730" s="196"/>
      <c r="J4730" s="114"/>
      <c r="AW4730" s="117"/>
      <c r="AX4730" s="117"/>
      <c r="AY4730" s="117"/>
      <c r="AZ4730" s="117"/>
      <c r="BA4730" s="117"/>
      <c r="BB4730" s="117"/>
      <c r="BC4730" s="117"/>
      <c r="BD4730" s="117"/>
    </row>
    <row r="4731" spans="1:56" ht="15">
      <c r="A4731" s="114"/>
      <c r="B4731" s="196"/>
      <c r="C4731" s="196"/>
      <c r="D4731" s="196"/>
      <c r="E4731" s="196"/>
      <c r="F4731" s="196"/>
      <c r="G4731" s="196"/>
      <c r="H4731" s="196"/>
      <c r="I4731" s="196"/>
      <c r="J4731" s="114"/>
      <c r="AW4731" s="117"/>
      <c r="AX4731" s="117"/>
      <c r="AY4731" s="117"/>
      <c r="AZ4731" s="117"/>
      <c r="BA4731" s="117"/>
      <c r="BB4731" s="117"/>
      <c r="BC4731" s="117"/>
      <c r="BD4731" s="117"/>
    </row>
    <row r="4732" spans="1:56" ht="15">
      <c r="A4732" s="114"/>
      <c r="B4732" s="303" t="s">
        <v>1122</v>
      </c>
      <c r="C4732" s="362"/>
      <c r="D4732" s="362"/>
      <c r="E4732" s="196"/>
      <c r="F4732" s="196"/>
      <c r="G4732" s="196"/>
      <c r="H4732" s="196"/>
      <c r="I4732" s="196"/>
      <c r="J4732" s="114"/>
      <c r="AW4732" s="117"/>
      <c r="AX4732" s="117"/>
      <c r="AY4732" s="117"/>
      <c r="AZ4732" s="117"/>
      <c r="BA4732" s="117"/>
      <c r="BB4732" s="117"/>
      <c r="BC4732" s="117"/>
      <c r="BD4732" s="117"/>
    </row>
    <row r="4733" spans="1:56" ht="18">
      <c r="A4733" s="114"/>
      <c r="B4733" s="396" t="s">
        <v>1123</v>
      </c>
      <c r="C4733" s="289"/>
      <c r="D4733" s="290"/>
      <c r="E4733" s="397">
        <f>C4727*(C4729*2*(0.05+C4726+C4725)*C4724)</f>
        <v>813.31200000000001</v>
      </c>
      <c r="F4733" s="390" t="s">
        <v>1124</v>
      </c>
      <c r="G4733" s="196"/>
      <c r="H4733" s="196"/>
      <c r="I4733" s="196"/>
      <c r="J4733" s="114"/>
      <c r="AW4733" s="117"/>
      <c r="AX4733" s="117"/>
      <c r="AY4733" s="117"/>
      <c r="AZ4733" s="117"/>
      <c r="BA4733" s="117"/>
      <c r="BB4733" s="117"/>
      <c r="BC4733" s="117"/>
      <c r="BD4733" s="117"/>
    </row>
    <row r="4734" spans="1:56" ht="18">
      <c r="A4734" s="114"/>
      <c r="B4734" s="398" t="s">
        <v>1125</v>
      </c>
      <c r="C4734" s="172"/>
      <c r="D4734" s="173"/>
      <c r="E4734" s="397">
        <f>E4733-((C4723*0.05+C4723*C4726)*C4724)</f>
        <v>724.35599999999999</v>
      </c>
      <c r="F4734" s="390" t="s">
        <v>1124</v>
      </c>
      <c r="G4734" s="196"/>
      <c r="H4734" s="196"/>
      <c r="I4734" s="196"/>
      <c r="J4734" s="114"/>
      <c r="AW4734" s="117"/>
      <c r="AX4734" s="117"/>
      <c r="AY4734" s="117"/>
      <c r="AZ4734" s="117"/>
      <c r="BA4734" s="117"/>
      <c r="BB4734" s="117"/>
      <c r="BC4734" s="117"/>
      <c r="BD4734" s="117"/>
    </row>
    <row r="4735" spans="1:56" ht="18" customHeight="1">
      <c r="A4735" s="114"/>
      <c r="B4735" s="399" t="s">
        <v>1126</v>
      </c>
      <c r="C4735" s="317"/>
      <c r="D4735" s="318"/>
      <c r="E4735" s="400">
        <f>(2*C4730)*C4724</f>
        <v>169.44000000000003</v>
      </c>
      <c r="F4735" s="390" t="s">
        <v>13</v>
      </c>
      <c r="G4735" s="196"/>
      <c r="H4735" s="196"/>
      <c r="I4735" s="196"/>
      <c r="J4735" s="114"/>
      <c r="AW4735" s="117"/>
      <c r="AX4735" s="117"/>
      <c r="AY4735" s="117"/>
      <c r="AZ4735" s="117"/>
      <c r="BA4735" s="117"/>
      <c r="BB4735" s="117"/>
      <c r="BC4735" s="117"/>
      <c r="BD4735" s="117"/>
    </row>
    <row r="4736" spans="1:56" ht="15">
      <c r="A4736" s="114"/>
      <c r="B4736" s="196"/>
      <c r="C4736" s="196"/>
      <c r="D4736" s="196"/>
      <c r="E4736" s="401"/>
      <c r="F4736" s="196"/>
      <c r="G4736" s="196"/>
      <c r="H4736" s="196"/>
      <c r="I4736" s="196"/>
      <c r="J4736" s="114"/>
      <c r="AW4736" s="117"/>
      <c r="AX4736" s="117"/>
      <c r="AY4736" s="117"/>
      <c r="AZ4736" s="117"/>
      <c r="BA4736" s="117"/>
      <c r="BB4736" s="117"/>
      <c r="BC4736" s="117"/>
      <c r="BD4736" s="117"/>
    </row>
    <row r="4737" spans="1:56" ht="15">
      <c r="A4737" s="114"/>
      <c r="B4737" s="303" t="s">
        <v>1127</v>
      </c>
      <c r="C4737" s="196"/>
      <c r="D4737" s="196"/>
      <c r="E4737" s="401"/>
      <c r="F4737" s="196"/>
      <c r="G4737" s="196"/>
      <c r="H4737" s="196"/>
      <c r="I4737" s="196"/>
      <c r="J4737" s="114"/>
      <c r="AW4737" s="117"/>
      <c r="AX4737" s="117"/>
      <c r="AY4737" s="117"/>
      <c r="AZ4737" s="117"/>
      <c r="BA4737" s="117"/>
      <c r="BB4737" s="117"/>
      <c r="BC4737" s="117"/>
      <c r="BD4737" s="117"/>
    </row>
    <row r="4738" spans="1:56" ht="18">
      <c r="A4738" s="114"/>
      <c r="B4738" s="398" t="s">
        <v>1128</v>
      </c>
      <c r="C4738" s="172"/>
      <c r="D4738" s="173"/>
      <c r="E4738" s="402">
        <f>E4735*0.05</f>
        <v>8.4720000000000013</v>
      </c>
      <c r="F4738" s="390" t="s">
        <v>1124</v>
      </c>
      <c r="G4738" s="196"/>
      <c r="H4738" s="196"/>
      <c r="I4738" s="196"/>
      <c r="J4738" s="114"/>
      <c r="AW4738" s="117"/>
      <c r="AX4738" s="117"/>
      <c r="AY4738" s="117"/>
      <c r="AZ4738" s="117"/>
      <c r="BA4738" s="117"/>
      <c r="BB4738" s="117"/>
      <c r="BC4738" s="117"/>
      <c r="BD4738" s="117"/>
    </row>
    <row r="4739" spans="1:56" ht="18.75" customHeight="1">
      <c r="A4739" s="114"/>
      <c r="B4739" s="398" t="s">
        <v>1129</v>
      </c>
      <c r="C4739" s="172"/>
      <c r="D4739" s="173"/>
      <c r="E4739" s="397">
        <f>C4726*2*C4724</f>
        <v>847.2</v>
      </c>
      <c r="F4739" s="390" t="s">
        <v>13</v>
      </c>
      <c r="G4739" s="393" t="s">
        <v>1108</v>
      </c>
      <c r="H4739" s="196" t="s">
        <v>1131</v>
      </c>
      <c r="I4739" s="393"/>
      <c r="J4739" s="114"/>
      <c r="AW4739" s="117"/>
      <c r="AX4739" s="117"/>
      <c r="AY4739" s="117"/>
      <c r="AZ4739" s="117"/>
      <c r="BA4739" s="117"/>
      <c r="BB4739" s="117"/>
      <c r="BC4739" s="117"/>
      <c r="BD4739" s="117"/>
    </row>
    <row r="4740" spans="1:56" ht="18">
      <c r="A4740" s="114"/>
      <c r="B4740" s="398" t="s">
        <v>1130</v>
      </c>
      <c r="C4740" s="172"/>
      <c r="D4740" s="173"/>
      <c r="E4740" s="402">
        <f>C4723*C4724*C4726</f>
        <v>84.720000000000013</v>
      </c>
      <c r="F4740" s="390" t="s">
        <v>1124</v>
      </c>
      <c r="G4740" s="196"/>
      <c r="H4740" s="196"/>
      <c r="I4740" s="196"/>
      <c r="J4740" s="114"/>
      <c r="AW4740" s="117"/>
      <c r="AX4740" s="117"/>
      <c r="AY4740" s="117"/>
      <c r="AZ4740" s="117"/>
      <c r="BA4740" s="117"/>
      <c r="BB4740" s="117"/>
      <c r="BC4740" s="117"/>
      <c r="BD4740" s="117"/>
    </row>
    <row r="4741" spans="1:56" ht="15">
      <c r="A4741" s="114"/>
      <c r="B4741" s="288"/>
      <c r="C4741" s="230"/>
      <c r="D4741" s="230"/>
      <c r="E4741" s="384"/>
      <c r="F4741" s="196"/>
      <c r="G4741" s="196"/>
      <c r="H4741" s="196"/>
      <c r="I4741" s="196"/>
      <c r="J4741" s="114"/>
      <c r="AW4741" s="117"/>
      <c r="AX4741" s="117"/>
      <c r="AY4741" s="117"/>
      <c r="AZ4741" s="117"/>
      <c r="BA4741" s="117"/>
      <c r="BB4741" s="117"/>
      <c r="BC4741" s="117"/>
      <c r="BD4741" s="117"/>
    </row>
    <row r="4742" spans="1:56" ht="15">
      <c r="A4742" s="114"/>
      <c r="B4742" s="293"/>
      <c r="C4742" s="387"/>
      <c r="D4742" s="387"/>
      <c r="E4742" s="387"/>
      <c r="F4742" s="387"/>
      <c r="G4742" s="387"/>
      <c r="H4742" s="386"/>
      <c r="I4742" s="386"/>
      <c r="J4742" s="114"/>
      <c r="AW4742" s="117"/>
      <c r="AX4742" s="117"/>
      <c r="AY4742" s="117"/>
      <c r="AZ4742" s="117"/>
      <c r="BA4742" s="117"/>
      <c r="BB4742" s="117"/>
      <c r="BC4742" s="117"/>
      <c r="BD4742" s="117"/>
    </row>
    <row r="4743" spans="1:56" ht="15">
      <c r="A4743" s="114"/>
      <c r="B4743" s="293"/>
      <c r="C4743" s="387"/>
      <c r="D4743" s="387"/>
      <c r="E4743" s="387"/>
      <c r="F4743" s="387"/>
      <c r="G4743" s="387"/>
      <c r="H4743" s="386"/>
      <c r="I4743" s="386"/>
      <c r="J4743" s="114"/>
      <c r="AW4743" s="117"/>
      <c r="AX4743" s="117"/>
      <c r="AY4743" s="117"/>
      <c r="AZ4743" s="117"/>
      <c r="BA4743" s="117"/>
      <c r="BB4743" s="117"/>
      <c r="BC4743" s="117"/>
      <c r="BD4743" s="117"/>
    </row>
    <row r="4744" spans="1:56">
      <c r="A4744" s="114"/>
      <c r="B4744" s="385" t="s">
        <v>1291</v>
      </c>
      <c r="C4744" s="196"/>
      <c r="D4744" s="196"/>
      <c r="E4744" s="196"/>
      <c r="F4744" s="196"/>
      <c r="G4744" s="196"/>
      <c r="H4744" s="196"/>
      <c r="I4744" s="196"/>
      <c r="J4744" s="114"/>
      <c r="AW4744" s="117"/>
      <c r="AX4744" s="117"/>
      <c r="AY4744" s="117"/>
      <c r="AZ4744" s="117"/>
      <c r="BA4744" s="117"/>
      <c r="BB4744" s="117"/>
      <c r="BC4744" s="117"/>
      <c r="BD4744" s="117"/>
    </row>
    <row r="4745" spans="1:56" ht="15">
      <c r="A4745" s="114"/>
      <c r="B4745" s="196"/>
      <c r="C4745" s="196"/>
      <c r="D4745" s="196"/>
      <c r="E4745" s="196"/>
      <c r="F4745" s="196"/>
      <c r="G4745" s="196"/>
      <c r="H4745" s="196"/>
      <c r="I4745" s="196"/>
      <c r="J4745" s="114"/>
      <c r="AW4745" s="117"/>
      <c r="AX4745" s="117"/>
      <c r="AY4745" s="117"/>
      <c r="AZ4745" s="117"/>
      <c r="BA4745" s="117"/>
      <c r="BB4745" s="117"/>
      <c r="BC4745" s="117"/>
      <c r="BD4745" s="117"/>
    </row>
    <row r="4746" spans="1:56" ht="15">
      <c r="A4746" s="114"/>
      <c r="B4746" s="388" t="s">
        <v>1110</v>
      </c>
      <c r="C4746" s="389">
        <v>0.2</v>
      </c>
      <c r="D4746" s="390" t="s">
        <v>10</v>
      </c>
      <c r="E4746" s="196"/>
      <c r="F4746" s="196"/>
      <c r="G4746" s="392"/>
      <c r="H4746" s="393"/>
      <c r="I4746" s="196"/>
      <c r="J4746" s="114"/>
      <c r="AW4746" s="117"/>
      <c r="AX4746" s="117"/>
      <c r="AY4746" s="117"/>
      <c r="AZ4746" s="117"/>
      <c r="BA4746" s="117"/>
      <c r="BB4746" s="117"/>
      <c r="BC4746" s="117"/>
      <c r="BD4746" s="117"/>
    </row>
    <row r="4747" spans="1:56" ht="15">
      <c r="A4747" s="114"/>
      <c r="B4747" s="388" t="s">
        <v>1111</v>
      </c>
      <c r="C4747" s="951">
        <v>12.17</v>
      </c>
      <c r="D4747" s="390" t="s">
        <v>10</v>
      </c>
      <c r="E4747" s="196"/>
      <c r="F4747" s="196"/>
      <c r="G4747" s="392"/>
      <c r="H4747" s="393"/>
      <c r="I4747" s="196"/>
      <c r="J4747" s="114"/>
      <c r="AW4747" s="117"/>
      <c r="AX4747" s="117"/>
      <c r="AY4747" s="117"/>
      <c r="AZ4747" s="117"/>
      <c r="BA4747" s="117"/>
      <c r="BB4747" s="117"/>
      <c r="BC4747" s="117"/>
      <c r="BD4747" s="117"/>
    </row>
    <row r="4748" spans="1:56" ht="15">
      <c r="A4748" s="114"/>
      <c r="B4748" s="388" t="s">
        <v>1112</v>
      </c>
      <c r="C4748" s="389">
        <v>0</v>
      </c>
      <c r="D4748" s="390" t="s">
        <v>10</v>
      </c>
      <c r="E4748" s="196"/>
      <c r="F4748" s="908"/>
      <c r="G4748" s="392"/>
      <c r="H4748" s="393"/>
      <c r="I4748" s="196"/>
      <c r="J4748" s="114"/>
      <c r="AW4748" s="117"/>
      <c r="AX4748" s="117"/>
      <c r="AY4748" s="117"/>
      <c r="AZ4748" s="117"/>
      <c r="BA4748" s="117"/>
      <c r="BB4748" s="117"/>
      <c r="BC4748" s="117"/>
      <c r="BD4748" s="117"/>
    </row>
    <row r="4749" spans="1:56" ht="15">
      <c r="A4749" s="114"/>
      <c r="B4749" s="388" t="s">
        <v>1113</v>
      </c>
      <c r="C4749" s="389">
        <v>1.08</v>
      </c>
      <c r="D4749" s="390" t="s">
        <v>10</v>
      </c>
      <c r="E4749" s="196"/>
      <c r="F4749" s="196"/>
      <c r="G4749" s="392"/>
      <c r="H4749" s="394"/>
      <c r="I4749" s="196"/>
      <c r="J4749" s="114"/>
      <c r="AW4749" s="117"/>
      <c r="AX4749" s="117"/>
      <c r="AY4749" s="117"/>
      <c r="AZ4749" s="117"/>
      <c r="BA4749" s="117"/>
      <c r="BB4749" s="117"/>
      <c r="BC4749" s="117"/>
      <c r="BD4749" s="117"/>
    </row>
    <row r="4750" spans="1:56" ht="15">
      <c r="A4750" s="114"/>
      <c r="B4750" s="388" t="s">
        <v>1117</v>
      </c>
      <c r="C4750" s="389">
        <v>1</v>
      </c>
      <c r="D4750" s="390" t="s">
        <v>1118</v>
      </c>
      <c r="E4750" s="196"/>
      <c r="F4750" s="196"/>
      <c r="G4750" s="392"/>
      <c r="H4750" s="393"/>
      <c r="I4750" s="196"/>
      <c r="J4750" s="114"/>
      <c r="AW4750" s="117"/>
      <c r="AX4750" s="117"/>
      <c r="AY4750" s="117"/>
      <c r="AZ4750" s="117"/>
      <c r="BA4750" s="117"/>
      <c r="BB4750" s="117"/>
      <c r="BC4750" s="117"/>
      <c r="BD4750" s="117"/>
    </row>
    <row r="4751" spans="1:56" ht="15">
      <c r="A4751" s="114"/>
      <c r="B4751" s="392"/>
      <c r="C4751" s="393"/>
      <c r="D4751" s="196"/>
      <c r="E4751" s="196"/>
      <c r="F4751" s="196"/>
      <c r="G4751" s="392"/>
      <c r="H4751" s="393"/>
      <c r="I4751" s="196"/>
      <c r="J4751" s="114"/>
      <c r="AW4751" s="117"/>
      <c r="AX4751" s="117"/>
      <c r="AY4751" s="117"/>
      <c r="AZ4751" s="117"/>
      <c r="BA4751" s="117"/>
      <c r="BB4751" s="117"/>
      <c r="BC4751" s="117"/>
      <c r="BD4751" s="117"/>
    </row>
    <row r="4752" spans="1:56" ht="15">
      <c r="A4752" s="114"/>
      <c r="B4752" s="388" t="s">
        <v>1114</v>
      </c>
      <c r="C4752" s="389">
        <v>0.6</v>
      </c>
      <c r="D4752" s="390" t="s">
        <v>10</v>
      </c>
      <c r="E4752" s="288" t="s">
        <v>1120</v>
      </c>
      <c r="F4752" s="288"/>
      <c r="G4752" s="230"/>
      <c r="H4752" s="395"/>
      <c r="I4752" s="196"/>
      <c r="J4752" s="114"/>
      <c r="AW4752" s="117"/>
      <c r="AX4752" s="117"/>
      <c r="AY4752" s="117"/>
      <c r="AZ4752" s="117"/>
      <c r="BA4752" s="117"/>
      <c r="BB4752" s="117"/>
      <c r="BC4752" s="117"/>
      <c r="BD4752" s="117"/>
    </row>
    <row r="4753" spans="1:56" ht="15">
      <c r="A4753" s="114"/>
      <c r="B4753" s="388" t="s">
        <v>1114</v>
      </c>
      <c r="C4753" s="389">
        <v>0.2</v>
      </c>
      <c r="D4753" s="390" t="s">
        <v>10</v>
      </c>
      <c r="E4753" s="288" t="s">
        <v>1121</v>
      </c>
      <c r="F4753" s="288"/>
      <c r="G4753" s="230"/>
      <c r="H4753" s="395"/>
      <c r="I4753" s="196"/>
      <c r="J4753" s="114"/>
      <c r="AW4753" s="117"/>
      <c r="AX4753" s="117"/>
      <c r="AY4753" s="117"/>
      <c r="AZ4753" s="117"/>
      <c r="BA4753" s="117"/>
      <c r="BB4753" s="117"/>
      <c r="BC4753" s="117"/>
      <c r="BD4753" s="117"/>
    </row>
    <row r="4754" spans="1:56" ht="15">
      <c r="A4754" s="114"/>
      <c r="B4754" s="196"/>
      <c r="C4754" s="196"/>
      <c r="D4754" s="196"/>
      <c r="E4754" s="196"/>
      <c r="F4754" s="196"/>
      <c r="G4754" s="196"/>
      <c r="H4754" s="196"/>
      <c r="I4754" s="196"/>
      <c r="J4754" s="114"/>
      <c r="AW4754" s="117"/>
      <c r="AX4754" s="117"/>
      <c r="AY4754" s="117"/>
      <c r="AZ4754" s="117"/>
      <c r="BA4754" s="117"/>
      <c r="BB4754" s="117"/>
      <c r="BC4754" s="117"/>
      <c r="BD4754" s="117"/>
    </row>
    <row r="4755" spans="1:56" ht="15">
      <c r="A4755" s="114"/>
      <c r="B4755" s="303" t="s">
        <v>1122</v>
      </c>
      <c r="C4755" s="362"/>
      <c r="D4755" s="362"/>
      <c r="E4755" s="196"/>
      <c r="F4755" s="196"/>
      <c r="G4755" s="196"/>
      <c r="H4755" s="196"/>
      <c r="I4755" s="196"/>
      <c r="J4755" s="114"/>
      <c r="AW4755" s="117"/>
      <c r="AX4755" s="117"/>
      <c r="AY4755" s="117"/>
      <c r="AZ4755" s="117"/>
      <c r="BA4755" s="117"/>
      <c r="BB4755" s="117"/>
      <c r="BC4755" s="117"/>
      <c r="BD4755" s="117"/>
    </row>
    <row r="4756" spans="1:56" ht="18">
      <c r="A4756" s="114"/>
      <c r="B4756" s="396" t="s">
        <v>1123</v>
      </c>
      <c r="C4756" s="289"/>
      <c r="D4756" s="290"/>
      <c r="E4756" s="397">
        <f>C4750*(C4752*2*(0.05+C4749+C4748)*C4747)</f>
        <v>16.502520000000001</v>
      </c>
      <c r="F4756" s="390" t="s">
        <v>1124</v>
      </c>
      <c r="G4756" s="196"/>
      <c r="H4756" s="196"/>
      <c r="I4756" s="196"/>
      <c r="J4756" s="114"/>
      <c r="AW4756" s="117"/>
      <c r="AX4756" s="117"/>
      <c r="AY4756" s="117"/>
      <c r="AZ4756" s="117"/>
      <c r="BA4756" s="117"/>
      <c r="BB4756" s="117"/>
      <c r="BC4756" s="117"/>
      <c r="BD4756" s="117"/>
    </row>
    <row r="4757" spans="1:56" ht="18">
      <c r="A4757" s="114"/>
      <c r="B4757" s="398" t="s">
        <v>1125</v>
      </c>
      <c r="C4757" s="172"/>
      <c r="D4757" s="173"/>
      <c r="E4757" s="397">
        <f>E4756-((C4746*0.05+C4746*C4749)*C4747)</f>
        <v>13.7521</v>
      </c>
      <c r="F4757" s="390" t="s">
        <v>1124</v>
      </c>
      <c r="G4757" s="196"/>
      <c r="H4757" s="196"/>
      <c r="I4757" s="196"/>
      <c r="J4757" s="114"/>
      <c r="AW4757" s="117"/>
      <c r="AX4757" s="117"/>
      <c r="AY4757" s="117"/>
      <c r="AZ4757" s="117"/>
      <c r="BA4757" s="117"/>
      <c r="BB4757" s="117"/>
      <c r="BC4757" s="117"/>
      <c r="BD4757" s="117"/>
    </row>
    <row r="4758" spans="1:56" ht="15">
      <c r="A4758" s="114"/>
      <c r="B4758" s="399" t="s">
        <v>1126</v>
      </c>
      <c r="C4758" s="317"/>
      <c r="D4758" s="318"/>
      <c r="E4758" s="400">
        <f>(2*C4753)*C4747</f>
        <v>4.8680000000000003</v>
      </c>
      <c r="F4758" s="390" t="s">
        <v>13</v>
      </c>
      <c r="G4758" s="196"/>
      <c r="H4758" s="196"/>
      <c r="I4758" s="196"/>
      <c r="J4758" s="114"/>
      <c r="AW4758" s="117"/>
      <c r="AX4758" s="117"/>
      <c r="AY4758" s="117"/>
      <c r="AZ4758" s="117"/>
      <c r="BA4758" s="117"/>
      <c r="BB4758" s="117"/>
      <c r="BC4758" s="117"/>
      <c r="BD4758" s="117"/>
    </row>
    <row r="4759" spans="1:56" ht="15">
      <c r="A4759" s="114"/>
      <c r="B4759" s="196"/>
      <c r="C4759" s="196"/>
      <c r="D4759" s="196"/>
      <c r="E4759" s="401"/>
      <c r="F4759" s="196"/>
      <c r="G4759" s="196"/>
      <c r="H4759" s="196"/>
      <c r="I4759" s="196"/>
      <c r="J4759" s="114"/>
      <c r="AW4759" s="117"/>
      <c r="AX4759" s="117"/>
      <c r="AY4759" s="117"/>
      <c r="AZ4759" s="117"/>
      <c r="BA4759" s="117"/>
      <c r="BB4759" s="117"/>
      <c r="BC4759" s="117"/>
      <c r="BD4759" s="117"/>
    </row>
    <row r="4760" spans="1:56" ht="15">
      <c r="A4760" s="114"/>
      <c r="B4760" s="303" t="s">
        <v>1127</v>
      </c>
      <c r="C4760" s="196"/>
      <c r="D4760" s="196"/>
      <c r="E4760" s="401"/>
      <c r="F4760" s="196"/>
      <c r="G4760" s="196"/>
      <c r="H4760" s="196"/>
      <c r="I4760" s="196"/>
      <c r="J4760" s="114"/>
      <c r="AW4760" s="117"/>
      <c r="AX4760" s="117"/>
      <c r="AY4760" s="117"/>
      <c r="AZ4760" s="117"/>
      <c r="BA4760" s="117"/>
      <c r="BB4760" s="117"/>
      <c r="BC4760" s="117"/>
      <c r="BD4760" s="117"/>
    </row>
    <row r="4761" spans="1:56" ht="18">
      <c r="A4761" s="114"/>
      <c r="B4761" s="398" t="s">
        <v>1128</v>
      </c>
      <c r="C4761" s="172"/>
      <c r="D4761" s="173"/>
      <c r="E4761" s="402">
        <f>E4758*0.05</f>
        <v>0.24340000000000003</v>
      </c>
      <c r="F4761" s="390" t="s">
        <v>1124</v>
      </c>
      <c r="G4761" s="196"/>
      <c r="H4761" s="196"/>
      <c r="I4761" s="196"/>
      <c r="J4761" s="114"/>
      <c r="AW4761" s="117"/>
      <c r="AX4761" s="117"/>
      <c r="AY4761" s="117"/>
      <c r="AZ4761" s="117"/>
      <c r="BA4761" s="117"/>
      <c r="BB4761" s="117"/>
      <c r="BC4761" s="117"/>
      <c r="BD4761" s="117"/>
    </row>
    <row r="4762" spans="1:56" ht="15">
      <c r="A4762" s="114"/>
      <c r="B4762" s="398" t="s">
        <v>1129</v>
      </c>
      <c r="C4762" s="172"/>
      <c r="D4762" s="173"/>
      <c r="E4762" s="397">
        <f>C4749*2*C4747</f>
        <v>26.287200000000002</v>
      </c>
      <c r="F4762" s="390" t="s">
        <v>13</v>
      </c>
      <c r="G4762" s="393" t="s">
        <v>1108</v>
      </c>
      <c r="H4762" s="196" t="s">
        <v>1131</v>
      </c>
      <c r="I4762" s="393"/>
      <c r="J4762" s="114"/>
      <c r="AW4762" s="117"/>
      <c r="AX4762" s="117"/>
      <c r="AY4762" s="117"/>
      <c r="AZ4762" s="117"/>
      <c r="BA4762" s="117"/>
      <c r="BB4762" s="117"/>
      <c r="BC4762" s="117"/>
      <c r="BD4762" s="117"/>
    </row>
    <row r="4763" spans="1:56" ht="18">
      <c r="A4763" s="114"/>
      <c r="B4763" s="398" t="s">
        <v>1130</v>
      </c>
      <c r="C4763" s="172"/>
      <c r="D4763" s="173"/>
      <c r="E4763" s="402">
        <f>C4746*C4747*C4749</f>
        <v>2.6287200000000004</v>
      </c>
      <c r="F4763" s="390" t="s">
        <v>1124</v>
      </c>
      <c r="G4763" s="196"/>
      <c r="H4763" s="196"/>
      <c r="I4763" s="196"/>
      <c r="J4763" s="114"/>
      <c r="AW4763" s="117"/>
      <c r="AX4763" s="117"/>
      <c r="AY4763" s="117"/>
      <c r="AZ4763" s="117"/>
      <c r="BA4763" s="117"/>
      <c r="BB4763" s="117"/>
      <c r="BC4763" s="117"/>
      <c r="BD4763" s="117"/>
    </row>
    <row r="4764" spans="1:56" ht="15">
      <c r="A4764" s="114"/>
      <c r="B4764" s="288"/>
      <c r="C4764" s="230"/>
      <c r="D4764" s="230"/>
      <c r="E4764" s="384"/>
      <c r="F4764" s="196"/>
      <c r="G4764" s="196"/>
      <c r="H4764" s="196"/>
      <c r="I4764" s="196"/>
      <c r="J4764" s="114"/>
      <c r="AW4764" s="117"/>
      <c r="AX4764" s="117"/>
      <c r="AY4764" s="117"/>
      <c r="AZ4764" s="117"/>
      <c r="BA4764" s="117"/>
      <c r="BB4764" s="117"/>
      <c r="BC4764" s="117"/>
      <c r="BD4764" s="117"/>
    </row>
    <row r="4765" spans="1:56" ht="15">
      <c r="A4765" s="114"/>
      <c r="B4765" s="293"/>
      <c r="C4765" s="387"/>
      <c r="D4765" s="387"/>
      <c r="E4765" s="387"/>
      <c r="F4765" s="387"/>
      <c r="G4765" s="387"/>
      <c r="H4765" s="386"/>
      <c r="I4765" s="386"/>
      <c r="J4765" s="114"/>
      <c r="AW4765" s="117"/>
      <c r="AX4765" s="117"/>
      <c r="AY4765" s="117"/>
      <c r="AZ4765" s="117"/>
      <c r="BA4765" s="117"/>
      <c r="BB4765" s="117"/>
      <c r="BC4765" s="117"/>
      <c r="BD4765" s="117"/>
    </row>
    <row r="4766" spans="1:56" ht="15">
      <c r="A4766" s="114"/>
      <c r="B4766" s="293"/>
      <c r="C4766" s="387"/>
      <c r="D4766" s="387"/>
      <c r="E4766" s="387"/>
      <c r="F4766" s="387"/>
      <c r="G4766" s="387"/>
      <c r="H4766" s="386"/>
      <c r="I4766" s="386"/>
      <c r="J4766" s="114"/>
      <c r="AW4766" s="117"/>
      <c r="AX4766" s="117"/>
      <c r="AY4766" s="117"/>
      <c r="AZ4766" s="117"/>
      <c r="BA4766" s="117"/>
      <c r="BB4766" s="117"/>
      <c r="BC4766" s="117"/>
      <c r="BD4766" s="117"/>
    </row>
    <row r="4767" spans="1:56">
      <c r="A4767" s="114"/>
      <c r="B4767" s="385" t="s">
        <v>1292</v>
      </c>
      <c r="C4767" s="196"/>
      <c r="D4767" s="196"/>
      <c r="E4767" s="196"/>
      <c r="F4767" s="196"/>
      <c r="G4767" s="196"/>
      <c r="H4767" s="196"/>
      <c r="I4767" s="196"/>
      <c r="J4767" s="114"/>
      <c r="AW4767" s="117"/>
      <c r="AX4767" s="117"/>
      <c r="AY4767" s="117"/>
      <c r="AZ4767" s="117"/>
      <c r="BA4767" s="117"/>
      <c r="BB4767" s="117"/>
      <c r="BC4767" s="117"/>
      <c r="BD4767" s="117"/>
    </row>
    <row r="4768" spans="1:56" ht="15">
      <c r="A4768" s="114"/>
      <c r="B4768" s="196"/>
      <c r="C4768" s="196"/>
      <c r="D4768" s="196"/>
      <c r="E4768" s="196"/>
      <c r="F4768" s="196"/>
      <c r="G4768" s="196"/>
      <c r="H4768" s="196"/>
      <c r="I4768" s="196"/>
      <c r="J4768" s="114"/>
      <c r="AW4768" s="117"/>
      <c r="AX4768" s="117"/>
      <c r="AY4768" s="117"/>
      <c r="AZ4768" s="117"/>
      <c r="BA4768" s="117"/>
      <c r="BB4768" s="117"/>
      <c r="BC4768" s="117"/>
      <c r="BD4768" s="117"/>
    </row>
    <row r="4769" spans="1:56" ht="15">
      <c r="A4769" s="114"/>
      <c r="B4769" s="388" t="s">
        <v>1110</v>
      </c>
      <c r="C4769" s="389">
        <v>0.2</v>
      </c>
      <c r="D4769" s="390" t="s">
        <v>10</v>
      </c>
      <c r="E4769" s="196"/>
      <c r="F4769" s="196"/>
      <c r="G4769" s="392"/>
      <c r="H4769" s="393"/>
      <c r="I4769" s="196"/>
      <c r="J4769" s="114"/>
      <c r="AW4769" s="117"/>
      <c r="AX4769" s="117"/>
      <c r="AY4769" s="117"/>
      <c r="AZ4769" s="117"/>
      <c r="BA4769" s="117"/>
      <c r="BB4769" s="117"/>
      <c r="BC4769" s="117"/>
      <c r="BD4769" s="117"/>
    </row>
    <row r="4770" spans="1:56" ht="15">
      <c r="A4770" s="114"/>
      <c r="B4770" s="388" t="s">
        <v>1111</v>
      </c>
      <c r="C4770" s="942">
        <f>11.3+9.3+5.875+ 6.45</f>
        <v>32.925000000000004</v>
      </c>
      <c r="D4770" s="390" t="s">
        <v>10</v>
      </c>
      <c r="E4770" s="196"/>
      <c r="F4770" s="908"/>
      <c r="G4770" s="392"/>
      <c r="H4770" s="393"/>
      <c r="I4770" s="196"/>
      <c r="J4770" s="114"/>
      <c r="AW4770" s="117"/>
      <c r="AX4770" s="117"/>
      <c r="AY4770" s="117"/>
      <c r="AZ4770" s="117"/>
      <c r="BA4770" s="117"/>
      <c r="BB4770" s="117"/>
      <c r="BC4770" s="117"/>
      <c r="BD4770" s="117"/>
    </row>
    <row r="4771" spans="1:56" ht="15">
      <c r="A4771" s="114"/>
      <c r="B4771" s="388" t="s">
        <v>1112</v>
      </c>
      <c r="C4771" s="389">
        <v>0.55000000000000004</v>
      </c>
      <c r="D4771" s="390" t="s">
        <v>10</v>
      </c>
      <c r="E4771" s="196"/>
      <c r="F4771" s="196"/>
      <c r="G4771" s="392"/>
      <c r="H4771" s="393"/>
      <c r="I4771" s="196"/>
      <c r="J4771" s="114"/>
      <c r="AW4771" s="117"/>
      <c r="AX4771" s="117"/>
      <c r="AY4771" s="117"/>
      <c r="AZ4771" s="117"/>
      <c r="BA4771" s="117"/>
      <c r="BB4771" s="117"/>
      <c r="BC4771" s="117"/>
      <c r="BD4771" s="117"/>
    </row>
    <row r="4772" spans="1:56" ht="15">
      <c r="A4772" s="114"/>
      <c r="B4772" s="388" t="s">
        <v>1113</v>
      </c>
      <c r="C4772" s="389">
        <v>1.1000000000000001</v>
      </c>
      <c r="D4772" s="390" t="s">
        <v>10</v>
      </c>
      <c r="E4772" s="196"/>
      <c r="F4772" s="196"/>
      <c r="G4772" s="392"/>
      <c r="H4772" s="394"/>
      <c r="I4772" s="196"/>
      <c r="J4772" s="114"/>
      <c r="AW4772" s="117"/>
      <c r="AX4772" s="117"/>
      <c r="AY4772" s="117"/>
      <c r="AZ4772" s="117"/>
      <c r="BA4772" s="117"/>
      <c r="BB4772" s="117"/>
      <c r="BC4772" s="117"/>
      <c r="BD4772" s="117"/>
    </row>
    <row r="4773" spans="1:56" ht="15">
      <c r="A4773" s="114"/>
      <c r="B4773" s="388" t="s">
        <v>1117</v>
      </c>
      <c r="C4773" s="389">
        <v>1</v>
      </c>
      <c r="D4773" s="390" t="s">
        <v>1118</v>
      </c>
      <c r="E4773" s="196"/>
      <c r="F4773" s="196"/>
      <c r="G4773" s="392"/>
      <c r="H4773" s="393"/>
      <c r="I4773" s="196"/>
      <c r="J4773" s="114"/>
      <c r="AW4773" s="117"/>
      <c r="AX4773" s="117"/>
      <c r="AY4773" s="117"/>
      <c r="AZ4773" s="117"/>
      <c r="BA4773" s="117"/>
      <c r="BB4773" s="117"/>
      <c r="BC4773" s="117"/>
      <c r="BD4773" s="117"/>
    </row>
    <row r="4774" spans="1:56" ht="15">
      <c r="A4774" s="114"/>
      <c r="B4774" s="392"/>
      <c r="C4774" s="393"/>
      <c r="D4774" s="196"/>
      <c r="E4774" s="196"/>
      <c r="F4774" s="196"/>
      <c r="G4774" s="392"/>
      <c r="H4774" s="393"/>
      <c r="I4774" s="196"/>
      <c r="J4774" s="114"/>
      <c r="AW4774" s="117"/>
      <c r="AX4774" s="117"/>
      <c r="AY4774" s="117"/>
      <c r="AZ4774" s="117"/>
      <c r="BA4774" s="117"/>
      <c r="BB4774" s="117"/>
      <c r="BC4774" s="117"/>
      <c r="BD4774" s="117"/>
    </row>
    <row r="4775" spans="1:56" ht="15">
      <c r="A4775" s="114"/>
      <c r="B4775" s="388" t="s">
        <v>1114</v>
      </c>
      <c r="C4775" s="389">
        <v>0.6</v>
      </c>
      <c r="D4775" s="390" t="s">
        <v>10</v>
      </c>
      <c r="E4775" s="288" t="s">
        <v>1120</v>
      </c>
      <c r="F4775" s="288"/>
      <c r="G4775" s="230"/>
      <c r="H4775" s="395"/>
      <c r="I4775" s="196"/>
      <c r="J4775" s="114"/>
      <c r="AW4775" s="117"/>
      <c r="AX4775" s="117"/>
      <c r="AY4775" s="117"/>
      <c r="AZ4775" s="117"/>
      <c r="BA4775" s="117"/>
      <c r="BB4775" s="117"/>
      <c r="BC4775" s="117"/>
      <c r="BD4775" s="117"/>
    </row>
    <row r="4776" spans="1:56" ht="15">
      <c r="A4776" s="114"/>
      <c r="B4776" s="388" t="s">
        <v>1114</v>
      </c>
      <c r="C4776" s="389">
        <v>0.2</v>
      </c>
      <c r="D4776" s="390" t="s">
        <v>10</v>
      </c>
      <c r="E4776" s="288" t="s">
        <v>1121</v>
      </c>
      <c r="F4776" s="288"/>
      <c r="G4776" s="230"/>
      <c r="H4776" s="395"/>
      <c r="I4776" s="196"/>
      <c r="J4776" s="114"/>
      <c r="AW4776" s="117"/>
      <c r="AX4776" s="117"/>
      <c r="AY4776" s="117"/>
      <c r="AZ4776" s="117"/>
      <c r="BA4776" s="117"/>
      <c r="BB4776" s="117"/>
      <c r="BC4776" s="117"/>
      <c r="BD4776" s="117"/>
    </row>
    <row r="4777" spans="1:56" ht="15">
      <c r="A4777" s="114"/>
      <c r="B4777" s="196"/>
      <c r="C4777" s="196"/>
      <c r="D4777" s="196"/>
      <c r="E4777" s="196"/>
      <c r="F4777" s="196"/>
      <c r="G4777" s="196"/>
      <c r="H4777" s="196"/>
      <c r="I4777" s="196"/>
      <c r="J4777" s="114"/>
      <c r="AW4777" s="117"/>
      <c r="AX4777" s="117"/>
      <c r="AY4777" s="117"/>
      <c r="AZ4777" s="117"/>
      <c r="BA4777" s="117"/>
      <c r="BB4777" s="117"/>
      <c r="BC4777" s="117"/>
      <c r="BD4777" s="117"/>
    </row>
    <row r="4778" spans="1:56" ht="15">
      <c r="A4778" s="114"/>
      <c r="B4778" s="303" t="s">
        <v>1122</v>
      </c>
      <c r="C4778" s="362"/>
      <c r="D4778" s="362"/>
      <c r="E4778" s="196"/>
      <c r="F4778" s="196"/>
      <c r="G4778" s="196"/>
      <c r="H4778" s="196"/>
      <c r="I4778" s="196"/>
      <c r="J4778" s="114"/>
      <c r="AW4778" s="117"/>
      <c r="AX4778" s="117"/>
      <c r="AY4778" s="117"/>
      <c r="AZ4778" s="117"/>
      <c r="BA4778" s="117"/>
      <c r="BB4778" s="117"/>
      <c r="BC4778" s="117"/>
      <c r="BD4778" s="117"/>
    </row>
    <row r="4779" spans="1:56" ht="18">
      <c r="A4779" s="114"/>
      <c r="B4779" s="396" t="s">
        <v>1123</v>
      </c>
      <c r="C4779" s="289"/>
      <c r="D4779" s="290"/>
      <c r="E4779" s="397">
        <f>C4773*(C4775*2*(0.05+C4772+C4771)*C4770)</f>
        <v>67.167000000000016</v>
      </c>
      <c r="F4779" s="390" t="s">
        <v>1124</v>
      </c>
      <c r="G4779" s="196"/>
      <c r="H4779" s="196"/>
      <c r="I4779" s="196"/>
      <c r="J4779" s="114"/>
      <c r="AW4779" s="117"/>
      <c r="AX4779" s="117"/>
      <c r="AY4779" s="117"/>
      <c r="AZ4779" s="117"/>
      <c r="BA4779" s="117"/>
      <c r="BB4779" s="117"/>
      <c r="BC4779" s="117"/>
      <c r="BD4779" s="117"/>
    </row>
    <row r="4780" spans="1:56" ht="18">
      <c r="A4780" s="114"/>
      <c r="B4780" s="398" t="s">
        <v>1125</v>
      </c>
      <c r="C4780" s="172"/>
      <c r="D4780" s="173"/>
      <c r="E4780" s="397">
        <f>E4779-((C4769*0.05+C4769*C4772)*C4770)</f>
        <v>59.594250000000017</v>
      </c>
      <c r="F4780" s="390" t="s">
        <v>1124</v>
      </c>
      <c r="G4780" s="196"/>
      <c r="H4780" s="196"/>
      <c r="I4780" s="196"/>
      <c r="J4780" s="114"/>
      <c r="AW4780" s="117"/>
      <c r="AX4780" s="117"/>
      <c r="AY4780" s="117"/>
      <c r="AZ4780" s="117"/>
      <c r="BA4780" s="117"/>
      <c r="BB4780" s="117"/>
      <c r="BC4780" s="117"/>
      <c r="BD4780" s="117"/>
    </row>
    <row r="4781" spans="1:56" ht="15">
      <c r="A4781" s="114"/>
      <c r="B4781" s="399" t="s">
        <v>1126</v>
      </c>
      <c r="C4781" s="317"/>
      <c r="D4781" s="318"/>
      <c r="E4781" s="400">
        <f>(2*C4776)*C4770</f>
        <v>13.170000000000002</v>
      </c>
      <c r="F4781" s="390" t="s">
        <v>13</v>
      </c>
      <c r="G4781" s="196"/>
      <c r="H4781" s="196"/>
      <c r="I4781" s="196"/>
      <c r="J4781" s="114"/>
      <c r="AW4781" s="117"/>
      <c r="AX4781" s="117"/>
      <c r="AY4781" s="117"/>
      <c r="AZ4781" s="117"/>
      <c r="BA4781" s="117"/>
      <c r="BB4781" s="117"/>
      <c r="BC4781" s="117"/>
      <c r="BD4781" s="117"/>
    </row>
    <row r="4782" spans="1:56" ht="15">
      <c r="A4782" s="114"/>
      <c r="B4782" s="196"/>
      <c r="C4782" s="196"/>
      <c r="D4782" s="196"/>
      <c r="E4782" s="401"/>
      <c r="F4782" s="196"/>
      <c r="G4782" s="196"/>
      <c r="H4782" s="196"/>
      <c r="I4782" s="196"/>
      <c r="J4782" s="114"/>
      <c r="AW4782" s="117"/>
      <c r="AX4782" s="117"/>
      <c r="AY4782" s="117"/>
      <c r="AZ4782" s="117"/>
      <c r="BA4782" s="117"/>
      <c r="BB4782" s="117"/>
      <c r="BC4782" s="117"/>
      <c r="BD4782" s="117"/>
    </row>
    <row r="4783" spans="1:56" ht="15">
      <c r="A4783" s="114"/>
      <c r="B4783" s="303" t="s">
        <v>1127</v>
      </c>
      <c r="C4783" s="196"/>
      <c r="D4783" s="196"/>
      <c r="E4783" s="401"/>
      <c r="F4783" s="196"/>
      <c r="G4783" s="196"/>
      <c r="H4783" s="196"/>
      <c r="I4783" s="196"/>
      <c r="J4783" s="114"/>
      <c r="AW4783" s="117"/>
      <c r="AX4783" s="117"/>
      <c r="AY4783" s="117"/>
      <c r="AZ4783" s="117"/>
      <c r="BA4783" s="117"/>
      <c r="BB4783" s="117"/>
      <c r="BC4783" s="117"/>
      <c r="BD4783" s="117"/>
    </row>
    <row r="4784" spans="1:56" ht="18">
      <c r="A4784" s="114"/>
      <c r="B4784" s="398" t="s">
        <v>1128</v>
      </c>
      <c r="C4784" s="172"/>
      <c r="D4784" s="173"/>
      <c r="E4784" s="402">
        <f>E4781*0.05</f>
        <v>0.65850000000000009</v>
      </c>
      <c r="F4784" s="390" t="s">
        <v>1124</v>
      </c>
      <c r="G4784" s="196"/>
      <c r="H4784" s="196"/>
      <c r="I4784" s="196"/>
      <c r="J4784" s="114"/>
      <c r="AW4784" s="117"/>
      <c r="AX4784" s="117"/>
      <c r="AY4784" s="117"/>
      <c r="AZ4784" s="117"/>
      <c r="BA4784" s="117"/>
      <c r="BB4784" s="117"/>
      <c r="BC4784" s="117"/>
      <c r="BD4784" s="117"/>
    </row>
    <row r="4785" spans="1:56" ht="15">
      <c r="A4785" s="114"/>
      <c r="B4785" s="398" t="s">
        <v>1129</v>
      </c>
      <c r="C4785" s="172"/>
      <c r="D4785" s="173"/>
      <c r="E4785" s="397">
        <f>C4772*2*C4770</f>
        <v>72.435000000000016</v>
      </c>
      <c r="F4785" s="390" t="s">
        <v>13</v>
      </c>
      <c r="G4785" s="393" t="s">
        <v>1108</v>
      </c>
      <c r="H4785" s="196" t="s">
        <v>1131</v>
      </c>
      <c r="I4785" s="393"/>
      <c r="J4785" s="114"/>
      <c r="AW4785" s="117"/>
      <c r="AX4785" s="117"/>
      <c r="AY4785" s="117"/>
      <c r="AZ4785" s="117"/>
      <c r="BA4785" s="117"/>
      <c r="BB4785" s="117"/>
      <c r="BC4785" s="117"/>
      <c r="BD4785" s="117"/>
    </row>
    <row r="4786" spans="1:56" ht="18">
      <c r="A4786" s="114"/>
      <c r="B4786" s="398" t="s">
        <v>1130</v>
      </c>
      <c r="C4786" s="172"/>
      <c r="D4786" s="173"/>
      <c r="E4786" s="402">
        <f>C4769*C4770*C4772</f>
        <v>7.2435000000000018</v>
      </c>
      <c r="F4786" s="390" t="s">
        <v>1124</v>
      </c>
      <c r="G4786" s="196"/>
      <c r="H4786" s="196"/>
      <c r="I4786" s="196"/>
      <c r="J4786" s="114"/>
      <c r="AW4786" s="117"/>
      <c r="AX4786" s="117"/>
      <c r="AY4786" s="117"/>
      <c r="AZ4786" s="117"/>
      <c r="BA4786" s="117"/>
      <c r="BB4786" s="117"/>
      <c r="BC4786" s="117"/>
      <c r="BD4786" s="117"/>
    </row>
    <row r="4787" spans="1:56" ht="15">
      <c r="A4787" s="114"/>
      <c r="B4787" s="288"/>
      <c r="C4787" s="230"/>
      <c r="D4787" s="230"/>
      <c r="E4787" s="384"/>
      <c r="F4787" s="196"/>
      <c r="G4787" s="196"/>
      <c r="H4787" s="196"/>
      <c r="I4787" s="196"/>
      <c r="J4787" s="114"/>
      <c r="AW4787" s="117"/>
      <c r="AX4787" s="117"/>
      <c r="AY4787" s="117"/>
      <c r="AZ4787" s="117"/>
      <c r="BA4787" s="117"/>
      <c r="BB4787" s="117"/>
      <c r="BC4787" s="117"/>
      <c r="BD4787" s="117"/>
    </row>
    <row r="4788" spans="1:56" ht="15">
      <c r="A4788" s="114"/>
      <c r="B4788" s="293"/>
      <c r="C4788" s="387"/>
      <c r="D4788" s="387"/>
      <c r="E4788" s="387"/>
      <c r="F4788" s="387"/>
      <c r="G4788" s="387"/>
      <c r="H4788" s="386"/>
      <c r="I4788" s="386"/>
      <c r="J4788" s="114"/>
      <c r="AW4788" s="117"/>
      <c r="AX4788" s="117"/>
      <c r="AY4788" s="117"/>
      <c r="AZ4788" s="117"/>
      <c r="BA4788" s="117"/>
      <c r="BB4788" s="117"/>
      <c r="BC4788" s="117"/>
      <c r="BD4788" s="117"/>
    </row>
    <row r="4789" spans="1:56" ht="15">
      <c r="A4789" s="114"/>
      <c r="B4789" s="293"/>
      <c r="C4789" s="387"/>
      <c r="D4789" s="387"/>
      <c r="E4789" s="387"/>
      <c r="F4789" s="387"/>
      <c r="G4789" s="387"/>
      <c r="H4789" s="386"/>
      <c r="I4789" s="386"/>
      <c r="J4789" s="114"/>
      <c r="AW4789" s="117"/>
      <c r="AX4789" s="117"/>
      <c r="AY4789" s="117"/>
      <c r="AZ4789" s="117"/>
      <c r="BA4789" s="117"/>
      <c r="BB4789" s="117"/>
      <c r="BC4789" s="117"/>
      <c r="BD4789" s="117"/>
    </row>
    <row r="4790" spans="1:56">
      <c r="A4790" s="114"/>
      <c r="B4790" s="385" t="s">
        <v>1293</v>
      </c>
      <c r="C4790" s="196"/>
      <c r="D4790" s="196"/>
      <c r="E4790" s="196"/>
      <c r="F4790" s="196"/>
      <c r="G4790" s="196"/>
      <c r="H4790" s="196"/>
      <c r="I4790" s="196"/>
      <c r="J4790" s="114"/>
      <c r="AW4790" s="117"/>
      <c r="AX4790" s="117"/>
      <c r="AY4790" s="117"/>
      <c r="AZ4790" s="117"/>
      <c r="BA4790" s="117"/>
      <c r="BB4790" s="117"/>
      <c r="BC4790" s="117"/>
      <c r="BD4790" s="117"/>
    </row>
    <row r="4791" spans="1:56" ht="15">
      <c r="A4791" s="114"/>
      <c r="B4791" s="196"/>
      <c r="C4791" s="196"/>
      <c r="D4791" s="196"/>
      <c r="E4791" s="196"/>
      <c r="F4791" s="196"/>
      <c r="G4791" s="196"/>
      <c r="H4791" s="196"/>
      <c r="I4791" s="196"/>
      <c r="J4791" s="114"/>
      <c r="AW4791" s="117"/>
      <c r="AX4791" s="117"/>
      <c r="AY4791" s="117"/>
      <c r="AZ4791" s="117"/>
      <c r="BA4791" s="117"/>
      <c r="BB4791" s="117"/>
      <c r="BC4791" s="117"/>
      <c r="BD4791" s="117"/>
    </row>
    <row r="4792" spans="1:56" ht="15">
      <c r="A4792" s="114"/>
      <c r="B4792" s="388" t="s">
        <v>1110</v>
      </c>
      <c r="C4792" s="389">
        <v>0.2</v>
      </c>
      <c r="D4792" s="390" t="s">
        <v>10</v>
      </c>
      <c r="E4792" s="196"/>
      <c r="F4792" s="196"/>
      <c r="G4792" s="392"/>
      <c r="H4792" s="393"/>
      <c r="I4792" s="196"/>
      <c r="J4792" s="114"/>
      <c r="AW4792" s="117"/>
      <c r="AX4792" s="117"/>
      <c r="AY4792" s="117"/>
      <c r="AZ4792" s="117"/>
      <c r="BA4792" s="117"/>
      <c r="BB4792" s="117"/>
      <c r="BC4792" s="117"/>
      <c r="BD4792" s="117"/>
    </row>
    <row r="4793" spans="1:56" ht="15">
      <c r="A4793" s="114"/>
      <c r="B4793" s="388" t="s">
        <v>1111</v>
      </c>
      <c r="C4793" s="951">
        <v>40.049999999999997</v>
      </c>
      <c r="D4793" s="390" t="s">
        <v>10</v>
      </c>
      <c r="E4793" s="196"/>
      <c r="F4793" s="908"/>
      <c r="G4793" s="392"/>
      <c r="H4793" s="393"/>
      <c r="I4793" s="196"/>
      <c r="J4793" s="114"/>
      <c r="AW4793" s="117"/>
      <c r="AX4793" s="117"/>
      <c r="AY4793" s="117"/>
      <c r="AZ4793" s="117"/>
      <c r="BA4793" s="117"/>
      <c r="BB4793" s="117"/>
      <c r="BC4793" s="117"/>
      <c r="BD4793" s="117"/>
    </row>
    <row r="4794" spans="1:56" ht="15">
      <c r="A4794" s="114"/>
      <c r="B4794" s="388" t="s">
        <v>1112</v>
      </c>
      <c r="C4794" s="389">
        <v>0.55000000000000004</v>
      </c>
      <c r="D4794" s="390" t="s">
        <v>10</v>
      </c>
      <c r="E4794" s="196"/>
      <c r="F4794" s="196"/>
      <c r="G4794" s="392"/>
      <c r="H4794" s="393"/>
      <c r="I4794" s="196"/>
      <c r="J4794" s="114"/>
      <c r="AW4794" s="117"/>
      <c r="AX4794" s="117"/>
      <c r="AY4794" s="117"/>
      <c r="AZ4794" s="117"/>
      <c r="BA4794" s="117"/>
      <c r="BB4794" s="117"/>
      <c r="BC4794" s="117"/>
      <c r="BD4794" s="117"/>
    </row>
    <row r="4795" spans="1:56" ht="15">
      <c r="A4795" s="114"/>
      <c r="B4795" s="388" t="s">
        <v>1113</v>
      </c>
      <c r="C4795" s="389">
        <v>1.1499999999999999</v>
      </c>
      <c r="D4795" s="390" t="s">
        <v>10</v>
      </c>
      <c r="E4795" s="196"/>
      <c r="F4795" s="196"/>
      <c r="G4795" s="392"/>
      <c r="H4795" s="394"/>
      <c r="I4795" s="196"/>
      <c r="J4795" s="114"/>
      <c r="AW4795" s="117"/>
      <c r="AX4795" s="117"/>
      <c r="AY4795" s="117"/>
      <c r="AZ4795" s="117"/>
      <c r="BA4795" s="117"/>
      <c r="BB4795" s="117"/>
      <c r="BC4795" s="117"/>
      <c r="BD4795" s="117"/>
    </row>
    <row r="4796" spans="1:56" ht="15">
      <c r="A4796" s="114"/>
      <c r="B4796" s="388" t="s">
        <v>1117</v>
      </c>
      <c r="C4796" s="389">
        <v>1</v>
      </c>
      <c r="D4796" s="390" t="s">
        <v>1118</v>
      </c>
      <c r="E4796" s="196"/>
      <c r="F4796" s="196"/>
      <c r="G4796" s="392"/>
      <c r="H4796" s="393"/>
      <c r="I4796" s="196"/>
      <c r="J4796" s="114"/>
      <c r="AW4796" s="117"/>
      <c r="AX4796" s="117"/>
      <c r="AY4796" s="117"/>
      <c r="AZ4796" s="117"/>
      <c r="BA4796" s="117"/>
      <c r="BB4796" s="117"/>
      <c r="BC4796" s="117"/>
      <c r="BD4796" s="117"/>
    </row>
    <row r="4797" spans="1:56" ht="15">
      <c r="A4797" s="114"/>
      <c r="B4797" s="392"/>
      <c r="C4797" s="393"/>
      <c r="D4797" s="196"/>
      <c r="E4797" s="196"/>
      <c r="F4797" s="196"/>
      <c r="G4797" s="392"/>
      <c r="H4797" s="393"/>
      <c r="I4797" s="196"/>
      <c r="J4797" s="114"/>
      <c r="AW4797" s="117"/>
      <c r="AX4797" s="117"/>
      <c r="AY4797" s="117"/>
      <c r="AZ4797" s="117"/>
      <c r="BA4797" s="117"/>
      <c r="BB4797" s="117"/>
      <c r="BC4797" s="117"/>
      <c r="BD4797" s="117"/>
    </row>
    <row r="4798" spans="1:56" ht="15">
      <c r="A4798" s="114"/>
      <c r="B4798" s="388" t="s">
        <v>1114</v>
      </c>
      <c r="C4798" s="389">
        <v>0.6</v>
      </c>
      <c r="D4798" s="390" t="s">
        <v>10</v>
      </c>
      <c r="E4798" s="288" t="s">
        <v>1120</v>
      </c>
      <c r="F4798" s="288"/>
      <c r="G4798" s="230"/>
      <c r="H4798" s="395"/>
      <c r="I4798" s="196"/>
      <c r="J4798" s="114"/>
      <c r="AW4798" s="117"/>
      <c r="AX4798" s="117"/>
      <c r="AY4798" s="117"/>
      <c r="AZ4798" s="117"/>
      <c r="BA4798" s="117"/>
      <c r="BB4798" s="117"/>
      <c r="BC4798" s="117"/>
      <c r="BD4798" s="117"/>
    </row>
    <row r="4799" spans="1:56" ht="15">
      <c r="A4799" s="114"/>
      <c r="B4799" s="388" t="s">
        <v>1114</v>
      </c>
      <c r="C4799" s="389">
        <v>0.2</v>
      </c>
      <c r="D4799" s="390" t="s">
        <v>10</v>
      </c>
      <c r="E4799" s="288" t="s">
        <v>1121</v>
      </c>
      <c r="F4799" s="288"/>
      <c r="G4799" s="230"/>
      <c r="H4799" s="395"/>
      <c r="I4799" s="196"/>
      <c r="J4799" s="114"/>
      <c r="AW4799" s="117"/>
      <c r="AX4799" s="117"/>
      <c r="AY4799" s="117"/>
      <c r="AZ4799" s="117"/>
      <c r="BA4799" s="117"/>
      <c r="BB4799" s="117"/>
      <c r="BC4799" s="117"/>
      <c r="BD4799" s="117"/>
    </row>
    <row r="4800" spans="1:56" ht="15">
      <c r="A4800" s="114"/>
      <c r="B4800" s="196"/>
      <c r="C4800" s="196"/>
      <c r="D4800" s="196"/>
      <c r="E4800" s="196"/>
      <c r="F4800" s="196"/>
      <c r="G4800" s="196"/>
      <c r="H4800" s="196"/>
      <c r="I4800" s="196"/>
      <c r="J4800" s="114"/>
      <c r="AW4800" s="117"/>
      <c r="AX4800" s="117"/>
      <c r="AY4800" s="117"/>
      <c r="AZ4800" s="117"/>
      <c r="BA4800" s="117"/>
      <c r="BB4800" s="117"/>
      <c r="BC4800" s="117"/>
      <c r="BD4800" s="117"/>
    </row>
    <row r="4801" spans="1:56" ht="15">
      <c r="A4801" s="114"/>
      <c r="B4801" s="303" t="s">
        <v>1122</v>
      </c>
      <c r="C4801" s="362"/>
      <c r="D4801" s="362"/>
      <c r="E4801" s="196"/>
      <c r="F4801" s="196"/>
      <c r="G4801" s="196"/>
      <c r="H4801" s="196"/>
      <c r="I4801" s="196"/>
      <c r="J4801" s="114"/>
      <c r="AW4801" s="117"/>
      <c r="AX4801" s="117"/>
      <c r="AY4801" s="117"/>
      <c r="AZ4801" s="117"/>
      <c r="BA4801" s="117"/>
      <c r="BB4801" s="117"/>
      <c r="BC4801" s="117"/>
      <c r="BD4801" s="117"/>
    </row>
    <row r="4802" spans="1:56" ht="18">
      <c r="A4802" s="114"/>
      <c r="B4802" s="396" t="s">
        <v>1123</v>
      </c>
      <c r="C4802" s="289"/>
      <c r="D4802" s="290"/>
      <c r="E4802" s="397">
        <f>C4796*(C4798*2*(0.05+C4795+C4794)*C4793)</f>
        <v>84.105000000000004</v>
      </c>
      <c r="F4802" s="390" t="s">
        <v>1124</v>
      </c>
      <c r="G4802" s="196"/>
      <c r="H4802" s="196"/>
      <c r="I4802" s="196"/>
      <c r="J4802" s="114"/>
      <c r="AW4802" s="117"/>
      <c r="AX4802" s="117"/>
      <c r="AY4802" s="117"/>
      <c r="AZ4802" s="117"/>
      <c r="BA4802" s="117"/>
      <c r="BB4802" s="117"/>
      <c r="BC4802" s="117"/>
      <c r="BD4802" s="117"/>
    </row>
    <row r="4803" spans="1:56" ht="18">
      <c r="A4803" s="114"/>
      <c r="B4803" s="398" t="s">
        <v>1125</v>
      </c>
      <c r="C4803" s="172"/>
      <c r="D4803" s="173"/>
      <c r="E4803" s="397">
        <f>E4802-((C4792*0.05+C4792*C4795)*C4793)</f>
        <v>74.493000000000009</v>
      </c>
      <c r="F4803" s="390" t="s">
        <v>1124</v>
      </c>
      <c r="G4803" s="196"/>
      <c r="H4803" s="196"/>
      <c r="I4803" s="196"/>
      <c r="J4803" s="114"/>
      <c r="AW4803" s="117"/>
      <c r="AX4803" s="117"/>
      <c r="AY4803" s="117"/>
      <c r="AZ4803" s="117"/>
      <c r="BA4803" s="117"/>
      <c r="BB4803" s="117"/>
      <c r="BC4803" s="117"/>
      <c r="BD4803" s="117"/>
    </row>
    <row r="4804" spans="1:56" ht="15">
      <c r="A4804" s="114"/>
      <c r="B4804" s="399" t="s">
        <v>1126</v>
      </c>
      <c r="C4804" s="317"/>
      <c r="D4804" s="318"/>
      <c r="E4804" s="400">
        <f>(2*C4799)*C4793</f>
        <v>16.02</v>
      </c>
      <c r="F4804" s="390" t="s">
        <v>13</v>
      </c>
      <c r="G4804" s="196"/>
      <c r="H4804" s="196"/>
      <c r="I4804" s="196"/>
      <c r="J4804" s="114"/>
      <c r="AW4804" s="117"/>
      <c r="AX4804" s="117"/>
      <c r="AY4804" s="117"/>
      <c r="AZ4804" s="117"/>
      <c r="BA4804" s="117"/>
      <c r="BB4804" s="117"/>
      <c r="BC4804" s="117"/>
      <c r="BD4804" s="117"/>
    </row>
    <row r="4805" spans="1:56" ht="15">
      <c r="A4805" s="114"/>
      <c r="B4805" s="196"/>
      <c r="C4805" s="196"/>
      <c r="D4805" s="196"/>
      <c r="E4805" s="401"/>
      <c r="F4805" s="196"/>
      <c r="G4805" s="196"/>
      <c r="H4805" s="196"/>
      <c r="I4805" s="196"/>
      <c r="J4805" s="114"/>
      <c r="AW4805" s="117"/>
      <c r="AX4805" s="117"/>
      <c r="AY4805" s="117"/>
      <c r="AZ4805" s="117"/>
      <c r="BA4805" s="117"/>
      <c r="BB4805" s="117"/>
      <c r="BC4805" s="117"/>
      <c r="BD4805" s="117"/>
    </row>
    <row r="4806" spans="1:56" ht="15">
      <c r="A4806" s="114"/>
      <c r="B4806" s="303" t="s">
        <v>1127</v>
      </c>
      <c r="C4806" s="196"/>
      <c r="D4806" s="196"/>
      <c r="E4806" s="401"/>
      <c r="F4806" s="196"/>
      <c r="G4806" s="196"/>
      <c r="H4806" s="196"/>
      <c r="I4806" s="196"/>
      <c r="J4806" s="114"/>
      <c r="AW4806" s="117"/>
      <c r="AX4806" s="117"/>
      <c r="AY4806" s="117"/>
      <c r="AZ4806" s="117"/>
      <c r="BA4806" s="117"/>
      <c r="BB4806" s="117"/>
      <c r="BC4806" s="117"/>
      <c r="BD4806" s="117"/>
    </row>
    <row r="4807" spans="1:56" ht="18">
      <c r="A4807" s="114"/>
      <c r="B4807" s="398" t="s">
        <v>1128</v>
      </c>
      <c r="C4807" s="172"/>
      <c r="D4807" s="173"/>
      <c r="E4807" s="402">
        <f>E4804*0.05</f>
        <v>0.80100000000000005</v>
      </c>
      <c r="F4807" s="390" t="s">
        <v>1124</v>
      </c>
      <c r="G4807" s="196"/>
      <c r="H4807" s="196"/>
      <c r="I4807" s="196"/>
      <c r="J4807" s="114"/>
      <c r="AW4807" s="117"/>
      <c r="AX4807" s="117"/>
      <c r="AY4807" s="117"/>
      <c r="AZ4807" s="117"/>
      <c r="BA4807" s="117"/>
      <c r="BB4807" s="117"/>
      <c r="BC4807" s="117"/>
      <c r="BD4807" s="117"/>
    </row>
    <row r="4808" spans="1:56" ht="15">
      <c r="A4808" s="114"/>
      <c r="B4808" s="398" t="s">
        <v>1129</v>
      </c>
      <c r="C4808" s="172"/>
      <c r="D4808" s="173"/>
      <c r="E4808" s="397">
        <f>C4795*2*C4793</f>
        <v>92.114999999999981</v>
      </c>
      <c r="F4808" s="390" t="s">
        <v>13</v>
      </c>
      <c r="G4808" s="393" t="s">
        <v>1108</v>
      </c>
      <c r="H4808" s="196" t="s">
        <v>1131</v>
      </c>
      <c r="I4808" s="393"/>
      <c r="J4808" s="114"/>
      <c r="AW4808" s="117"/>
      <c r="AX4808" s="117"/>
      <c r="AY4808" s="117"/>
      <c r="AZ4808" s="117"/>
      <c r="BA4808" s="117"/>
      <c r="BB4808" s="117"/>
      <c r="BC4808" s="117"/>
      <c r="BD4808" s="117"/>
    </row>
    <row r="4809" spans="1:56" ht="18">
      <c r="A4809" s="114"/>
      <c r="B4809" s="398" t="s">
        <v>1130</v>
      </c>
      <c r="C4809" s="172"/>
      <c r="D4809" s="173"/>
      <c r="E4809" s="402">
        <f>C4792*C4793*C4795</f>
        <v>9.2114999999999991</v>
      </c>
      <c r="F4809" s="390" t="s">
        <v>1124</v>
      </c>
      <c r="G4809" s="196"/>
      <c r="H4809" s="196"/>
      <c r="I4809" s="196"/>
      <c r="J4809" s="114"/>
      <c r="AW4809" s="117"/>
      <c r="AX4809" s="117"/>
      <c r="AY4809" s="117"/>
      <c r="AZ4809" s="117"/>
      <c r="BA4809" s="117"/>
      <c r="BB4809" s="117"/>
      <c r="BC4809" s="117"/>
      <c r="BD4809" s="117"/>
    </row>
    <row r="4810" spans="1:56" ht="15">
      <c r="A4810" s="114"/>
      <c r="B4810" s="288"/>
      <c r="C4810" s="230"/>
      <c r="D4810" s="230"/>
      <c r="E4810" s="384"/>
      <c r="F4810" s="196"/>
      <c r="G4810" s="196"/>
      <c r="H4810" s="196"/>
      <c r="I4810" s="196"/>
      <c r="J4810" s="114"/>
      <c r="AW4810" s="117"/>
      <c r="AX4810" s="117"/>
      <c r="AY4810" s="117"/>
      <c r="AZ4810" s="117"/>
      <c r="BA4810" s="117"/>
      <c r="BB4810" s="117"/>
      <c r="BC4810" s="117"/>
      <c r="BD4810" s="117"/>
    </row>
    <row r="4811" spans="1:56" ht="15">
      <c r="A4811" s="114"/>
      <c r="B4811" s="293"/>
      <c r="C4811" s="387"/>
      <c r="D4811" s="387"/>
      <c r="E4811" s="387"/>
      <c r="F4811" s="387"/>
      <c r="G4811" s="387"/>
      <c r="H4811" s="386"/>
      <c r="I4811" s="386"/>
      <c r="J4811" s="114"/>
      <c r="AW4811" s="117"/>
      <c r="AX4811" s="117"/>
      <c r="AY4811" s="117"/>
      <c r="AZ4811" s="117"/>
      <c r="BA4811" s="117"/>
      <c r="BB4811" s="117"/>
      <c r="BC4811" s="117"/>
      <c r="BD4811" s="117"/>
    </row>
    <row r="4812" spans="1:56" ht="15">
      <c r="A4812" s="114"/>
      <c r="B4812" s="293"/>
      <c r="C4812" s="387"/>
      <c r="D4812" s="387"/>
      <c r="E4812" s="387"/>
      <c r="F4812" s="387"/>
      <c r="G4812" s="387"/>
      <c r="H4812" s="386"/>
      <c r="I4812" s="386"/>
      <c r="J4812" s="114"/>
      <c r="AW4812" s="117"/>
      <c r="AX4812" s="117"/>
      <c r="AY4812" s="117"/>
      <c r="AZ4812" s="117"/>
      <c r="BA4812" s="117"/>
      <c r="BB4812" s="117"/>
      <c r="BC4812" s="117"/>
      <c r="BD4812" s="117"/>
    </row>
    <row r="4813" spans="1:56">
      <c r="A4813" s="114"/>
      <c r="B4813" s="385" t="s">
        <v>1294</v>
      </c>
      <c r="C4813" s="196"/>
      <c r="D4813" s="196"/>
      <c r="E4813" s="196"/>
      <c r="F4813" s="196"/>
      <c r="G4813" s="196"/>
      <c r="H4813" s="196"/>
      <c r="I4813" s="196"/>
      <c r="J4813" s="114"/>
      <c r="AW4813" s="117"/>
      <c r="AX4813" s="117"/>
      <c r="AY4813" s="117"/>
      <c r="AZ4813" s="117"/>
      <c r="BA4813" s="117"/>
      <c r="BB4813" s="117"/>
      <c r="BC4813" s="117"/>
      <c r="BD4813" s="117"/>
    </row>
    <row r="4814" spans="1:56" ht="15">
      <c r="A4814" s="114"/>
      <c r="B4814" s="196"/>
      <c r="C4814" s="196"/>
      <c r="D4814" s="196"/>
      <c r="E4814" s="196"/>
      <c r="F4814" s="196"/>
      <c r="G4814" s="196"/>
      <c r="H4814" s="196"/>
      <c r="I4814" s="196"/>
      <c r="J4814" s="114"/>
      <c r="AW4814" s="117"/>
      <c r="AX4814" s="117"/>
      <c r="AY4814" s="117"/>
      <c r="AZ4814" s="117"/>
      <c r="BA4814" s="117"/>
      <c r="BB4814" s="117"/>
      <c r="BC4814" s="117"/>
      <c r="BD4814" s="117"/>
    </row>
    <row r="4815" spans="1:56" ht="15">
      <c r="A4815" s="114"/>
      <c r="B4815" s="388" t="s">
        <v>1110</v>
      </c>
      <c r="C4815" s="389">
        <v>0.2</v>
      </c>
      <c r="D4815" s="390" t="s">
        <v>10</v>
      </c>
      <c r="E4815" s="196"/>
      <c r="F4815" s="196"/>
      <c r="G4815" s="392"/>
      <c r="H4815" s="393"/>
      <c r="I4815" s="196"/>
      <c r="J4815" s="114"/>
      <c r="AW4815" s="117"/>
      <c r="AX4815" s="117"/>
      <c r="AY4815" s="117"/>
      <c r="AZ4815" s="117"/>
      <c r="BA4815" s="117"/>
      <c r="BB4815" s="117"/>
      <c r="BC4815" s="117"/>
      <c r="BD4815" s="117"/>
    </row>
    <row r="4816" spans="1:56" ht="15">
      <c r="A4816" s="114"/>
      <c r="B4816" s="388" t="s">
        <v>1111</v>
      </c>
      <c r="C4816" s="391">
        <v>23.73</v>
      </c>
      <c r="D4816" s="390" t="s">
        <v>10</v>
      </c>
      <c r="E4816" s="196"/>
      <c r="F4816" s="908"/>
      <c r="G4816" s="392"/>
      <c r="H4816" s="393"/>
      <c r="I4816" s="196"/>
      <c r="J4816" s="114"/>
      <c r="AW4816" s="117"/>
      <c r="AX4816" s="117"/>
      <c r="AY4816" s="117"/>
      <c r="AZ4816" s="117"/>
      <c r="BA4816" s="117"/>
      <c r="BB4816" s="117"/>
      <c r="BC4816" s="117"/>
      <c r="BD4816" s="117"/>
    </row>
    <row r="4817" spans="1:56" ht="15">
      <c r="A4817" s="114"/>
      <c r="B4817" s="388" t="s">
        <v>1112</v>
      </c>
      <c r="C4817" s="389">
        <v>0.55000000000000004</v>
      </c>
      <c r="D4817" s="390" t="s">
        <v>10</v>
      </c>
      <c r="E4817" s="196"/>
      <c r="F4817" s="196"/>
      <c r="G4817" s="392"/>
      <c r="H4817" s="393"/>
      <c r="I4817" s="196"/>
      <c r="J4817" s="114"/>
      <c r="AW4817" s="117"/>
      <c r="AX4817" s="117"/>
      <c r="AY4817" s="117"/>
      <c r="AZ4817" s="117"/>
      <c r="BA4817" s="117"/>
      <c r="BB4817" s="117"/>
      <c r="BC4817" s="117"/>
      <c r="BD4817" s="117"/>
    </row>
    <row r="4818" spans="1:56" ht="15">
      <c r="A4818" s="114"/>
      <c r="B4818" s="388" t="s">
        <v>1113</v>
      </c>
      <c r="C4818" s="389">
        <v>1.2</v>
      </c>
      <c r="D4818" s="390" t="s">
        <v>10</v>
      </c>
      <c r="E4818" s="196"/>
      <c r="F4818" s="196"/>
      <c r="G4818" s="392"/>
      <c r="H4818" s="394"/>
      <c r="I4818" s="196"/>
      <c r="J4818" s="114"/>
      <c r="AW4818" s="117"/>
      <c r="AX4818" s="117"/>
      <c r="AY4818" s="117"/>
      <c r="AZ4818" s="117"/>
      <c r="BA4818" s="117"/>
      <c r="BB4818" s="117"/>
      <c r="BC4818" s="117"/>
      <c r="BD4818" s="117"/>
    </row>
    <row r="4819" spans="1:56" ht="15">
      <c r="A4819" s="114"/>
      <c r="B4819" s="388" t="s">
        <v>1117</v>
      </c>
      <c r="C4819" s="389">
        <v>1</v>
      </c>
      <c r="D4819" s="390" t="s">
        <v>1118</v>
      </c>
      <c r="E4819" s="196"/>
      <c r="F4819" s="196"/>
      <c r="G4819" s="392"/>
      <c r="H4819" s="393"/>
      <c r="I4819" s="196"/>
      <c r="J4819" s="114"/>
      <c r="AW4819" s="117"/>
      <c r="AX4819" s="117"/>
      <c r="AY4819" s="117"/>
      <c r="AZ4819" s="117"/>
      <c r="BA4819" s="117"/>
      <c r="BB4819" s="117"/>
      <c r="BC4819" s="117"/>
      <c r="BD4819" s="117"/>
    </row>
    <row r="4820" spans="1:56" ht="15">
      <c r="A4820" s="114"/>
      <c r="B4820" s="392"/>
      <c r="C4820" s="393"/>
      <c r="D4820" s="196"/>
      <c r="E4820" s="196"/>
      <c r="F4820" s="196"/>
      <c r="G4820" s="392"/>
      <c r="H4820" s="393"/>
      <c r="I4820" s="196"/>
      <c r="J4820" s="114"/>
      <c r="AW4820" s="117"/>
      <c r="AX4820" s="117"/>
      <c r="AY4820" s="117"/>
      <c r="AZ4820" s="117"/>
      <c r="BA4820" s="117"/>
      <c r="BB4820" s="117"/>
      <c r="BC4820" s="117"/>
      <c r="BD4820" s="117"/>
    </row>
    <row r="4821" spans="1:56" ht="15">
      <c r="A4821" s="114"/>
      <c r="B4821" s="388" t="s">
        <v>1114</v>
      </c>
      <c r="C4821" s="389">
        <v>0.6</v>
      </c>
      <c r="D4821" s="390" t="s">
        <v>10</v>
      </c>
      <c r="E4821" s="288" t="s">
        <v>1120</v>
      </c>
      <c r="F4821" s="288"/>
      <c r="G4821" s="230"/>
      <c r="H4821" s="395"/>
      <c r="I4821" s="196"/>
      <c r="J4821" s="114"/>
      <c r="AW4821" s="117"/>
      <c r="AX4821" s="117"/>
      <c r="AY4821" s="117"/>
      <c r="AZ4821" s="117"/>
      <c r="BA4821" s="117"/>
      <c r="BB4821" s="117"/>
      <c r="BC4821" s="117"/>
      <c r="BD4821" s="117"/>
    </row>
    <row r="4822" spans="1:56" ht="15">
      <c r="A4822" s="114"/>
      <c r="B4822" s="388" t="s">
        <v>1114</v>
      </c>
      <c r="C4822" s="389">
        <v>0.2</v>
      </c>
      <c r="D4822" s="390" t="s">
        <v>10</v>
      </c>
      <c r="E4822" s="288" t="s">
        <v>1121</v>
      </c>
      <c r="F4822" s="288"/>
      <c r="G4822" s="230"/>
      <c r="H4822" s="395"/>
      <c r="I4822" s="196"/>
      <c r="J4822" s="114"/>
      <c r="AW4822" s="117"/>
      <c r="AX4822" s="117"/>
      <c r="AY4822" s="117"/>
      <c r="AZ4822" s="117"/>
      <c r="BA4822" s="117"/>
      <c r="BB4822" s="117"/>
      <c r="BC4822" s="117"/>
      <c r="BD4822" s="117"/>
    </row>
    <row r="4823" spans="1:56" ht="15">
      <c r="A4823" s="114"/>
      <c r="B4823" s="196"/>
      <c r="C4823" s="196"/>
      <c r="D4823" s="196"/>
      <c r="E4823" s="196"/>
      <c r="F4823" s="196"/>
      <c r="G4823" s="196"/>
      <c r="H4823" s="196"/>
      <c r="I4823" s="196"/>
      <c r="J4823" s="114"/>
      <c r="AW4823" s="117"/>
      <c r="AX4823" s="117"/>
      <c r="AY4823" s="117"/>
      <c r="AZ4823" s="117"/>
      <c r="BA4823" s="117"/>
      <c r="BB4823" s="117"/>
      <c r="BC4823" s="117"/>
      <c r="BD4823" s="117"/>
    </row>
    <row r="4824" spans="1:56" ht="15">
      <c r="A4824" s="114"/>
      <c r="B4824" s="303" t="s">
        <v>1122</v>
      </c>
      <c r="C4824" s="362"/>
      <c r="D4824" s="362"/>
      <c r="E4824" s="196"/>
      <c r="F4824" s="196"/>
      <c r="G4824" s="196"/>
      <c r="H4824" s="196"/>
      <c r="I4824" s="196"/>
      <c r="J4824" s="114"/>
      <c r="AW4824" s="117"/>
      <c r="AX4824" s="117"/>
      <c r="AY4824" s="117"/>
      <c r="AZ4824" s="117"/>
      <c r="BA4824" s="117"/>
      <c r="BB4824" s="117"/>
      <c r="BC4824" s="117"/>
      <c r="BD4824" s="117"/>
    </row>
    <row r="4825" spans="1:56" ht="18">
      <c r="A4825" s="114"/>
      <c r="B4825" s="396" t="s">
        <v>1123</v>
      </c>
      <c r="C4825" s="289"/>
      <c r="D4825" s="290"/>
      <c r="E4825" s="397">
        <f>C4819*(C4821*2*(0.05+C4818+C4817)*C4816)</f>
        <v>51.256800000000005</v>
      </c>
      <c r="F4825" s="390" t="s">
        <v>1124</v>
      </c>
      <c r="G4825" s="196"/>
      <c r="H4825" s="196"/>
      <c r="I4825" s="196"/>
      <c r="J4825" s="114"/>
      <c r="AW4825" s="117"/>
      <c r="AX4825" s="117"/>
      <c r="AY4825" s="117"/>
      <c r="AZ4825" s="117"/>
      <c r="BA4825" s="117"/>
      <c r="BB4825" s="117"/>
      <c r="BC4825" s="117"/>
      <c r="BD4825" s="117"/>
    </row>
    <row r="4826" spans="1:56" ht="18">
      <c r="A4826" s="114"/>
      <c r="B4826" s="398" t="s">
        <v>1125</v>
      </c>
      <c r="C4826" s="172"/>
      <c r="D4826" s="173"/>
      <c r="E4826" s="397">
        <f>E4825-((C4815*0.05+C4815*C4818)*C4816)</f>
        <v>45.324300000000008</v>
      </c>
      <c r="F4826" s="390" t="s">
        <v>1124</v>
      </c>
      <c r="G4826" s="196"/>
      <c r="H4826" s="196"/>
      <c r="I4826" s="196"/>
      <c r="J4826" s="114"/>
      <c r="AW4826" s="117"/>
      <c r="AX4826" s="117"/>
      <c r="AY4826" s="117"/>
      <c r="AZ4826" s="117"/>
      <c r="BA4826" s="117"/>
      <c r="BB4826" s="117"/>
      <c r="BC4826" s="117"/>
      <c r="BD4826" s="117"/>
    </row>
    <row r="4827" spans="1:56" ht="15">
      <c r="A4827" s="114"/>
      <c r="B4827" s="399" t="s">
        <v>1126</v>
      </c>
      <c r="C4827" s="317"/>
      <c r="D4827" s="318"/>
      <c r="E4827" s="400">
        <f>(2*C4822)*C4816</f>
        <v>9.4920000000000009</v>
      </c>
      <c r="F4827" s="390" t="s">
        <v>13</v>
      </c>
      <c r="G4827" s="196"/>
      <c r="H4827" s="196"/>
      <c r="I4827" s="196"/>
      <c r="J4827" s="114"/>
      <c r="AW4827" s="117"/>
      <c r="AX4827" s="117"/>
      <c r="AY4827" s="117"/>
      <c r="AZ4827" s="117"/>
      <c r="BA4827" s="117"/>
      <c r="BB4827" s="117"/>
      <c r="BC4827" s="117"/>
      <c r="BD4827" s="117"/>
    </row>
    <row r="4828" spans="1:56" ht="15">
      <c r="A4828" s="114"/>
      <c r="B4828" s="196"/>
      <c r="C4828" s="196"/>
      <c r="D4828" s="196"/>
      <c r="E4828" s="401"/>
      <c r="F4828" s="196"/>
      <c r="G4828" s="196"/>
      <c r="H4828" s="196"/>
      <c r="I4828" s="196"/>
      <c r="J4828" s="114"/>
      <c r="AW4828" s="117"/>
      <c r="AX4828" s="117"/>
      <c r="AY4828" s="117"/>
      <c r="AZ4828" s="117"/>
      <c r="BA4828" s="117"/>
      <c r="BB4828" s="117"/>
      <c r="BC4828" s="117"/>
      <c r="BD4828" s="117"/>
    </row>
    <row r="4829" spans="1:56" ht="15">
      <c r="A4829" s="114"/>
      <c r="B4829" s="303" t="s">
        <v>1127</v>
      </c>
      <c r="C4829" s="196"/>
      <c r="D4829" s="196"/>
      <c r="E4829" s="401"/>
      <c r="F4829" s="196"/>
      <c r="G4829" s="196"/>
      <c r="H4829" s="196"/>
      <c r="I4829" s="196"/>
      <c r="J4829" s="114"/>
      <c r="AW4829" s="117"/>
      <c r="AX4829" s="117"/>
      <c r="AY4829" s="117"/>
      <c r="AZ4829" s="117"/>
      <c r="BA4829" s="117"/>
      <c r="BB4829" s="117"/>
      <c r="BC4829" s="117"/>
      <c r="BD4829" s="117"/>
    </row>
    <row r="4830" spans="1:56" ht="18">
      <c r="A4830" s="114"/>
      <c r="B4830" s="398" t="s">
        <v>1128</v>
      </c>
      <c r="C4830" s="172"/>
      <c r="D4830" s="173"/>
      <c r="E4830" s="402">
        <f>E4827*0.05</f>
        <v>0.47460000000000008</v>
      </c>
      <c r="F4830" s="390" t="s">
        <v>1124</v>
      </c>
      <c r="G4830" s="196"/>
      <c r="H4830" s="196"/>
      <c r="I4830" s="196"/>
      <c r="J4830" s="114"/>
      <c r="AW4830" s="117"/>
      <c r="AX4830" s="117"/>
      <c r="AY4830" s="117"/>
      <c r="AZ4830" s="117"/>
      <c r="BA4830" s="117"/>
      <c r="BB4830" s="117"/>
      <c r="BC4830" s="117"/>
      <c r="BD4830" s="117"/>
    </row>
    <row r="4831" spans="1:56" ht="15">
      <c r="A4831" s="114"/>
      <c r="B4831" s="398" t="s">
        <v>1129</v>
      </c>
      <c r="C4831" s="172"/>
      <c r="D4831" s="173"/>
      <c r="E4831" s="397">
        <f>C4818*2*C4816</f>
        <v>56.951999999999998</v>
      </c>
      <c r="F4831" s="390" t="s">
        <v>13</v>
      </c>
      <c r="G4831" s="393" t="s">
        <v>1108</v>
      </c>
      <c r="H4831" s="196" t="s">
        <v>1131</v>
      </c>
      <c r="I4831" s="393"/>
      <c r="J4831" s="114"/>
      <c r="AW4831" s="117"/>
      <c r="AX4831" s="117"/>
      <c r="AY4831" s="117"/>
      <c r="AZ4831" s="117"/>
      <c r="BA4831" s="117"/>
      <c r="BB4831" s="117"/>
      <c r="BC4831" s="117"/>
      <c r="BD4831" s="117"/>
    </row>
    <row r="4832" spans="1:56" ht="18">
      <c r="A4832" s="114"/>
      <c r="B4832" s="398" t="s">
        <v>1130</v>
      </c>
      <c r="C4832" s="172"/>
      <c r="D4832" s="173"/>
      <c r="E4832" s="402">
        <f>C4815*C4816*C4818</f>
        <v>5.6952000000000007</v>
      </c>
      <c r="F4832" s="390" t="s">
        <v>1124</v>
      </c>
      <c r="G4832" s="196"/>
      <c r="H4832" s="196"/>
      <c r="I4832" s="196"/>
      <c r="J4832" s="114"/>
      <c r="AW4832" s="117"/>
      <c r="AX4832" s="117"/>
      <c r="AY4832" s="117"/>
      <c r="AZ4832" s="117"/>
      <c r="BA4832" s="117"/>
      <c r="BB4832" s="117"/>
      <c r="BC4832" s="117"/>
      <c r="BD4832" s="117"/>
    </row>
    <row r="4833" spans="1:56" ht="15">
      <c r="A4833" s="114"/>
      <c r="B4833" s="288"/>
      <c r="C4833" s="230"/>
      <c r="D4833" s="230"/>
      <c r="E4833" s="384"/>
      <c r="F4833" s="196"/>
      <c r="G4833" s="196"/>
      <c r="H4833" s="196"/>
      <c r="I4833" s="196"/>
      <c r="J4833" s="114"/>
      <c r="AW4833" s="117"/>
      <c r="AX4833" s="117"/>
      <c r="AY4833" s="117"/>
      <c r="AZ4833" s="117"/>
      <c r="BA4833" s="117"/>
      <c r="BB4833" s="117"/>
      <c r="BC4833" s="117"/>
      <c r="BD4833" s="117"/>
    </row>
    <row r="4834" spans="1:56" ht="15">
      <c r="A4834" s="114"/>
      <c r="B4834" s="293"/>
      <c r="C4834" s="387"/>
      <c r="D4834" s="387"/>
      <c r="E4834" s="387"/>
      <c r="F4834" s="387"/>
      <c r="G4834" s="387"/>
      <c r="H4834" s="386"/>
      <c r="I4834" s="386"/>
      <c r="J4834" s="114"/>
      <c r="AW4834" s="117"/>
      <c r="AX4834" s="117"/>
      <c r="AY4834" s="117"/>
      <c r="AZ4834" s="117"/>
      <c r="BA4834" s="117"/>
      <c r="BB4834" s="117"/>
      <c r="BC4834" s="117"/>
      <c r="BD4834" s="117"/>
    </row>
    <row r="4835" spans="1:56" ht="15">
      <c r="A4835" s="114"/>
      <c r="B4835" s="293"/>
      <c r="C4835" s="387"/>
      <c r="D4835" s="387"/>
      <c r="E4835" s="387"/>
      <c r="F4835" s="387"/>
      <c r="G4835" s="387"/>
      <c r="H4835" s="386"/>
      <c r="I4835" s="386"/>
      <c r="J4835" s="114"/>
      <c r="AW4835" s="117"/>
      <c r="AX4835" s="117"/>
      <c r="AY4835" s="117"/>
      <c r="AZ4835" s="117"/>
      <c r="BA4835" s="117"/>
      <c r="BB4835" s="117"/>
      <c r="BC4835" s="117"/>
      <c r="BD4835" s="117"/>
    </row>
    <row r="4836" spans="1:56">
      <c r="A4836" s="114"/>
      <c r="B4836" s="385" t="s">
        <v>1295</v>
      </c>
      <c r="C4836" s="196"/>
      <c r="D4836" s="196"/>
      <c r="E4836" s="196"/>
      <c r="F4836" s="196"/>
      <c r="G4836" s="196"/>
      <c r="H4836" s="196"/>
      <c r="I4836" s="196"/>
      <c r="J4836" s="114"/>
      <c r="AW4836" s="117"/>
      <c r="AX4836" s="117"/>
      <c r="AY4836" s="117"/>
      <c r="AZ4836" s="117"/>
      <c r="BA4836" s="117"/>
      <c r="BB4836" s="117"/>
      <c r="BC4836" s="117"/>
      <c r="BD4836" s="117"/>
    </row>
    <row r="4837" spans="1:56" ht="15">
      <c r="A4837" s="114"/>
      <c r="B4837" s="196"/>
      <c r="C4837" s="196"/>
      <c r="D4837" s="196"/>
      <c r="E4837" s="196"/>
      <c r="F4837" s="196"/>
      <c r="G4837" s="196"/>
      <c r="H4837" s="196"/>
      <c r="I4837" s="196"/>
      <c r="J4837" s="114"/>
      <c r="AW4837" s="117"/>
      <c r="AX4837" s="117"/>
      <c r="AY4837" s="117"/>
      <c r="AZ4837" s="117"/>
      <c r="BA4837" s="117"/>
      <c r="BB4837" s="117"/>
      <c r="BC4837" s="117"/>
      <c r="BD4837" s="117"/>
    </row>
    <row r="4838" spans="1:56" ht="15">
      <c r="A4838" s="114"/>
      <c r="B4838" s="388" t="s">
        <v>1110</v>
      </c>
      <c r="C4838" s="389">
        <v>0.2</v>
      </c>
      <c r="D4838" s="390" t="s">
        <v>10</v>
      </c>
      <c r="E4838" s="196"/>
      <c r="F4838" s="196"/>
      <c r="G4838" s="392"/>
      <c r="H4838" s="393"/>
      <c r="I4838" s="196"/>
      <c r="J4838" s="114"/>
      <c r="AW4838" s="117"/>
      <c r="AX4838" s="117"/>
      <c r="AY4838" s="117"/>
      <c r="AZ4838" s="117"/>
      <c r="BA4838" s="117"/>
      <c r="BB4838" s="117"/>
      <c r="BC4838" s="117"/>
      <c r="BD4838" s="117"/>
    </row>
    <row r="4839" spans="1:56" ht="15">
      <c r="A4839" s="114"/>
      <c r="B4839" s="388" t="s">
        <v>1111</v>
      </c>
      <c r="C4839" s="391">
        <f>4.4+2.2+4.2+1.7</f>
        <v>12.5</v>
      </c>
      <c r="D4839" s="390" t="s">
        <v>10</v>
      </c>
      <c r="E4839" s="196"/>
      <c r="F4839" s="908"/>
      <c r="G4839" s="392"/>
      <c r="H4839" s="393"/>
      <c r="I4839" s="196"/>
      <c r="J4839" s="114"/>
      <c r="AW4839" s="117"/>
      <c r="AX4839" s="117"/>
      <c r="AY4839" s="117"/>
      <c r="AZ4839" s="117"/>
      <c r="BA4839" s="117"/>
      <c r="BB4839" s="117"/>
      <c r="BC4839" s="117"/>
      <c r="BD4839" s="117"/>
    </row>
    <row r="4840" spans="1:56" ht="15">
      <c r="A4840" s="114"/>
      <c r="B4840" s="388" t="s">
        <v>1112</v>
      </c>
      <c r="C4840" s="389">
        <v>0</v>
      </c>
      <c r="D4840" s="390" t="s">
        <v>10</v>
      </c>
      <c r="E4840" s="196"/>
      <c r="F4840" s="196"/>
      <c r="G4840" s="392"/>
      <c r="H4840" s="393"/>
      <c r="I4840" s="196"/>
      <c r="J4840" s="114"/>
      <c r="AW4840" s="117"/>
      <c r="AX4840" s="117"/>
      <c r="AY4840" s="117"/>
      <c r="AZ4840" s="117"/>
      <c r="BA4840" s="117"/>
      <c r="BB4840" s="117"/>
      <c r="BC4840" s="117"/>
      <c r="BD4840" s="117"/>
    </row>
    <row r="4841" spans="1:56" ht="15">
      <c r="A4841" s="114"/>
      <c r="B4841" s="388" t="s">
        <v>1113</v>
      </c>
      <c r="C4841" s="389">
        <v>1.4</v>
      </c>
      <c r="D4841" s="390" t="s">
        <v>10</v>
      </c>
      <c r="E4841" s="196"/>
      <c r="F4841" s="196"/>
      <c r="G4841" s="392"/>
      <c r="H4841" s="394"/>
      <c r="I4841" s="196"/>
      <c r="J4841" s="114"/>
      <c r="AW4841" s="117"/>
      <c r="AX4841" s="117"/>
      <c r="AY4841" s="117"/>
      <c r="AZ4841" s="117"/>
      <c r="BA4841" s="117"/>
      <c r="BB4841" s="117"/>
      <c r="BC4841" s="117"/>
      <c r="BD4841" s="117"/>
    </row>
    <row r="4842" spans="1:56" ht="15">
      <c r="A4842" s="114"/>
      <c r="B4842" s="388" t="s">
        <v>1117</v>
      </c>
      <c r="C4842" s="389">
        <v>1</v>
      </c>
      <c r="D4842" s="390" t="s">
        <v>1118</v>
      </c>
      <c r="E4842" s="196"/>
      <c r="F4842" s="196"/>
      <c r="G4842" s="392"/>
      <c r="H4842" s="393"/>
      <c r="I4842" s="196"/>
      <c r="J4842" s="114"/>
      <c r="AW4842" s="117"/>
      <c r="AX4842" s="117"/>
      <c r="AY4842" s="117"/>
      <c r="AZ4842" s="117"/>
      <c r="BA4842" s="117"/>
      <c r="BB4842" s="117"/>
      <c r="BC4842" s="117"/>
      <c r="BD4842" s="117"/>
    </row>
    <row r="4843" spans="1:56" ht="15">
      <c r="A4843" s="114"/>
      <c r="B4843" s="392"/>
      <c r="C4843" s="393"/>
      <c r="D4843" s="196"/>
      <c r="E4843" s="196"/>
      <c r="F4843" s="196"/>
      <c r="G4843" s="392"/>
      <c r="H4843" s="393"/>
      <c r="I4843" s="196"/>
      <c r="J4843" s="114"/>
      <c r="AW4843" s="117"/>
      <c r="AX4843" s="117"/>
      <c r="AY4843" s="117"/>
      <c r="AZ4843" s="117"/>
      <c r="BA4843" s="117"/>
      <c r="BB4843" s="117"/>
      <c r="BC4843" s="117"/>
      <c r="BD4843" s="117"/>
    </row>
    <row r="4844" spans="1:56" ht="15">
      <c r="A4844" s="114"/>
      <c r="B4844" s="388" t="s">
        <v>1114</v>
      </c>
      <c r="C4844" s="389">
        <v>0.6</v>
      </c>
      <c r="D4844" s="390" t="s">
        <v>10</v>
      </c>
      <c r="E4844" s="288" t="s">
        <v>1120</v>
      </c>
      <c r="F4844" s="288"/>
      <c r="G4844" s="230"/>
      <c r="H4844" s="395"/>
      <c r="I4844" s="196"/>
      <c r="J4844" s="114"/>
      <c r="AW4844" s="117"/>
      <c r="AX4844" s="117"/>
      <c r="AY4844" s="117"/>
      <c r="AZ4844" s="117"/>
      <c r="BA4844" s="117"/>
      <c r="BB4844" s="117"/>
      <c r="BC4844" s="117"/>
      <c r="BD4844" s="117"/>
    </row>
    <row r="4845" spans="1:56" ht="15">
      <c r="A4845" s="114"/>
      <c r="B4845" s="388" t="s">
        <v>1114</v>
      </c>
      <c r="C4845" s="389">
        <v>0.2</v>
      </c>
      <c r="D4845" s="390" t="s">
        <v>10</v>
      </c>
      <c r="E4845" s="288" t="s">
        <v>1121</v>
      </c>
      <c r="F4845" s="288"/>
      <c r="G4845" s="230"/>
      <c r="H4845" s="395"/>
      <c r="I4845" s="196"/>
      <c r="J4845" s="114"/>
      <c r="AW4845" s="117"/>
      <c r="AX4845" s="117"/>
      <c r="AY4845" s="117"/>
      <c r="AZ4845" s="117"/>
      <c r="BA4845" s="117"/>
      <c r="BB4845" s="117"/>
      <c r="BC4845" s="117"/>
      <c r="BD4845" s="117"/>
    </row>
    <row r="4846" spans="1:56" ht="15">
      <c r="A4846" s="114"/>
      <c r="B4846" s="196"/>
      <c r="C4846" s="196"/>
      <c r="D4846" s="196"/>
      <c r="E4846" s="196"/>
      <c r="F4846" s="196"/>
      <c r="G4846" s="196"/>
      <c r="H4846" s="196"/>
      <c r="I4846" s="196"/>
      <c r="J4846" s="114"/>
      <c r="AW4846" s="117"/>
      <c r="AX4846" s="117"/>
      <c r="AY4846" s="117"/>
      <c r="AZ4846" s="117"/>
      <c r="BA4846" s="117"/>
      <c r="BB4846" s="117"/>
      <c r="BC4846" s="117"/>
      <c r="BD4846" s="117"/>
    </row>
    <row r="4847" spans="1:56" ht="15">
      <c r="A4847" s="114"/>
      <c r="B4847" s="303" t="s">
        <v>1122</v>
      </c>
      <c r="C4847" s="362"/>
      <c r="D4847" s="362"/>
      <c r="E4847" s="196"/>
      <c r="F4847" s="196"/>
      <c r="G4847" s="196"/>
      <c r="H4847" s="196"/>
      <c r="I4847" s="196"/>
      <c r="J4847" s="114"/>
      <c r="AW4847" s="117"/>
      <c r="AX4847" s="117"/>
      <c r="AY4847" s="117"/>
      <c r="AZ4847" s="117"/>
      <c r="BA4847" s="117"/>
      <c r="BB4847" s="117"/>
      <c r="BC4847" s="117"/>
      <c r="BD4847" s="117"/>
    </row>
    <row r="4848" spans="1:56" ht="18">
      <c r="A4848" s="114"/>
      <c r="B4848" s="396" t="s">
        <v>1123</v>
      </c>
      <c r="C4848" s="289"/>
      <c r="D4848" s="290"/>
      <c r="E4848" s="397">
        <f>C4842*(C4844*2*(0.05+C4841+C4840)*C4839)</f>
        <v>21.75</v>
      </c>
      <c r="F4848" s="390" t="s">
        <v>1124</v>
      </c>
      <c r="G4848" s="196"/>
      <c r="H4848" s="196"/>
      <c r="I4848" s="196"/>
      <c r="J4848" s="114"/>
      <c r="AW4848" s="117"/>
      <c r="AX4848" s="117"/>
      <c r="AY4848" s="117"/>
      <c r="AZ4848" s="117"/>
      <c r="BA4848" s="117"/>
      <c r="BB4848" s="117"/>
      <c r="BC4848" s="117"/>
      <c r="BD4848" s="117"/>
    </row>
    <row r="4849" spans="1:56" ht="18">
      <c r="A4849" s="114"/>
      <c r="B4849" s="398" t="s">
        <v>1125</v>
      </c>
      <c r="C4849" s="172"/>
      <c r="D4849" s="173"/>
      <c r="E4849" s="397">
        <f>E4848-((C4838*0.05+C4838*C4841)*C4839)</f>
        <v>18.125</v>
      </c>
      <c r="F4849" s="390" t="s">
        <v>1124</v>
      </c>
      <c r="G4849" s="196"/>
      <c r="H4849" s="196"/>
      <c r="I4849" s="196"/>
      <c r="J4849" s="114"/>
      <c r="AW4849" s="117"/>
      <c r="AX4849" s="117"/>
      <c r="AY4849" s="117"/>
      <c r="AZ4849" s="117"/>
      <c r="BA4849" s="117"/>
      <c r="BB4849" s="117"/>
      <c r="BC4849" s="117"/>
      <c r="BD4849" s="117"/>
    </row>
    <row r="4850" spans="1:56" ht="15">
      <c r="A4850" s="114"/>
      <c r="B4850" s="399" t="s">
        <v>1126</v>
      </c>
      <c r="C4850" s="317"/>
      <c r="D4850" s="318"/>
      <c r="E4850" s="400">
        <f>(2*C4845)*C4839</f>
        <v>5</v>
      </c>
      <c r="F4850" s="390" t="s">
        <v>13</v>
      </c>
      <c r="G4850" s="196"/>
      <c r="H4850" s="196"/>
      <c r="I4850" s="196"/>
      <c r="J4850" s="114"/>
      <c r="AW4850" s="117"/>
      <c r="AX4850" s="117"/>
      <c r="AY4850" s="117"/>
      <c r="AZ4850" s="117"/>
      <c r="BA4850" s="117"/>
      <c r="BB4850" s="117"/>
      <c r="BC4850" s="117"/>
      <c r="BD4850" s="117"/>
    </row>
    <row r="4851" spans="1:56" ht="15">
      <c r="A4851" s="114"/>
      <c r="B4851" s="196"/>
      <c r="C4851" s="196"/>
      <c r="D4851" s="196"/>
      <c r="E4851" s="401"/>
      <c r="F4851" s="196"/>
      <c r="G4851" s="196"/>
      <c r="H4851" s="196"/>
      <c r="I4851" s="196"/>
      <c r="J4851" s="114"/>
      <c r="AW4851" s="117"/>
      <c r="AX4851" s="117"/>
      <c r="AY4851" s="117"/>
      <c r="AZ4851" s="117"/>
      <c r="BA4851" s="117"/>
      <c r="BB4851" s="117"/>
      <c r="BC4851" s="117"/>
      <c r="BD4851" s="117"/>
    </row>
    <row r="4852" spans="1:56" ht="15">
      <c r="A4852" s="114"/>
      <c r="B4852" s="303" t="s">
        <v>1127</v>
      </c>
      <c r="C4852" s="196"/>
      <c r="D4852" s="196"/>
      <c r="E4852" s="401"/>
      <c r="F4852" s="196"/>
      <c r="G4852" s="196"/>
      <c r="H4852" s="196"/>
      <c r="I4852" s="196"/>
      <c r="J4852" s="114"/>
      <c r="AW4852" s="117"/>
      <c r="AX4852" s="117"/>
      <c r="AY4852" s="117"/>
      <c r="AZ4852" s="117"/>
      <c r="BA4852" s="117"/>
      <c r="BB4852" s="117"/>
      <c r="BC4852" s="117"/>
      <c r="BD4852" s="117"/>
    </row>
    <row r="4853" spans="1:56" ht="18">
      <c r="A4853" s="114"/>
      <c r="B4853" s="398" t="s">
        <v>1128</v>
      </c>
      <c r="C4853" s="172"/>
      <c r="D4853" s="173"/>
      <c r="E4853" s="402">
        <f>E4850*0.05</f>
        <v>0.25</v>
      </c>
      <c r="F4853" s="390" t="s">
        <v>1124</v>
      </c>
      <c r="G4853" s="196"/>
      <c r="H4853" s="196"/>
      <c r="I4853" s="196"/>
      <c r="J4853" s="114"/>
      <c r="AW4853" s="117"/>
      <c r="AX4853" s="117"/>
      <c r="AY4853" s="117"/>
      <c r="AZ4853" s="117"/>
      <c r="BA4853" s="117"/>
      <c r="BB4853" s="117"/>
      <c r="BC4853" s="117"/>
      <c r="BD4853" s="117"/>
    </row>
    <row r="4854" spans="1:56" ht="15">
      <c r="A4854" s="114"/>
      <c r="B4854" s="398" t="s">
        <v>1129</v>
      </c>
      <c r="C4854" s="172"/>
      <c r="D4854" s="173"/>
      <c r="E4854" s="397">
        <f>C4841*2*C4839</f>
        <v>35</v>
      </c>
      <c r="F4854" s="390" t="s">
        <v>13</v>
      </c>
      <c r="G4854" s="393" t="s">
        <v>1108</v>
      </c>
      <c r="H4854" s="196" t="s">
        <v>1131</v>
      </c>
      <c r="I4854" s="393"/>
      <c r="J4854" s="114"/>
      <c r="AW4854" s="117"/>
      <c r="AX4854" s="117"/>
      <c r="AY4854" s="117"/>
      <c r="AZ4854" s="117"/>
      <c r="BA4854" s="117"/>
      <c r="BB4854" s="117"/>
      <c r="BC4854" s="117"/>
      <c r="BD4854" s="117"/>
    </row>
    <row r="4855" spans="1:56" ht="18">
      <c r="A4855" s="114"/>
      <c r="B4855" s="398" t="s">
        <v>1130</v>
      </c>
      <c r="C4855" s="172"/>
      <c r="D4855" s="173"/>
      <c r="E4855" s="402">
        <f>C4838*C4839*C4841</f>
        <v>3.5</v>
      </c>
      <c r="F4855" s="390" t="s">
        <v>1124</v>
      </c>
      <c r="G4855" s="196"/>
      <c r="H4855" s="196"/>
      <c r="I4855" s="196"/>
      <c r="J4855" s="114"/>
      <c r="AW4855" s="117"/>
      <c r="AX4855" s="117"/>
      <c r="AY4855" s="117"/>
      <c r="AZ4855" s="117"/>
      <c r="BA4855" s="117"/>
      <c r="BB4855" s="117"/>
      <c r="BC4855" s="117"/>
      <c r="BD4855" s="117"/>
    </row>
    <row r="4856" spans="1:56" ht="15">
      <c r="A4856" s="114"/>
      <c r="B4856" s="288"/>
      <c r="C4856" s="230"/>
      <c r="D4856" s="230"/>
      <c r="E4856" s="384"/>
      <c r="F4856" s="196"/>
      <c r="G4856" s="196"/>
      <c r="H4856" s="196"/>
      <c r="I4856" s="196"/>
      <c r="J4856" s="114"/>
      <c r="AW4856" s="117"/>
      <c r="AX4856" s="117"/>
      <c r="AY4856" s="117"/>
      <c r="AZ4856" s="117"/>
      <c r="BA4856" s="117"/>
      <c r="BB4856" s="117"/>
      <c r="BC4856" s="117"/>
      <c r="BD4856" s="117"/>
    </row>
    <row r="4857" spans="1:56" ht="15">
      <c r="A4857" s="114"/>
      <c r="B4857" s="293"/>
      <c r="C4857" s="387"/>
      <c r="D4857" s="387"/>
      <c r="E4857" s="387"/>
      <c r="F4857" s="387"/>
      <c r="G4857" s="387"/>
      <c r="H4857" s="386"/>
      <c r="I4857" s="386"/>
      <c r="J4857" s="114"/>
      <c r="AW4857" s="117"/>
      <c r="AX4857" s="117"/>
      <c r="AY4857" s="117"/>
      <c r="AZ4857" s="117"/>
      <c r="BA4857" s="117"/>
      <c r="BB4857" s="117"/>
      <c r="BC4857" s="117"/>
      <c r="BD4857" s="117"/>
    </row>
    <row r="4858" spans="1:56" ht="15">
      <c r="A4858" s="114"/>
      <c r="B4858" s="293"/>
      <c r="C4858" s="387"/>
      <c r="D4858" s="387"/>
      <c r="E4858" s="387"/>
      <c r="F4858" s="387"/>
      <c r="G4858" s="387"/>
      <c r="H4858" s="386"/>
      <c r="I4858" s="386"/>
      <c r="J4858" s="114"/>
      <c r="AW4858" s="117"/>
      <c r="AX4858" s="117"/>
      <c r="AY4858" s="117"/>
      <c r="AZ4858" s="117"/>
      <c r="BA4858" s="117"/>
      <c r="BB4858" s="117"/>
      <c r="BC4858" s="117"/>
      <c r="BD4858" s="117"/>
    </row>
    <row r="4859" spans="1:56">
      <c r="A4859" s="114"/>
      <c r="B4859" s="385" t="s">
        <v>1296</v>
      </c>
      <c r="C4859" s="196"/>
      <c r="D4859" s="196"/>
      <c r="E4859" s="196"/>
      <c r="F4859" s="196"/>
      <c r="G4859" s="196"/>
      <c r="H4859" s="196"/>
      <c r="I4859" s="196"/>
      <c r="J4859" s="114"/>
      <c r="AW4859" s="117"/>
      <c r="AX4859" s="117"/>
      <c r="AY4859" s="117"/>
      <c r="AZ4859" s="117"/>
      <c r="BA4859" s="117"/>
      <c r="BB4859" s="117"/>
      <c r="BC4859" s="117"/>
      <c r="BD4859" s="117"/>
    </row>
    <row r="4860" spans="1:56" ht="15">
      <c r="A4860" s="114"/>
      <c r="B4860" s="196"/>
      <c r="C4860" s="196"/>
      <c r="D4860" s="196"/>
      <c r="E4860" s="196"/>
      <c r="F4860" s="196"/>
      <c r="G4860" s="196"/>
      <c r="H4860" s="196"/>
      <c r="I4860" s="196"/>
      <c r="J4860" s="114"/>
      <c r="AW4860" s="117"/>
      <c r="AX4860" s="117"/>
      <c r="AY4860" s="117"/>
      <c r="AZ4860" s="117"/>
      <c r="BA4860" s="117"/>
      <c r="BB4860" s="117"/>
      <c r="BC4860" s="117"/>
      <c r="BD4860" s="117"/>
    </row>
    <row r="4861" spans="1:56" ht="15">
      <c r="A4861" s="114"/>
      <c r="B4861" s="388" t="s">
        <v>1110</v>
      </c>
      <c r="C4861" s="389">
        <v>0.2</v>
      </c>
      <c r="D4861" s="390" t="s">
        <v>10</v>
      </c>
      <c r="E4861" s="196"/>
      <c r="F4861" s="196"/>
      <c r="G4861" s="392"/>
      <c r="H4861" s="393"/>
      <c r="I4861" s="196"/>
      <c r="J4861" s="114"/>
      <c r="AW4861" s="117"/>
      <c r="AX4861" s="117"/>
      <c r="AY4861" s="117"/>
      <c r="AZ4861" s="117"/>
      <c r="BA4861" s="117"/>
      <c r="BB4861" s="117"/>
      <c r="BC4861" s="117"/>
      <c r="BD4861" s="117"/>
    </row>
    <row r="4862" spans="1:56" ht="15">
      <c r="A4862" s="114"/>
      <c r="B4862" s="388" t="s">
        <v>1111</v>
      </c>
      <c r="C4862" s="391">
        <v>24.58</v>
      </c>
      <c r="D4862" s="390" t="s">
        <v>10</v>
      </c>
      <c r="E4862" s="196"/>
      <c r="F4862" s="908"/>
      <c r="G4862" s="392"/>
      <c r="H4862" s="393"/>
      <c r="I4862" s="196"/>
      <c r="J4862" s="114"/>
      <c r="AW4862" s="117"/>
      <c r="AX4862" s="117"/>
      <c r="AY4862" s="117"/>
      <c r="AZ4862" s="117"/>
      <c r="BA4862" s="117"/>
      <c r="BB4862" s="117"/>
      <c r="BC4862" s="117"/>
      <c r="BD4862" s="117"/>
    </row>
    <row r="4863" spans="1:56" ht="15">
      <c r="A4863" s="114"/>
      <c r="B4863" s="388" t="s">
        <v>1112</v>
      </c>
      <c r="C4863" s="389">
        <v>-0.95</v>
      </c>
      <c r="D4863" s="390" t="s">
        <v>10</v>
      </c>
      <c r="E4863" s="196"/>
      <c r="F4863" s="196"/>
      <c r="G4863" s="392"/>
      <c r="H4863" s="393"/>
      <c r="I4863" s="196"/>
      <c r="J4863" s="114"/>
      <c r="AW4863" s="117"/>
      <c r="AX4863" s="117"/>
      <c r="AY4863" s="117"/>
      <c r="AZ4863" s="117"/>
      <c r="BA4863" s="117"/>
      <c r="BB4863" s="117"/>
      <c r="BC4863" s="117"/>
      <c r="BD4863" s="117"/>
    </row>
    <row r="4864" spans="1:56" ht="15">
      <c r="A4864" s="114"/>
      <c r="B4864" s="388" t="s">
        <v>1113</v>
      </c>
      <c r="C4864" s="389">
        <v>1.48</v>
      </c>
      <c r="D4864" s="390" t="s">
        <v>10</v>
      </c>
      <c r="E4864" s="196"/>
      <c r="F4864" s="196"/>
      <c r="G4864" s="392"/>
      <c r="H4864" s="394"/>
      <c r="I4864" s="196"/>
      <c r="J4864" s="114"/>
      <c r="AW4864" s="117"/>
      <c r="AX4864" s="117"/>
      <c r="AY4864" s="117"/>
      <c r="AZ4864" s="117"/>
      <c r="BA4864" s="117"/>
      <c r="BB4864" s="117"/>
      <c r="BC4864" s="117"/>
      <c r="BD4864" s="117"/>
    </row>
    <row r="4865" spans="1:56" ht="15">
      <c r="A4865" s="114"/>
      <c r="B4865" s="388" t="s">
        <v>1117</v>
      </c>
      <c r="C4865" s="389">
        <v>1</v>
      </c>
      <c r="D4865" s="390" t="s">
        <v>1118</v>
      </c>
      <c r="E4865" s="196"/>
      <c r="F4865" s="196"/>
      <c r="G4865" s="392"/>
      <c r="H4865" s="393"/>
      <c r="I4865" s="196"/>
      <c r="J4865" s="114"/>
      <c r="AW4865" s="117"/>
      <c r="AX4865" s="117"/>
      <c r="AY4865" s="117"/>
      <c r="AZ4865" s="117"/>
      <c r="BA4865" s="117"/>
      <c r="BB4865" s="117"/>
      <c r="BC4865" s="117"/>
      <c r="BD4865" s="117"/>
    </row>
    <row r="4866" spans="1:56" ht="15">
      <c r="A4866" s="114"/>
      <c r="B4866" s="392"/>
      <c r="C4866" s="393"/>
      <c r="D4866" s="196"/>
      <c r="E4866" s="196"/>
      <c r="F4866" s="196"/>
      <c r="G4866" s="392"/>
      <c r="H4866" s="393"/>
      <c r="I4866" s="196"/>
      <c r="J4866" s="114"/>
      <c r="AW4866" s="117"/>
      <c r="AX4866" s="117"/>
      <c r="AY4866" s="117"/>
      <c r="AZ4866" s="117"/>
      <c r="BA4866" s="117"/>
      <c r="BB4866" s="117"/>
      <c r="BC4866" s="117"/>
      <c r="BD4866" s="117"/>
    </row>
    <row r="4867" spans="1:56" ht="15">
      <c r="A4867" s="114"/>
      <c r="B4867" s="388" t="s">
        <v>1114</v>
      </c>
      <c r="C4867" s="389">
        <v>0.6</v>
      </c>
      <c r="D4867" s="390" t="s">
        <v>10</v>
      </c>
      <c r="E4867" s="288" t="s">
        <v>1120</v>
      </c>
      <c r="F4867" s="288"/>
      <c r="G4867" s="230"/>
      <c r="H4867" s="395"/>
      <c r="I4867" s="196"/>
      <c r="J4867" s="114"/>
      <c r="AW4867" s="117"/>
      <c r="AX4867" s="117"/>
      <c r="AY4867" s="117"/>
      <c r="AZ4867" s="117"/>
      <c r="BA4867" s="117"/>
      <c r="BB4867" s="117"/>
      <c r="BC4867" s="117"/>
      <c r="BD4867" s="117"/>
    </row>
    <row r="4868" spans="1:56" ht="15">
      <c r="A4868" s="114"/>
      <c r="B4868" s="388" t="s">
        <v>1114</v>
      </c>
      <c r="C4868" s="389">
        <v>0.2</v>
      </c>
      <c r="D4868" s="390" t="s">
        <v>10</v>
      </c>
      <c r="E4868" s="288" t="s">
        <v>1121</v>
      </c>
      <c r="F4868" s="288"/>
      <c r="G4868" s="230"/>
      <c r="H4868" s="395"/>
      <c r="I4868" s="196"/>
      <c r="J4868" s="114"/>
      <c r="AW4868" s="117"/>
      <c r="AX4868" s="117"/>
      <c r="AY4868" s="117"/>
      <c r="AZ4868" s="117"/>
      <c r="BA4868" s="117"/>
      <c r="BB4868" s="117"/>
      <c r="BC4868" s="117"/>
      <c r="BD4868" s="117"/>
    </row>
    <row r="4869" spans="1:56" ht="15">
      <c r="A4869" s="114"/>
      <c r="B4869" s="196"/>
      <c r="C4869" s="196"/>
      <c r="D4869" s="196"/>
      <c r="E4869" s="196"/>
      <c r="F4869" s="196"/>
      <c r="G4869" s="196"/>
      <c r="H4869" s="196"/>
      <c r="I4869" s="196"/>
      <c r="J4869" s="114"/>
      <c r="AW4869" s="117"/>
      <c r="AX4869" s="117"/>
      <c r="AY4869" s="117"/>
      <c r="AZ4869" s="117"/>
      <c r="BA4869" s="117"/>
      <c r="BB4869" s="117"/>
      <c r="BC4869" s="117"/>
      <c r="BD4869" s="117"/>
    </row>
    <row r="4870" spans="1:56" ht="15">
      <c r="A4870" s="114"/>
      <c r="B4870" s="303" t="s">
        <v>1122</v>
      </c>
      <c r="C4870" s="362"/>
      <c r="D4870" s="362"/>
      <c r="E4870" s="196"/>
      <c r="F4870" s="196"/>
      <c r="G4870" s="196"/>
      <c r="H4870" s="196"/>
      <c r="I4870" s="196"/>
      <c r="J4870" s="114"/>
      <c r="AW4870" s="117"/>
      <c r="AX4870" s="117"/>
      <c r="AY4870" s="117"/>
      <c r="AZ4870" s="117"/>
      <c r="BA4870" s="117"/>
      <c r="BB4870" s="117"/>
      <c r="BC4870" s="117"/>
      <c r="BD4870" s="117"/>
    </row>
    <row r="4871" spans="1:56" ht="18">
      <c r="A4871" s="114"/>
      <c r="B4871" s="396" t="s">
        <v>1123</v>
      </c>
      <c r="C4871" s="289"/>
      <c r="D4871" s="290"/>
      <c r="E4871" s="397">
        <f>C4865*(C4867*2*(0.05+C4864+C4863)*C4862)</f>
        <v>17.107680000000002</v>
      </c>
      <c r="F4871" s="390" t="s">
        <v>1124</v>
      </c>
      <c r="G4871" s="196"/>
      <c r="H4871" s="196"/>
      <c r="I4871" s="196"/>
      <c r="J4871" s="114"/>
      <c r="AW4871" s="117"/>
      <c r="AX4871" s="117"/>
      <c r="AY4871" s="117"/>
      <c r="AZ4871" s="117"/>
      <c r="BA4871" s="117"/>
      <c r="BB4871" s="117"/>
      <c r="BC4871" s="117"/>
      <c r="BD4871" s="117"/>
    </row>
    <row r="4872" spans="1:56" ht="18">
      <c r="A4872" s="114"/>
      <c r="B4872" s="398" t="s">
        <v>1125</v>
      </c>
      <c r="C4872" s="172"/>
      <c r="D4872" s="173"/>
      <c r="E4872" s="397">
        <f>E4871-((C4861*0.05+C4861*C4864)*C4862)</f>
        <v>9.5862000000000016</v>
      </c>
      <c r="F4872" s="390" t="s">
        <v>1124</v>
      </c>
      <c r="G4872" s="196"/>
      <c r="H4872" s="196"/>
      <c r="I4872" s="196"/>
      <c r="J4872" s="114"/>
      <c r="AW4872" s="117"/>
      <c r="AX4872" s="117"/>
      <c r="AY4872" s="117"/>
      <c r="AZ4872" s="117"/>
      <c r="BA4872" s="117"/>
      <c r="BB4872" s="117"/>
      <c r="BC4872" s="117"/>
      <c r="BD4872" s="117"/>
    </row>
    <row r="4873" spans="1:56" ht="15">
      <c r="A4873" s="114"/>
      <c r="B4873" s="399" t="s">
        <v>1126</v>
      </c>
      <c r="C4873" s="317"/>
      <c r="D4873" s="318"/>
      <c r="E4873" s="400">
        <f>(2*C4868)*C4862</f>
        <v>9.8320000000000007</v>
      </c>
      <c r="F4873" s="390" t="s">
        <v>13</v>
      </c>
      <c r="G4873" s="196"/>
      <c r="H4873" s="196"/>
      <c r="I4873" s="196"/>
      <c r="J4873" s="114"/>
      <c r="AW4873" s="117"/>
      <c r="AX4873" s="117"/>
      <c r="AY4873" s="117"/>
      <c r="AZ4873" s="117"/>
      <c r="BA4873" s="117"/>
      <c r="BB4873" s="117"/>
      <c r="BC4873" s="117"/>
      <c r="BD4873" s="117"/>
    </row>
    <row r="4874" spans="1:56" ht="15">
      <c r="A4874" s="114"/>
      <c r="B4874" s="196"/>
      <c r="C4874" s="196"/>
      <c r="D4874" s="196"/>
      <c r="E4874" s="401"/>
      <c r="F4874" s="196"/>
      <c r="G4874" s="196"/>
      <c r="H4874" s="196"/>
      <c r="I4874" s="196"/>
      <c r="J4874" s="114"/>
      <c r="AW4874" s="117"/>
      <c r="AX4874" s="117"/>
      <c r="AY4874" s="117"/>
      <c r="AZ4874" s="117"/>
      <c r="BA4874" s="117"/>
      <c r="BB4874" s="117"/>
      <c r="BC4874" s="117"/>
      <c r="BD4874" s="117"/>
    </row>
    <row r="4875" spans="1:56" ht="15">
      <c r="A4875" s="114"/>
      <c r="B4875" s="303" t="s">
        <v>1127</v>
      </c>
      <c r="C4875" s="196"/>
      <c r="D4875" s="196"/>
      <c r="E4875" s="401"/>
      <c r="F4875" s="196"/>
      <c r="G4875" s="196"/>
      <c r="H4875" s="196"/>
      <c r="I4875" s="196"/>
      <c r="J4875" s="114"/>
      <c r="AW4875" s="117"/>
      <c r="AX4875" s="117"/>
      <c r="AY4875" s="117"/>
      <c r="AZ4875" s="117"/>
      <c r="BA4875" s="117"/>
      <c r="BB4875" s="117"/>
      <c r="BC4875" s="117"/>
      <c r="BD4875" s="117"/>
    </row>
    <row r="4876" spans="1:56" ht="18">
      <c r="A4876" s="114"/>
      <c r="B4876" s="398" t="s">
        <v>1128</v>
      </c>
      <c r="C4876" s="172"/>
      <c r="D4876" s="173"/>
      <c r="E4876" s="402">
        <f>E4873*0.05</f>
        <v>0.49160000000000004</v>
      </c>
      <c r="F4876" s="390" t="s">
        <v>1124</v>
      </c>
      <c r="G4876" s="196"/>
      <c r="H4876" s="196"/>
      <c r="I4876" s="196"/>
      <c r="J4876" s="114"/>
      <c r="AW4876" s="117"/>
      <c r="AX4876" s="117"/>
      <c r="AY4876" s="117"/>
      <c r="AZ4876" s="117"/>
      <c r="BA4876" s="117"/>
      <c r="BB4876" s="117"/>
      <c r="BC4876" s="117"/>
      <c r="BD4876" s="117"/>
    </row>
    <row r="4877" spans="1:56" ht="15">
      <c r="A4877" s="114"/>
      <c r="B4877" s="398" t="s">
        <v>1129</v>
      </c>
      <c r="C4877" s="172"/>
      <c r="D4877" s="173"/>
      <c r="E4877" s="397">
        <f>C4864*2*C4862</f>
        <v>72.756799999999998</v>
      </c>
      <c r="F4877" s="390" t="s">
        <v>13</v>
      </c>
      <c r="G4877" s="393" t="s">
        <v>1108</v>
      </c>
      <c r="H4877" s="196" t="s">
        <v>1131</v>
      </c>
      <c r="I4877" s="393"/>
      <c r="J4877" s="114"/>
      <c r="AW4877" s="117"/>
      <c r="AX4877" s="117"/>
      <c r="AY4877" s="117"/>
      <c r="AZ4877" s="117"/>
      <c r="BA4877" s="117"/>
      <c r="BB4877" s="117"/>
      <c r="BC4877" s="117"/>
      <c r="BD4877" s="117"/>
    </row>
    <row r="4878" spans="1:56" ht="18">
      <c r="A4878" s="114"/>
      <c r="B4878" s="398" t="s">
        <v>1130</v>
      </c>
      <c r="C4878" s="172"/>
      <c r="D4878" s="173"/>
      <c r="E4878" s="402">
        <f>C4861*C4862*C4864</f>
        <v>7.2756800000000004</v>
      </c>
      <c r="F4878" s="390" t="s">
        <v>1124</v>
      </c>
      <c r="G4878" s="196"/>
      <c r="H4878" s="196"/>
      <c r="I4878" s="196"/>
      <c r="J4878" s="114"/>
      <c r="AW4878" s="117"/>
      <c r="AX4878" s="117"/>
      <c r="AY4878" s="117"/>
      <c r="AZ4878" s="117"/>
      <c r="BA4878" s="117"/>
      <c r="BB4878" s="117"/>
      <c r="BC4878" s="117"/>
      <c r="BD4878" s="117"/>
    </row>
    <row r="4879" spans="1:56" ht="15">
      <c r="A4879" s="114"/>
      <c r="B4879" s="288"/>
      <c r="C4879" s="230"/>
      <c r="D4879" s="230"/>
      <c r="E4879" s="384"/>
      <c r="F4879" s="196"/>
      <c r="G4879" s="196"/>
      <c r="H4879" s="196"/>
      <c r="I4879" s="196"/>
      <c r="J4879" s="114"/>
      <c r="AW4879" s="117"/>
      <c r="AX4879" s="117"/>
      <c r="AY4879" s="117"/>
      <c r="AZ4879" s="117"/>
      <c r="BA4879" s="117"/>
      <c r="BB4879" s="117"/>
      <c r="BC4879" s="117"/>
      <c r="BD4879" s="117"/>
    </row>
    <row r="4880" spans="1:56" ht="15">
      <c r="A4880" s="114"/>
      <c r="B4880" s="293"/>
      <c r="C4880" s="387"/>
      <c r="D4880" s="387"/>
      <c r="E4880" s="387"/>
      <c r="F4880" s="387"/>
      <c r="G4880" s="387"/>
      <c r="H4880" s="386"/>
      <c r="I4880" s="386"/>
      <c r="J4880" s="114"/>
      <c r="AW4880" s="117"/>
      <c r="AX4880" s="117"/>
      <c r="AY4880" s="117"/>
      <c r="AZ4880" s="117"/>
      <c r="BA4880" s="117"/>
      <c r="BB4880" s="117"/>
      <c r="BC4880" s="117"/>
      <c r="BD4880" s="117"/>
    </row>
    <row r="4881" spans="1:56" ht="15">
      <c r="A4881" s="114"/>
      <c r="B4881" s="293"/>
      <c r="C4881" s="387"/>
      <c r="D4881" s="387"/>
      <c r="E4881" s="387"/>
      <c r="F4881" s="387"/>
      <c r="G4881" s="387"/>
      <c r="H4881" s="386"/>
      <c r="I4881" s="386"/>
      <c r="J4881" s="114"/>
      <c r="AW4881" s="117"/>
      <c r="AX4881" s="117"/>
      <c r="AY4881" s="117"/>
      <c r="AZ4881" s="117"/>
      <c r="BA4881" s="117"/>
      <c r="BB4881" s="117"/>
      <c r="BC4881" s="117"/>
      <c r="BD4881" s="117"/>
    </row>
    <row r="4882" spans="1:56">
      <c r="A4882" s="114"/>
      <c r="B4882" s="385" t="s">
        <v>1297</v>
      </c>
      <c r="C4882" s="196"/>
      <c r="D4882" s="196"/>
      <c r="E4882" s="196"/>
      <c r="F4882" s="196"/>
      <c r="G4882" s="196"/>
      <c r="H4882" s="196"/>
      <c r="I4882" s="196"/>
      <c r="J4882" s="114"/>
      <c r="AW4882" s="117"/>
      <c r="AX4882" s="117"/>
      <c r="AY4882" s="117"/>
      <c r="AZ4882" s="117"/>
      <c r="BA4882" s="117"/>
      <c r="BB4882" s="117"/>
      <c r="BC4882" s="117"/>
      <c r="BD4882" s="117"/>
    </row>
    <row r="4883" spans="1:56" ht="15">
      <c r="A4883" s="114"/>
      <c r="B4883" s="196"/>
      <c r="C4883" s="196"/>
      <c r="D4883" s="196"/>
      <c r="E4883" s="196"/>
      <c r="F4883" s="196"/>
      <c r="G4883" s="196"/>
      <c r="H4883" s="196"/>
      <c r="I4883" s="196"/>
      <c r="J4883" s="114"/>
      <c r="AW4883" s="117"/>
      <c r="AX4883" s="117"/>
      <c r="AY4883" s="117"/>
      <c r="AZ4883" s="117"/>
      <c r="BA4883" s="117"/>
      <c r="BB4883" s="117"/>
      <c r="BC4883" s="117"/>
      <c r="BD4883" s="117"/>
    </row>
    <row r="4884" spans="1:56" ht="15">
      <c r="A4884" s="114"/>
      <c r="B4884" s="388" t="s">
        <v>1110</v>
      </c>
      <c r="C4884" s="389">
        <v>0.2</v>
      </c>
      <c r="D4884" s="390" t="s">
        <v>10</v>
      </c>
      <c r="E4884" s="196"/>
      <c r="F4884" s="196"/>
      <c r="G4884" s="392"/>
      <c r="H4884" s="393"/>
      <c r="I4884" s="196"/>
      <c r="J4884" s="114"/>
      <c r="AW4884" s="117"/>
      <c r="AX4884" s="117"/>
      <c r="AY4884" s="117"/>
      <c r="AZ4884" s="117"/>
      <c r="BA4884" s="117"/>
      <c r="BB4884" s="117"/>
      <c r="BC4884" s="117"/>
      <c r="BD4884" s="117"/>
    </row>
    <row r="4885" spans="1:56" ht="15">
      <c r="A4885" s="114"/>
      <c r="B4885" s="388" t="s">
        <v>1111</v>
      </c>
      <c r="C4885" s="951">
        <v>74.34</v>
      </c>
      <c r="D4885" s="390" t="s">
        <v>10</v>
      </c>
      <c r="E4885" s="196"/>
      <c r="F4885" s="908"/>
      <c r="G4885" s="392"/>
      <c r="H4885" s="393"/>
      <c r="I4885" s="196"/>
      <c r="J4885" s="114"/>
      <c r="AW4885" s="117"/>
      <c r="AX4885" s="117"/>
      <c r="AY4885" s="117"/>
      <c r="AZ4885" s="117"/>
      <c r="BA4885" s="117"/>
      <c r="BB4885" s="117"/>
      <c r="BC4885" s="117"/>
      <c r="BD4885" s="117"/>
    </row>
    <row r="4886" spans="1:56" ht="15">
      <c r="A4886" s="114"/>
      <c r="B4886" s="388" t="s">
        <v>1112</v>
      </c>
      <c r="C4886" s="389">
        <v>-0.95</v>
      </c>
      <c r="D4886" s="390" t="s">
        <v>10</v>
      </c>
      <c r="E4886" s="196"/>
      <c r="F4886" s="196"/>
      <c r="G4886" s="392"/>
      <c r="H4886" s="393"/>
      <c r="I4886" s="196"/>
      <c r="J4886" s="114"/>
      <c r="AW4886" s="117"/>
      <c r="AX4886" s="117"/>
      <c r="AY4886" s="117"/>
      <c r="AZ4886" s="117"/>
      <c r="BA4886" s="117"/>
      <c r="BB4886" s="117"/>
      <c r="BC4886" s="117"/>
      <c r="BD4886" s="117"/>
    </row>
    <row r="4887" spans="1:56" ht="15">
      <c r="A4887" s="114"/>
      <c r="B4887" s="388" t="s">
        <v>1113</v>
      </c>
      <c r="C4887" s="389">
        <v>1.8</v>
      </c>
      <c r="D4887" s="390" t="s">
        <v>10</v>
      </c>
      <c r="E4887" s="196"/>
      <c r="F4887" s="196"/>
      <c r="G4887" s="392"/>
      <c r="H4887" s="394"/>
      <c r="I4887" s="196"/>
      <c r="J4887" s="114"/>
      <c r="AW4887" s="117"/>
      <c r="AX4887" s="117"/>
      <c r="AY4887" s="117"/>
      <c r="AZ4887" s="117"/>
      <c r="BA4887" s="117"/>
      <c r="BB4887" s="117"/>
      <c r="BC4887" s="117"/>
      <c r="BD4887" s="117"/>
    </row>
    <row r="4888" spans="1:56" ht="15">
      <c r="A4888" s="114"/>
      <c r="B4888" s="388" t="s">
        <v>1117</v>
      </c>
      <c r="C4888" s="389">
        <v>1</v>
      </c>
      <c r="D4888" s="390" t="s">
        <v>1118</v>
      </c>
      <c r="E4888" s="196"/>
      <c r="F4888" s="196"/>
      <c r="G4888" s="392"/>
      <c r="H4888" s="393"/>
      <c r="I4888" s="196"/>
      <c r="J4888" s="114"/>
      <c r="AW4888" s="117"/>
      <c r="AX4888" s="117"/>
      <c r="AY4888" s="117"/>
      <c r="AZ4888" s="117"/>
      <c r="BA4888" s="117"/>
      <c r="BB4888" s="117"/>
      <c r="BC4888" s="117"/>
      <c r="BD4888" s="117"/>
    </row>
    <row r="4889" spans="1:56" ht="15">
      <c r="A4889" s="114"/>
      <c r="B4889" s="392"/>
      <c r="C4889" s="393"/>
      <c r="D4889" s="196"/>
      <c r="E4889" s="196"/>
      <c r="F4889" s="196"/>
      <c r="G4889" s="392"/>
      <c r="H4889" s="393"/>
      <c r="I4889" s="196"/>
      <c r="J4889" s="114"/>
      <c r="AW4889" s="117"/>
      <c r="AX4889" s="117"/>
      <c r="AY4889" s="117"/>
      <c r="AZ4889" s="117"/>
      <c r="BA4889" s="117"/>
      <c r="BB4889" s="117"/>
      <c r="BC4889" s="117"/>
      <c r="BD4889" s="117"/>
    </row>
    <row r="4890" spans="1:56" ht="15">
      <c r="A4890" s="114"/>
      <c r="B4890" s="388" t="s">
        <v>1114</v>
      </c>
      <c r="C4890" s="389">
        <v>0.6</v>
      </c>
      <c r="D4890" s="390" t="s">
        <v>10</v>
      </c>
      <c r="E4890" s="288" t="s">
        <v>1120</v>
      </c>
      <c r="F4890" s="288"/>
      <c r="G4890" s="230"/>
      <c r="H4890" s="395"/>
      <c r="I4890" s="196"/>
      <c r="J4890" s="114"/>
      <c r="AW4890" s="117"/>
      <c r="AX4890" s="117"/>
      <c r="AY4890" s="117"/>
      <c r="AZ4890" s="117"/>
      <c r="BA4890" s="117"/>
      <c r="BB4890" s="117"/>
      <c r="BC4890" s="117"/>
      <c r="BD4890" s="117"/>
    </row>
    <row r="4891" spans="1:56" ht="15">
      <c r="A4891" s="114"/>
      <c r="B4891" s="388" t="s">
        <v>1114</v>
      </c>
      <c r="C4891" s="389">
        <v>0.2</v>
      </c>
      <c r="D4891" s="390" t="s">
        <v>10</v>
      </c>
      <c r="E4891" s="288" t="s">
        <v>1121</v>
      </c>
      <c r="F4891" s="288"/>
      <c r="G4891" s="230"/>
      <c r="H4891" s="395"/>
      <c r="I4891" s="196"/>
      <c r="J4891" s="114"/>
      <c r="AW4891" s="117"/>
      <c r="AX4891" s="117"/>
      <c r="AY4891" s="117"/>
      <c r="AZ4891" s="117"/>
      <c r="BA4891" s="117"/>
      <c r="BB4891" s="117"/>
      <c r="BC4891" s="117"/>
      <c r="BD4891" s="117"/>
    </row>
    <row r="4892" spans="1:56" ht="15">
      <c r="A4892" s="114"/>
      <c r="B4892" s="196"/>
      <c r="C4892" s="196"/>
      <c r="D4892" s="196"/>
      <c r="E4892" s="196"/>
      <c r="F4892" s="196"/>
      <c r="G4892" s="196"/>
      <c r="H4892" s="196"/>
      <c r="I4892" s="196"/>
      <c r="J4892" s="114"/>
      <c r="AW4892" s="117"/>
      <c r="AX4892" s="117"/>
      <c r="AY4892" s="117"/>
      <c r="AZ4892" s="117"/>
      <c r="BA4892" s="117"/>
      <c r="BB4892" s="117"/>
      <c r="BC4892" s="117"/>
      <c r="BD4892" s="117"/>
    </row>
    <row r="4893" spans="1:56" ht="15">
      <c r="A4893" s="114"/>
      <c r="B4893" s="303" t="s">
        <v>1122</v>
      </c>
      <c r="C4893" s="362"/>
      <c r="D4893" s="362"/>
      <c r="E4893" s="196"/>
      <c r="F4893" s="196"/>
      <c r="G4893" s="196"/>
      <c r="H4893" s="196"/>
      <c r="I4893" s="196"/>
      <c r="J4893" s="114"/>
      <c r="AW4893" s="117"/>
      <c r="AX4893" s="117"/>
      <c r="AY4893" s="117"/>
      <c r="AZ4893" s="117"/>
      <c r="BA4893" s="117"/>
      <c r="BB4893" s="117"/>
      <c r="BC4893" s="117"/>
      <c r="BD4893" s="117"/>
    </row>
    <row r="4894" spans="1:56" ht="18">
      <c r="A4894" s="114"/>
      <c r="B4894" s="396" t="s">
        <v>1123</v>
      </c>
      <c r="C4894" s="289"/>
      <c r="D4894" s="290"/>
      <c r="E4894" s="397">
        <f>C4888*(C4890*2*(0.05+C4887+C4886)*C4885)</f>
        <v>80.287200000000013</v>
      </c>
      <c r="F4894" s="390" t="s">
        <v>1124</v>
      </c>
      <c r="G4894" s="196"/>
      <c r="H4894" s="196"/>
      <c r="I4894" s="196"/>
      <c r="J4894" s="114"/>
      <c r="AW4894" s="117"/>
      <c r="AX4894" s="117"/>
      <c r="AY4894" s="117"/>
      <c r="AZ4894" s="117"/>
      <c r="BA4894" s="117"/>
      <c r="BB4894" s="117"/>
      <c r="BC4894" s="117"/>
      <c r="BD4894" s="117"/>
    </row>
    <row r="4895" spans="1:56" ht="18">
      <c r="A4895" s="114"/>
      <c r="B4895" s="398" t="s">
        <v>1125</v>
      </c>
      <c r="C4895" s="172"/>
      <c r="D4895" s="173"/>
      <c r="E4895" s="397">
        <f>E4894-((C4884*0.05+C4884*C4887)*C4885)</f>
        <v>52.781400000000005</v>
      </c>
      <c r="F4895" s="390" t="s">
        <v>1124</v>
      </c>
      <c r="G4895" s="196"/>
      <c r="H4895" s="196"/>
      <c r="I4895" s="196"/>
      <c r="J4895" s="114"/>
      <c r="AW4895" s="117"/>
      <c r="AX4895" s="117"/>
      <c r="AY4895" s="117"/>
      <c r="AZ4895" s="117"/>
      <c r="BA4895" s="117"/>
      <c r="BB4895" s="117"/>
      <c r="BC4895" s="117"/>
      <c r="BD4895" s="117"/>
    </row>
    <row r="4896" spans="1:56" ht="15">
      <c r="A4896" s="114"/>
      <c r="B4896" s="399" t="s">
        <v>1126</v>
      </c>
      <c r="C4896" s="317"/>
      <c r="D4896" s="318"/>
      <c r="E4896" s="400">
        <f>(2*C4891)*C4885</f>
        <v>29.736000000000004</v>
      </c>
      <c r="F4896" s="390" t="s">
        <v>13</v>
      </c>
      <c r="G4896" s="196"/>
      <c r="H4896" s="196"/>
      <c r="I4896" s="196"/>
      <c r="J4896" s="114"/>
      <c r="AW4896" s="117"/>
      <c r="AX4896" s="117"/>
      <c r="AY4896" s="117"/>
      <c r="AZ4896" s="117"/>
      <c r="BA4896" s="117"/>
      <c r="BB4896" s="117"/>
      <c r="BC4896" s="117"/>
      <c r="BD4896" s="117"/>
    </row>
    <row r="4897" spans="1:56" ht="15">
      <c r="A4897" s="114"/>
      <c r="B4897" s="196"/>
      <c r="C4897" s="196"/>
      <c r="D4897" s="196"/>
      <c r="E4897" s="401"/>
      <c r="F4897" s="196"/>
      <c r="G4897" s="196"/>
      <c r="H4897" s="196"/>
      <c r="I4897" s="196"/>
      <c r="J4897" s="114"/>
      <c r="AW4897" s="117"/>
      <c r="AX4897" s="117"/>
      <c r="AY4897" s="117"/>
      <c r="AZ4897" s="117"/>
      <c r="BA4897" s="117"/>
      <c r="BB4897" s="117"/>
      <c r="BC4897" s="117"/>
      <c r="BD4897" s="117"/>
    </row>
    <row r="4898" spans="1:56" ht="15">
      <c r="A4898" s="114"/>
      <c r="B4898" s="303" t="s">
        <v>1127</v>
      </c>
      <c r="C4898" s="196"/>
      <c r="D4898" s="196"/>
      <c r="E4898" s="401"/>
      <c r="F4898" s="196"/>
      <c r="G4898" s="196"/>
      <c r="H4898" s="196"/>
      <c r="I4898" s="196"/>
      <c r="J4898" s="114"/>
      <c r="AW4898" s="117"/>
      <c r="AX4898" s="117"/>
      <c r="AY4898" s="117"/>
      <c r="AZ4898" s="117"/>
      <c r="BA4898" s="117"/>
      <c r="BB4898" s="117"/>
      <c r="BC4898" s="117"/>
      <c r="BD4898" s="117"/>
    </row>
    <row r="4899" spans="1:56" ht="18">
      <c r="A4899" s="114"/>
      <c r="B4899" s="398" t="s">
        <v>1128</v>
      </c>
      <c r="C4899" s="172"/>
      <c r="D4899" s="173"/>
      <c r="E4899" s="402">
        <f>E4896*0.05</f>
        <v>1.4868000000000003</v>
      </c>
      <c r="F4899" s="390" t="s">
        <v>1124</v>
      </c>
      <c r="G4899" s="196"/>
      <c r="H4899" s="196"/>
      <c r="I4899" s="196"/>
      <c r="J4899" s="114"/>
      <c r="AW4899" s="117"/>
      <c r="AX4899" s="117"/>
      <c r="AY4899" s="117"/>
      <c r="AZ4899" s="117"/>
      <c r="BA4899" s="117"/>
      <c r="BB4899" s="117"/>
      <c r="BC4899" s="117"/>
      <c r="BD4899" s="117"/>
    </row>
    <row r="4900" spans="1:56" ht="15">
      <c r="A4900" s="114"/>
      <c r="B4900" s="398" t="s">
        <v>1129</v>
      </c>
      <c r="C4900" s="172"/>
      <c r="D4900" s="173"/>
      <c r="E4900" s="397">
        <f>C4887*2*C4885</f>
        <v>267.62400000000002</v>
      </c>
      <c r="F4900" s="390" t="s">
        <v>13</v>
      </c>
      <c r="G4900" s="393" t="s">
        <v>1108</v>
      </c>
      <c r="H4900" s="196" t="s">
        <v>1131</v>
      </c>
      <c r="I4900" s="393"/>
      <c r="J4900" s="114"/>
      <c r="AW4900" s="117"/>
      <c r="AX4900" s="117"/>
      <c r="AY4900" s="117"/>
      <c r="AZ4900" s="117"/>
      <c r="BA4900" s="117"/>
      <c r="BB4900" s="117"/>
      <c r="BC4900" s="117"/>
      <c r="BD4900" s="117"/>
    </row>
    <row r="4901" spans="1:56" ht="18">
      <c r="A4901" s="114"/>
      <c r="B4901" s="398" t="s">
        <v>1130</v>
      </c>
      <c r="C4901" s="172"/>
      <c r="D4901" s="173"/>
      <c r="E4901" s="402">
        <f>C4884*C4885*C4887</f>
        <v>26.762400000000003</v>
      </c>
      <c r="F4901" s="390" t="s">
        <v>1124</v>
      </c>
      <c r="G4901" s="196"/>
      <c r="H4901" s="196"/>
      <c r="I4901" s="196"/>
      <c r="J4901" s="114"/>
      <c r="AW4901" s="117"/>
      <c r="AX4901" s="117"/>
      <c r="AY4901" s="117"/>
      <c r="AZ4901" s="117"/>
      <c r="BA4901" s="117"/>
      <c r="BB4901" s="117"/>
      <c r="BC4901" s="117"/>
      <c r="BD4901" s="117"/>
    </row>
    <row r="4902" spans="1:56" ht="15">
      <c r="A4902" s="114"/>
      <c r="B4902" s="288"/>
      <c r="C4902" s="230"/>
      <c r="D4902" s="230"/>
      <c r="E4902" s="384"/>
      <c r="F4902" s="196"/>
      <c r="G4902" s="196"/>
      <c r="H4902" s="196"/>
      <c r="I4902" s="196"/>
      <c r="J4902" s="114"/>
      <c r="AW4902" s="117"/>
      <c r="AX4902" s="117"/>
      <c r="AY4902" s="117"/>
      <c r="AZ4902" s="117"/>
      <c r="BA4902" s="117"/>
      <c r="BB4902" s="117"/>
      <c r="BC4902" s="117"/>
      <c r="BD4902" s="117"/>
    </row>
    <row r="4903" spans="1:56" ht="15">
      <c r="A4903" s="114"/>
      <c r="B4903" s="293"/>
      <c r="C4903" s="387"/>
      <c r="D4903" s="387"/>
      <c r="E4903" s="387"/>
      <c r="F4903" s="387"/>
      <c r="G4903" s="387"/>
      <c r="H4903" s="386"/>
      <c r="I4903" s="386"/>
      <c r="J4903" s="114"/>
      <c r="AW4903" s="117"/>
      <c r="AX4903" s="117"/>
      <c r="AY4903" s="117"/>
      <c r="AZ4903" s="117"/>
      <c r="BA4903" s="117"/>
      <c r="BB4903" s="117"/>
      <c r="BC4903" s="117"/>
      <c r="BD4903" s="117"/>
    </row>
    <row r="4904" spans="1:56" ht="15">
      <c r="A4904" s="114"/>
      <c r="B4904" s="293"/>
      <c r="C4904" s="387"/>
      <c r="D4904" s="387"/>
      <c r="E4904" s="387"/>
      <c r="F4904" s="387"/>
      <c r="G4904" s="387"/>
      <c r="H4904" s="386"/>
      <c r="I4904" s="386"/>
      <c r="J4904" s="114"/>
      <c r="AW4904" s="117"/>
      <c r="AX4904" s="117"/>
      <c r="AY4904" s="117"/>
      <c r="AZ4904" s="117"/>
      <c r="BA4904" s="117"/>
      <c r="BB4904" s="117"/>
      <c r="BC4904" s="117"/>
      <c r="BD4904" s="117"/>
    </row>
    <row r="4905" spans="1:56">
      <c r="A4905" s="114"/>
      <c r="B4905" s="385" t="s">
        <v>1298</v>
      </c>
      <c r="C4905" s="196"/>
      <c r="D4905" s="196"/>
      <c r="E4905" s="196"/>
      <c r="F4905" s="196"/>
      <c r="G4905" s="196"/>
      <c r="H4905" s="196"/>
      <c r="I4905" s="196"/>
      <c r="J4905" s="114"/>
      <c r="AW4905" s="117"/>
      <c r="AX4905" s="117"/>
      <c r="AY4905" s="117"/>
      <c r="AZ4905" s="117"/>
      <c r="BA4905" s="117"/>
      <c r="BB4905" s="117"/>
      <c r="BC4905" s="117"/>
      <c r="BD4905" s="117"/>
    </row>
    <row r="4906" spans="1:56" ht="15">
      <c r="A4906" s="114"/>
      <c r="B4906" s="196"/>
      <c r="C4906" s="196"/>
      <c r="D4906" s="196"/>
      <c r="E4906" s="196"/>
      <c r="F4906" s="196"/>
      <c r="G4906" s="196"/>
      <c r="H4906" s="196"/>
      <c r="I4906" s="196"/>
      <c r="J4906" s="114"/>
      <c r="AW4906" s="117"/>
      <c r="AX4906" s="117"/>
      <c r="AY4906" s="117"/>
      <c r="AZ4906" s="117"/>
      <c r="BA4906" s="117"/>
      <c r="BB4906" s="117"/>
      <c r="BC4906" s="117"/>
      <c r="BD4906" s="117"/>
    </row>
    <row r="4907" spans="1:56" ht="15">
      <c r="A4907" s="114"/>
      <c r="B4907" s="388" t="s">
        <v>1110</v>
      </c>
      <c r="C4907" s="389">
        <v>0.2</v>
      </c>
      <c r="D4907" s="390" t="s">
        <v>10</v>
      </c>
      <c r="E4907" s="196"/>
      <c r="F4907" s="196"/>
      <c r="G4907" s="392"/>
      <c r="H4907" s="393"/>
      <c r="I4907" s="196"/>
      <c r="J4907" s="114"/>
      <c r="AW4907" s="117"/>
      <c r="AX4907" s="117"/>
      <c r="AY4907" s="117"/>
      <c r="AZ4907" s="117"/>
      <c r="BA4907" s="117"/>
      <c r="BB4907" s="117"/>
      <c r="BC4907" s="117"/>
      <c r="BD4907" s="117"/>
    </row>
    <row r="4908" spans="1:56" ht="15">
      <c r="A4908" s="114"/>
      <c r="B4908" s="388" t="s">
        <v>1111</v>
      </c>
      <c r="C4908" s="391">
        <f>11.75</f>
        <v>11.75</v>
      </c>
      <c r="D4908" s="390" t="s">
        <v>10</v>
      </c>
      <c r="E4908" s="196"/>
      <c r="F4908" s="908"/>
      <c r="G4908" s="392"/>
      <c r="H4908" s="393"/>
      <c r="I4908" s="196"/>
      <c r="J4908" s="114"/>
      <c r="AW4908" s="117"/>
      <c r="AX4908" s="117"/>
      <c r="AY4908" s="117"/>
      <c r="AZ4908" s="117"/>
      <c r="BA4908" s="117"/>
      <c r="BB4908" s="117"/>
      <c r="BC4908" s="117"/>
      <c r="BD4908" s="117"/>
    </row>
    <row r="4909" spans="1:56" ht="15">
      <c r="A4909" s="114"/>
      <c r="B4909" s="388" t="s">
        <v>1112</v>
      </c>
      <c r="C4909" s="389">
        <v>-0.95</v>
      </c>
      <c r="D4909" s="390" t="s">
        <v>10</v>
      </c>
      <c r="E4909" s="196"/>
      <c r="F4909" s="196"/>
      <c r="G4909" s="392"/>
      <c r="H4909" s="393"/>
      <c r="I4909" s="196"/>
      <c r="J4909" s="114"/>
      <c r="AW4909" s="117"/>
      <c r="AX4909" s="117"/>
      <c r="AY4909" s="117"/>
      <c r="AZ4909" s="117"/>
      <c r="BA4909" s="117"/>
      <c r="BB4909" s="117"/>
      <c r="BC4909" s="117"/>
      <c r="BD4909" s="117"/>
    </row>
    <row r="4910" spans="1:56" ht="15">
      <c r="A4910" s="114"/>
      <c r="B4910" s="388" t="s">
        <v>1113</v>
      </c>
      <c r="C4910" s="389">
        <v>2</v>
      </c>
      <c r="D4910" s="390" t="s">
        <v>10</v>
      </c>
      <c r="E4910" s="196"/>
      <c r="F4910" s="196"/>
      <c r="G4910" s="392"/>
      <c r="H4910" s="394"/>
      <c r="I4910" s="196"/>
      <c r="J4910" s="114"/>
      <c r="AW4910" s="117"/>
      <c r="AX4910" s="117"/>
      <c r="AY4910" s="117"/>
      <c r="AZ4910" s="117"/>
      <c r="BA4910" s="117"/>
      <c r="BB4910" s="117"/>
      <c r="BC4910" s="117"/>
      <c r="BD4910" s="117"/>
    </row>
    <row r="4911" spans="1:56" ht="15">
      <c r="A4911" s="114"/>
      <c r="B4911" s="388" t="s">
        <v>1117</v>
      </c>
      <c r="C4911" s="389">
        <v>1</v>
      </c>
      <c r="D4911" s="390" t="s">
        <v>1118</v>
      </c>
      <c r="E4911" s="196"/>
      <c r="F4911" s="196"/>
      <c r="G4911" s="392"/>
      <c r="H4911" s="393"/>
      <c r="I4911" s="196"/>
      <c r="J4911" s="114"/>
      <c r="AW4911" s="117"/>
      <c r="AX4911" s="117"/>
      <c r="AY4911" s="117"/>
      <c r="AZ4911" s="117"/>
      <c r="BA4911" s="117"/>
      <c r="BB4911" s="117"/>
      <c r="BC4911" s="117"/>
      <c r="BD4911" s="117"/>
    </row>
    <row r="4912" spans="1:56" ht="15">
      <c r="A4912" s="114"/>
      <c r="B4912" s="392"/>
      <c r="C4912" s="393"/>
      <c r="D4912" s="196"/>
      <c r="E4912" s="196"/>
      <c r="F4912" s="196"/>
      <c r="G4912" s="392"/>
      <c r="H4912" s="393"/>
      <c r="I4912" s="196"/>
      <c r="J4912" s="114"/>
      <c r="AW4912" s="117"/>
      <c r="AX4912" s="117"/>
      <c r="AY4912" s="117"/>
      <c r="AZ4912" s="117"/>
      <c r="BA4912" s="117"/>
      <c r="BB4912" s="117"/>
      <c r="BC4912" s="117"/>
      <c r="BD4912" s="117"/>
    </row>
    <row r="4913" spans="1:56" ht="15">
      <c r="A4913" s="114"/>
      <c r="B4913" s="388" t="s">
        <v>1114</v>
      </c>
      <c r="C4913" s="389">
        <v>0.6</v>
      </c>
      <c r="D4913" s="390" t="s">
        <v>10</v>
      </c>
      <c r="E4913" s="288" t="s">
        <v>1120</v>
      </c>
      <c r="F4913" s="288"/>
      <c r="G4913" s="230"/>
      <c r="H4913" s="395"/>
      <c r="I4913" s="196"/>
      <c r="J4913" s="114"/>
      <c r="AW4913" s="117"/>
      <c r="AX4913" s="117"/>
      <c r="AY4913" s="117"/>
      <c r="AZ4913" s="117"/>
      <c r="BA4913" s="117"/>
      <c r="BB4913" s="117"/>
      <c r="BC4913" s="117"/>
      <c r="BD4913" s="117"/>
    </row>
    <row r="4914" spans="1:56" ht="15">
      <c r="A4914" s="114"/>
      <c r="B4914" s="388" t="s">
        <v>1114</v>
      </c>
      <c r="C4914" s="389">
        <v>0.2</v>
      </c>
      <c r="D4914" s="390" t="s">
        <v>10</v>
      </c>
      <c r="E4914" s="288" t="s">
        <v>1121</v>
      </c>
      <c r="F4914" s="288"/>
      <c r="G4914" s="230"/>
      <c r="H4914" s="395"/>
      <c r="I4914" s="196"/>
      <c r="J4914" s="114"/>
      <c r="AW4914" s="117"/>
      <c r="AX4914" s="117"/>
      <c r="AY4914" s="117"/>
      <c r="AZ4914" s="117"/>
      <c r="BA4914" s="117"/>
      <c r="BB4914" s="117"/>
      <c r="BC4914" s="117"/>
      <c r="BD4914" s="117"/>
    </row>
    <row r="4915" spans="1:56" ht="15">
      <c r="A4915" s="114"/>
      <c r="B4915" s="196"/>
      <c r="C4915" s="196"/>
      <c r="D4915" s="196"/>
      <c r="E4915" s="196"/>
      <c r="F4915" s="196"/>
      <c r="G4915" s="196"/>
      <c r="H4915" s="196"/>
      <c r="I4915" s="196"/>
      <c r="J4915" s="114"/>
      <c r="AW4915" s="117"/>
      <c r="AX4915" s="117"/>
      <c r="AY4915" s="117"/>
      <c r="AZ4915" s="117"/>
      <c r="BA4915" s="117"/>
      <c r="BB4915" s="117"/>
      <c r="BC4915" s="117"/>
      <c r="BD4915" s="117"/>
    </row>
    <row r="4916" spans="1:56" ht="15">
      <c r="A4916" s="114"/>
      <c r="B4916" s="303" t="s">
        <v>1122</v>
      </c>
      <c r="C4916" s="362"/>
      <c r="D4916" s="362"/>
      <c r="E4916" s="196"/>
      <c r="F4916" s="196"/>
      <c r="G4916" s="196"/>
      <c r="H4916" s="196"/>
      <c r="I4916" s="196"/>
      <c r="J4916" s="114"/>
      <c r="AW4916" s="117"/>
      <c r="AX4916" s="117"/>
      <c r="AY4916" s="117"/>
      <c r="AZ4916" s="117"/>
      <c r="BA4916" s="117"/>
      <c r="BB4916" s="117"/>
      <c r="BC4916" s="117"/>
      <c r="BD4916" s="117"/>
    </row>
    <row r="4917" spans="1:56" ht="18">
      <c r="A4917" s="114"/>
      <c r="B4917" s="396" t="s">
        <v>1123</v>
      </c>
      <c r="C4917" s="289"/>
      <c r="D4917" s="290"/>
      <c r="E4917" s="397">
        <f>C4911*(C4913*2*(0.05+C4910+C4909)*C4908)</f>
        <v>15.509999999999998</v>
      </c>
      <c r="F4917" s="390" t="s">
        <v>1124</v>
      </c>
      <c r="G4917" s="196"/>
      <c r="H4917" s="196"/>
      <c r="I4917" s="196"/>
      <c r="J4917" s="114"/>
      <c r="AW4917" s="117"/>
      <c r="AX4917" s="117"/>
      <c r="AY4917" s="117"/>
      <c r="AZ4917" s="117"/>
      <c r="BA4917" s="117"/>
      <c r="BB4917" s="117"/>
      <c r="BC4917" s="117"/>
      <c r="BD4917" s="117"/>
    </row>
    <row r="4918" spans="1:56" ht="18">
      <c r="A4918" s="114"/>
      <c r="B4918" s="398" t="s">
        <v>1125</v>
      </c>
      <c r="C4918" s="172"/>
      <c r="D4918" s="173"/>
      <c r="E4918" s="397">
        <f>E4917-((C4907*0.05+C4907*C4910)*C4908)</f>
        <v>10.692499999999997</v>
      </c>
      <c r="F4918" s="390" t="s">
        <v>1124</v>
      </c>
      <c r="G4918" s="196"/>
      <c r="H4918" s="196"/>
      <c r="I4918" s="196"/>
      <c r="J4918" s="114"/>
      <c r="AW4918" s="117"/>
      <c r="AX4918" s="117"/>
      <c r="AY4918" s="117"/>
      <c r="AZ4918" s="117"/>
      <c r="BA4918" s="117"/>
      <c r="BB4918" s="117"/>
      <c r="BC4918" s="117"/>
      <c r="BD4918" s="117"/>
    </row>
    <row r="4919" spans="1:56" ht="15">
      <c r="A4919" s="114"/>
      <c r="B4919" s="399" t="s">
        <v>1126</v>
      </c>
      <c r="C4919" s="317"/>
      <c r="D4919" s="318"/>
      <c r="E4919" s="400">
        <f>(2*C4914)*C4908</f>
        <v>4.7</v>
      </c>
      <c r="F4919" s="390" t="s">
        <v>13</v>
      </c>
      <c r="G4919" s="196"/>
      <c r="H4919" s="196"/>
      <c r="I4919" s="196"/>
      <c r="J4919" s="114"/>
      <c r="AW4919" s="117"/>
      <c r="AX4919" s="117"/>
      <c r="AY4919" s="117"/>
      <c r="AZ4919" s="117"/>
      <c r="BA4919" s="117"/>
      <c r="BB4919" s="117"/>
      <c r="BC4919" s="117"/>
      <c r="BD4919" s="117"/>
    </row>
    <row r="4920" spans="1:56" ht="15">
      <c r="A4920" s="114"/>
      <c r="B4920" s="196"/>
      <c r="C4920" s="196"/>
      <c r="D4920" s="196"/>
      <c r="E4920" s="401"/>
      <c r="F4920" s="196"/>
      <c r="G4920" s="196"/>
      <c r="H4920" s="196"/>
      <c r="I4920" s="196"/>
      <c r="J4920" s="114"/>
      <c r="AW4920" s="117"/>
      <c r="AX4920" s="117"/>
      <c r="AY4920" s="117"/>
      <c r="AZ4920" s="117"/>
      <c r="BA4920" s="117"/>
      <c r="BB4920" s="117"/>
      <c r="BC4920" s="117"/>
      <c r="BD4920" s="117"/>
    </row>
    <row r="4921" spans="1:56" ht="15">
      <c r="A4921" s="114"/>
      <c r="B4921" s="303" t="s">
        <v>1127</v>
      </c>
      <c r="C4921" s="196"/>
      <c r="D4921" s="196"/>
      <c r="E4921" s="401"/>
      <c r="F4921" s="196"/>
      <c r="G4921" s="196"/>
      <c r="H4921" s="196"/>
      <c r="I4921" s="196"/>
      <c r="J4921" s="114"/>
      <c r="AW4921" s="117"/>
      <c r="AX4921" s="117"/>
      <c r="AY4921" s="117"/>
      <c r="AZ4921" s="117"/>
      <c r="BA4921" s="117"/>
      <c r="BB4921" s="117"/>
      <c r="BC4921" s="117"/>
      <c r="BD4921" s="117"/>
    </row>
    <row r="4922" spans="1:56" ht="18">
      <c r="A4922" s="114"/>
      <c r="B4922" s="398" t="s">
        <v>1128</v>
      </c>
      <c r="C4922" s="172"/>
      <c r="D4922" s="173"/>
      <c r="E4922" s="402">
        <f>E4919*0.05</f>
        <v>0.23500000000000001</v>
      </c>
      <c r="F4922" s="390" t="s">
        <v>1124</v>
      </c>
      <c r="G4922" s="196"/>
      <c r="H4922" s="196"/>
      <c r="I4922" s="196"/>
      <c r="J4922" s="114"/>
      <c r="AW4922" s="117"/>
      <c r="AX4922" s="117"/>
      <c r="AY4922" s="117"/>
      <c r="AZ4922" s="117"/>
      <c r="BA4922" s="117"/>
      <c r="BB4922" s="117"/>
      <c r="BC4922" s="117"/>
      <c r="BD4922" s="117"/>
    </row>
    <row r="4923" spans="1:56" ht="15">
      <c r="A4923" s="114"/>
      <c r="B4923" s="398" t="s">
        <v>1129</v>
      </c>
      <c r="C4923" s="172"/>
      <c r="D4923" s="173"/>
      <c r="E4923" s="397">
        <f>C4910*2*C4908</f>
        <v>47</v>
      </c>
      <c r="F4923" s="390" t="s">
        <v>13</v>
      </c>
      <c r="G4923" s="393" t="s">
        <v>1108</v>
      </c>
      <c r="H4923" s="196" t="s">
        <v>1131</v>
      </c>
      <c r="I4923" s="393"/>
      <c r="J4923" s="114"/>
      <c r="AW4923" s="117"/>
      <c r="AX4923" s="117"/>
      <c r="AY4923" s="117"/>
      <c r="AZ4923" s="117"/>
      <c r="BA4923" s="117"/>
      <c r="BB4923" s="117"/>
      <c r="BC4923" s="117"/>
      <c r="BD4923" s="117"/>
    </row>
    <row r="4924" spans="1:56" ht="18">
      <c r="A4924" s="114"/>
      <c r="B4924" s="398" t="s">
        <v>1130</v>
      </c>
      <c r="C4924" s="172"/>
      <c r="D4924" s="173"/>
      <c r="E4924" s="402">
        <f>C4907*C4908*C4910</f>
        <v>4.7</v>
      </c>
      <c r="F4924" s="390" t="s">
        <v>1124</v>
      </c>
      <c r="G4924" s="196"/>
      <c r="H4924" s="196"/>
      <c r="I4924" s="196"/>
      <c r="J4924" s="114"/>
      <c r="AW4924" s="117"/>
      <c r="AX4924" s="117"/>
      <c r="AY4924" s="117"/>
      <c r="AZ4924" s="117"/>
      <c r="BA4924" s="117"/>
      <c r="BB4924" s="117"/>
      <c r="BC4924" s="117"/>
      <c r="BD4924" s="117"/>
    </row>
    <row r="4925" spans="1:56" ht="15">
      <c r="A4925" s="114"/>
      <c r="B4925" s="288"/>
      <c r="C4925" s="230"/>
      <c r="D4925" s="230"/>
      <c r="E4925" s="384"/>
      <c r="F4925" s="196"/>
      <c r="G4925" s="196"/>
      <c r="H4925" s="196"/>
      <c r="I4925" s="196"/>
      <c r="J4925" s="114"/>
      <c r="AW4925" s="117"/>
      <c r="AX4925" s="117"/>
      <c r="AY4925" s="117"/>
      <c r="AZ4925" s="117"/>
      <c r="BA4925" s="117"/>
      <c r="BB4925" s="117"/>
      <c r="BC4925" s="117"/>
      <c r="BD4925" s="117"/>
    </row>
    <row r="4926" spans="1:56" ht="15">
      <c r="A4926" s="114"/>
      <c r="B4926" s="293"/>
      <c r="C4926" s="387"/>
      <c r="D4926" s="387"/>
      <c r="E4926" s="387"/>
      <c r="F4926" s="387"/>
      <c r="G4926" s="387"/>
      <c r="H4926" s="386"/>
      <c r="I4926" s="386"/>
      <c r="J4926" s="114"/>
      <c r="AW4926" s="117"/>
      <c r="AX4926" s="117"/>
      <c r="AY4926" s="117"/>
      <c r="AZ4926" s="117"/>
      <c r="BA4926" s="117"/>
      <c r="BB4926" s="117"/>
      <c r="BC4926" s="117"/>
      <c r="BD4926" s="117"/>
    </row>
    <row r="4927" spans="1:56" ht="15">
      <c r="A4927" s="114"/>
      <c r="B4927" s="293"/>
      <c r="C4927" s="387"/>
      <c r="D4927" s="387"/>
      <c r="E4927" s="387"/>
      <c r="F4927" s="387"/>
      <c r="G4927" s="387"/>
      <c r="H4927" s="386"/>
      <c r="I4927" s="386"/>
      <c r="J4927" s="114"/>
      <c r="AW4927" s="117"/>
      <c r="AX4927" s="117"/>
      <c r="AY4927" s="117"/>
      <c r="AZ4927" s="117"/>
      <c r="BA4927" s="117"/>
      <c r="BB4927" s="117"/>
      <c r="BC4927" s="117"/>
      <c r="BD4927" s="117"/>
    </row>
    <row r="4928" spans="1:56">
      <c r="A4928" s="114"/>
      <c r="B4928" s="385" t="s">
        <v>1299</v>
      </c>
      <c r="C4928" s="196"/>
      <c r="D4928" s="196"/>
      <c r="E4928" s="196"/>
      <c r="F4928" s="196"/>
      <c r="G4928" s="196"/>
      <c r="H4928" s="196"/>
      <c r="I4928" s="196"/>
      <c r="J4928" s="114"/>
      <c r="AW4928" s="117"/>
      <c r="AX4928" s="117"/>
      <c r="AY4928" s="117"/>
      <c r="AZ4928" s="117"/>
      <c r="BA4928" s="117"/>
      <c r="BB4928" s="117"/>
      <c r="BC4928" s="117"/>
      <c r="BD4928" s="117"/>
    </row>
    <row r="4929" spans="1:56" ht="15">
      <c r="A4929" s="114"/>
      <c r="B4929" s="196"/>
      <c r="C4929" s="196"/>
      <c r="D4929" s="196"/>
      <c r="E4929" s="196"/>
      <c r="F4929" s="196"/>
      <c r="G4929" s="196"/>
      <c r="H4929" s="196"/>
      <c r="I4929" s="196"/>
      <c r="J4929" s="114"/>
      <c r="AW4929" s="117"/>
      <c r="AX4929" s="117"/>
      <c r="AY4929" s="117"/>
      <c r="AZ4929" s="117"/>
      <c r="BA4929" s="117"/>
      <c r="BB4929" s="117"/>
      <c r="BC4929" s="117"/>
      <c r="BD4929" s="117"/>
    </row>
    <row r="4930" spans="1:56" ht="15">
      <c r="A4930" s="114"/>
      <c r="B4930" s="388" t="s">
        <v>1110</v>
      </c>
      <c r="C4930" s="389">
        <v>0.2</v>
      </c>
      <c r="D4930" s="390" t="s">
        <v>10</v>
      </c>
      <c r="E4930" s="196"/>
      <c r="F4930" s="196"/>
      <c r="G4930" s="392"/>
      <c r="H4930" s="393"/>
      <c r="I4930" s="196"/>
      <c r="J4930" s="114"/>
      <c r="AW4930" s="117"/>
      <c r="AX4930" s="117"/>
      <c r="AY4930" s="117"/>
      <c r="AZ4930" s="117"/>
      <c r="BA4930" s="117"/>
      <c r="BB4930" s="117"/>
      <c r="BC4930" s="117"/>
      <c r="BD4930" s="117"/>
    </row>
    <row r="4931" spans="1:56" ht="15">
      <c r="A4931" s="114"/>
      <c r="B4931" s="388" t="s">
        <v>1111</v>
      </c>
      <c r="C4931" s="942">
        <v>143.22999999999999</v>
      </c>
      <c r="D4931" s="390" t="s">
        <v>10</v>
      </c>
      <c r="E4931" s="196"/>
      <c r="F4931" s="908"/>
      <c r="G4931" s="392"/>
      <c r="H4931" s="393"/>
      <c r="I4931" s="196"/>
      <c r="J4931" s="114"/>
      <c r="AW4931" s="117"/>
      <c r="AX4931" s="117"/>
      <c r="AY4931" s="117"/>
      <c r="AZ4931" s="117"/>
      <c r="BA4931" s="117"/>
      <c r="BB4931" s="117"/>
      <c r="BC4931" s="117"/>
      <c r="BD4931" s="117"/>
    </row>
    <row r="4932" spans="1:56" ht="15">
      <c r="A4932" s="114"/>
      <c r="B4932" s="388" t="s">
        <v>1112</v>
      </c>
      <c r="C4932" s="389">
        <v>-0.95</v>
      </c>
      <c r="D4932" s="390" t="s">
        <v>10</v>
      </c>
      <c r="E4932" s="196"/>
      <c r="F4932" s="196"/>
      <c r="G4932" s="392"/>
      <c r="H4932" s="393"/>
      <c r="I4932" s="196"/>
      <c r="J4932" s="114"/>
      <c r="AW4932" s="117"/>
      <c r="AX4932" s="117"/>
      <c r="AY4932" s="117"/>
      <c r="AZ4932" s="117"/>
      <c r="BA4932" s="117"/>
      <c r="BB4932" s="117"/>
      <c r="BC4932" s="117"/>
      <c r="BD4932" s="117"/>
    </row>
    <row r="4933" spans="1:56" ht="15">
      <c r="A4933" s="114"/>
      <c r="B4933" s="388" t="s">
        <v>1113</v>
      </c>
      <c r="C4933" s="389">
        <v>2.1</v>
      </c>
      <c r="D4933" s="390" t="s">
        <v>10</v>
      </c>
      <c r="E4933" s="196"/>
      <c r="F4933" s="196"/>
      <c r="G4933" s="392"/>
      <c r="H4933" s="394"/>
      <c r="I4933" s="196"/>
      <c r="J4933" s="114"/>
      <c r="AW4933" s="117"/>
      <c r="AX4933" s="117"/>
      <c r="AY4933" s="117"/>
      <c r="AZ4933" s="117"/>
      <c r="BA4933" s="117"/>
      <c r="BB4933" s="117"/>
      <c r="BC4933" s="117"/>
      <c r="BD4933" s="117"/>
    </row>
    <row r="4934" spans="1:56" ht="15">
      <c r="A4934" s="114"/>
      <c r="B4934" s="388" t="s">
        <v>1117</v>
      </c>
      <c r="C4934" s="389">
        <v>1</v>
      </c>
      <c r="D4934" s="390" t="s">
        <v>1118</v>
      </c>
      <c r="E4934" s="196"/>
      <c r="F4934" s="196"/>
      <c r="G4934" s="392"/>
      <c r="H4934" s="393"/>
      <c r="I4934" s="196"/>
      <c r="J4934" s="114"/>
      <c r="AW4934" s="117"/>
      <c r="AX4934" s="117"/>
      <c r="AY4934" s="117"/>
      <c r="AZ4934" s="117"/>
      <c r="BA4934" s="117"/>
      <c r="BB4934" s="117"/>
      <c r="BC4934" s="117"/>
      <c r="BD4934" s="117"/>
    </row>
    <row r="4935" spans="1:56" ht="15">
      <c r="A4935" s="114"/>
      <c r="B4935" s="392"/>
      <c r="C4935" s="393"/>
      <c r="D4935" s="196"/>
      <c r="E4935" s="196"/>
      <c r="F4935" s="196"/>
      <c r="G4935" s="392"/>
      <c r="H4935" s="393"/>
      <c r="I4935" s="196"/>
      <c r="J4935" s="114"/>
      <c r="AW4935" s="117"/>
      <c r="AX4935" s="117"/>
      <c r="AY4935" s="117"/>
      <c r="AZ4935" s="117"/>
      <c r="BA4935" s="117"/>
      <c r="BB4935" s="117"/>
      <c r="BC4935" s="117"/>
      <c r="BD4935" s="117"/>
    </row>
    <row r="4936" spans="1:56" ht="15">
      <c r="A4936" s="114"/>
      <c r="B4936" s="388" t="s">
        <v>1114</v>
      </c>
      <c r="C4936" s="389">
        <v>0.6</v>
      </c>
      <c r="D4936" s="390" t="s">
        <v>10</v>
      </c>
      <c r="E4936" s="288" t="s">
        <v>1120</v>
      </c>
      <c r="F4936" s="288"/>
      <c r="G4936" s="230"/>
      <c r="H4936" s="395"/>
      <c r="I4936" s="196"/>
      <c r="J4936" s="114"/>
      <c r="AW4936" s="117"/>
      <c r="AX4936" s="117"/>
      <c r="AY4936" s="117"/>
      <c r="AZ4936" s="117"/>
      <c r="BA4936" s="117"/>
      <c r="BB4936" s="117"/>
      <c r="BC4936" s="117"/>
      <c r="BD4936" s="117"/>
    </row>
    <row r="4937" spans="1:56" ht="15">
      <c r="A4937" s="114"/>
      <c r="B4937" s="388" t="s">
        <v>1114</v>
      </c>
      <c r="C4937" s="389">
        <v>0.2</v>
      </c>
      <c r="D4937" s="390" t="s">
        <v>10</v>
      </c>
      <c r="E4937" s="288" t="s">
        <v>1121</v>
      </c>
      <c r="F4937" s="288"/>
      <c r="G4937" s="230"/>
      <c r="H4937" s="395"/>
      <c r="I4937" s="196"/>
      <c r="J4937" s="114"/>
      <c r="AW4937" s="117"/>
      <c r="AX4937" s="117"/>
      <c r="AY4937" s="117"/>
      <c r="AZ4937" s="117"/>
      <c r="BA4937" s="117"/>
      <c r="BB4937" s="117"/>
      <c r="BC4937" s="117"/>
      <c r="BD4937" s="117"/>
    </row>
    <row r="4938" spans="1:56" ht="15">
      <c r="A4938" s="114"/>
      <c r="B4938" s="196"/>
      <c r="C4938" s="196"/>
      <c r="D4938" s="196"/>
      <c r="E4938" s="196"/>
      <c r="F4938" s="196"/>
      <c r="G4938" s="196"/>
      <c r="H4938" s="196"/>
      <c r="I4938" s="196"/>
      <c r="J4938" s="114"/>
      <c r="AW4938" s="117"/>
      <c r="AX4938" s="117"/>
      <c r="AY4938" s="117"/>
      <c r="AZ4938" s="117"/>
      <c r="BA4938" s="117"/>
      <c r="BB4938" s="117"/>
      <c r="BC4938" s="117"/>
      <c r="BD4938" s="117"/>
    </row>
    <row r="4939" spans="1:56" ht="15">
      <c r="A4939" s="114"/>
      <c r="B4939" s="303" t="s">
        <v>1122</v>
      </c>
      <c r="C4939" s="362"/>
      <c r="D4939" s="362"/>
      <c r="E4939" s="196"/>
      <c r="F4939" s="196"/>
      <c r="G4939" s="196"/>
      <c r="H4939" s="196"/>
      <c r="I4939" s="196"/>
      <c r="J4939" s="114"/>
      <c r="AW4939" s="117"/>
      <c r="AX4939" s="117"/>
      <c r="AY4939" s="117"/>
      <c r="AZ4939" s="117"/>
      <c r="BA4939" s="117"/>
      <c r="BB4939" s="117"/>
      <c r="BC4939" s="117"/>
      <c r="BD4939" s="117"/>
    </row>
    <row r="4940" spans="1:56" ht="18">
      <c r="A4940" s="114"/>
      <c r="B4940" s="396" t="s">
        <v>1123</v>
      </c>
      <c r="C4940" s="289"/>
      <c r="D4940" s="290"/>
      <c r="E4940" s="397">
        <f>C4934*(C4936*2*(0.05+C4933+C4932)*C4931)</f>
        <v>206.25119999999998</v>
      </c>
      <c r="F4940" s="390" t="s">
        <v>1124</v>
      </c>
      <c r="G4940" s="196"/>
      <c r="H4940" s="196"/>
      <c r="I4940" s="196"/>
      <c r="J4940" s="114"/>
      <c r="AW4940" s="117"/>
      <c r="AX4940" s="117"/>
      <c r="AY4940" s="117"/>
      <c r="AZ4940" s="117"/>
      <c r="BA4940" s="117"/>
      <c r="BB4940" s="117"/>
      <c r="BC4940" s="117"/>
      <c r="BD4940" s="117"/>
    </row>
    <row r="4941" spans="1:56" ht="18">
      <c r="A4941" s="114"/>
      <c r="B4941" s="398" t="s">
        <v>1125</v>
      </c>
      <c r="C4941" s="172"/>
      <c r="D4941" s="173"/>
      <c r="E4941" s="397">
        <f>E4940-((C4930*0.05+C4930*C4933)*C4931)</f>
        <v>144.66229999999999</v>
      </c>
      <c r="F4941" s="390" t="s">
        <v>1124</v>
      </c>
      <c r="G4941" s="196"/>
      <c r="H4941" s="196"/>
      <c r="I4941" s="196"/>
      <c r="J4941" s="114"/>
      <c r="AW4941" s="117"/>
      <c r="AX4941" s="117"/>
      <c r="AY4941" s="117"/>
      <c r="AZ4941" s="117"/>
      <c r="BA4941" s="117"/>
      <c r="BB4941" s="117"/>
      <c r="BC4941" s="117"/>
      <c r="BD4941" s="117"/>
    </row>
    <row r="4942" spans="1:56" ht="15">
      <c r="A4942" s="114"/>
      <c r="B4942" s="399" t="s">
        <v>1126</v>
      </c>
      <c r="C4942" s="317"/>
      <c r="D4942" s="318"/>
      <c r="E4942" s="400">
        <f>(2*C4937)*C4931</f>
        <v>57.292000000000002</v>
      </c>
      <c r="F4942" s="390" t="s">
        <v>13</v>
      </c>
      <c r="G4942" s="196"/>
      <c r="H4942" s="196"/>
      <c r="I4942" s="196"/>
      <c r="J4942" s="114"/>
      <c r="AW4942" s="117"/>
      <c r="AX4942" s="117"/>
      <c r="AY4942" s="117"/>
      <c r="AZ4942" s="117"/>
      <c r="BA4942" s="117"/>
      <c r="BB4942" s="117"/>
      <c r="BC4942" s="117"/>
      <c r="BD4942" s="117"/>
    </row>
    <row r="4943" spans="1:56" ht="15">
      <c r="A4943" s="114"/>
      <c r="B4943" s="196"/>
      <c r="C4943" s="196"/>
      <c r="D4943" s="196"/>
      <c r="E4943" s="401"/>
      <c r="F4943" s="196"/>
      <c r="G4943" s="196"/>
      <c r="H4943" s="196"/>
      <c r="I4943" s="196"/>
      <c r="J4943" s="114"/>
      <c r="AW4943" s="117"/>
      <c r="AX4943" s="117"/>
      <c r="AY4943" s="117"/>
      <c r="AZ4943" s="117"/>
      <c r="BA4943" s="117"/>
      <c r="BB4943" s="117"/>
      <c r="BC4943" s="117"/>
      <c r="BD4943" s="117"/>
    </row>
    <row r="4944" spans="1:56" ht="15">
      <c r="A4944" s="114"/>
      <c r="B4944" s="303" t="s">
        <v>1127</v>
      </c>
      <c r="C4944" s="196"/>
      <c r="D4944" s="196"/>
      <c r="E4944" s="401"/>
      <c r="F4944" s="196"/>
      <c r="G4944" s="196"/>
      <c r="H4944" s="196"/>
      <c r="I4944" s="196"/>
      <c r="J4944" s="114"/>
      <c r="AW4944" s="117"/>
      <c r="AX4944" s="117"/>
      <c r="AY4944" s="117"/>
      <c r="AZ4944" s="117"/>
      <c r="BA4944" s="117"/>
      <c r="BB4944" s="117"/>
      <c r="BC4944" s="117"/>
      <c r="BD4944" s="117"/>
    </row>
    <row r="4945" spans="1:56" ht="18">
      <c r="A4945" s="114"/>
      <c r="B4945" s="398" t="s">
        <v>1128</v>
      </c>
      <c r="C4945" s="172"/>
      <c r="D4945" s="173"/>
      <c r="E4945" s="402">
        <f>E4942*0.05</f>
        <v>2.8646000000000003</v>
      </c>
      <c r="F4945" s="390" t="s">
        <v>1124</v>
      </c>
      <c r="G4945" s="196"/>
      <c r="H4945" s="196"/>
      <c r="I4945" s="196"/>
      <c r="J4945" s="114"/>
      <c r="AW4945" s="117"/>
      <c r="AX4945" s="117"/>
      <c r="AY4945" s="117"/>
      <c r="AZ4945" s="117"/>
      <c r="BA4945" s="117"/>
      <c r="BB4945" s="117"/>
      <c r="BC4945" s="117"/>
      <c r="BD4945" s="117"/>
    </row>
    <row r="4946" spans="1:56" ht="15">
      <c r="A4946" s="114"/>
      <c r="B4946" s="398" t="s">
        <v>1129</v>
      </c>
      <c r="C4946" s="172"/>
      <c r="D4946" s="173"/>
      <c r="E4946" s="397">
        <f>C4933*2*C4931</f>
        <v>601.56600000000003</v>
      </c>
      <c r="F4946" s="390" t="s">
        <v>13</v>
      </c>
      <c r="G4946" s="393" t="s">
        <v>1108</v>
      </c>
      <c r="H4946" s="196" t="s">
        <v>1131</v>
      </c>
      <c r="I4946" s="393"/>
      <c r="J4946" s="114"/>
      <c r="AW4946" s="117"/>
      <c r="AX4946" s="117"/>
      <c r="AY4946" s="117"/>
      <c r="AZ4946" s="117"/>
      <c r="BA4946" s="117"/>
      <c r="BB4946" s="117"/>
      <c r="BC4946" s="117"/>
      <c r="BD4946" s="117"/>
    </row>
    <row r="4947" spans="1:56" ht="18">
      <c r="A4947" s="114"/>
      <c r="B4947" s="398" t="s">
        <v>1130</v>
      </c>
      <c r="C4947" s="172"/>
      <c r="D4947" s="173"/>
      <c r="E4947" s="402">
        <f>C4930*C4931*C4933</f>
        <v>60.156600000000005</v>
      </c>
      <c r="F4947" s="390" t="s">
        <v>1124</v>
      </c>
      <c r="G4947" s="196"/>
      <c r="H4947" s="196"/>
      <c r="I4947" s="196"/>
      <c r="J4947" s="114"/>
      <c r="AW4947" s="117"/>
      <c r="AX4947" s="117"/>
      <c r="AY4947" s="117"/>
      <c r="AZ4947" s="117"/>
      <c r="BA4947" s="117"/>
      <c r="BB4947" s="117"/>
      <c r="BC4947" s="117"/>
      <c r="BD4947" s="117"/>
    </row>
    <row r="4948" spans="1:56" ht="15">
      <c r="A4948" s="114"/>
      <c r="B4948" s="288"/>
      <c r="C4948" s="230"/>
      <c r="D4948" s="230"/>
      <c r="E4948" s="384"/>
      <c r="F4948" s="196"/>
      <c r="G4948" s="196"/>
      <c r="H4948" s="196"/>
      <c r="I4948" s="196"/>
      <c r="J4948" s="114"/>
      <c r="AW4948" s="117"/>
      <c r="AX4948" s="117"/>
      <c r="AY4948" s="117"/>
      <c r="AZ4948" s="117"/>
      <c r="BA4948" s="117"/>
      <c r="BB4948" s="117"/>
      <c r="BC4948" s="117"/>
      <c r="BD4948" s="117"/>
    </row>
    <row r="4949" spans="1:56" ht="15">
      <c r="A4949" s="114"/>
      <c r="B4949" s="293"/>
      <c r="C4949" s="387"/>
      <c r="D4949" s="387"/>
      <c r="E4949" s="387"/>
      <c r="F4949" s="387"/>
      <c r="G4949" s="387"/>
      <c r="H4949" s="386"/>
      <c r="I4949" s="386"/>
      <c r="J4949" s="114"/>
      <c r="AW4949" s="117"/>
      <c r="AX4949" s="117"/>
      <c r="AY4949" s="117"/>
      <c r="AZ4949" s="117"/>
      <c r="BA4949" s="117"/>
      <c r="BB4949" s="117"/>
      <c r="BC4949" s="117"/>
      <c r="BD4949" s="117"/>
    </row>
    <row r="4950" spans="1:56">
      <c r="A4950" s="114"/>
      <c r="B4950" s="385" t="s">
        <v>2230</v>
      </c>
      <c r="C4950" s="196"/>
      <c r="D4950" s="196"/>
      <c r="E4950" s="196"/>
      <c r="F4950" s="196"/>
      <c r="G4950" s="196"/>
      <c r="H4950" s="196"/>
      <c r="I4950" s="196"/>
      <c r="J4950" s="114"/>
      <c r="AW4950" s="117"/>
      <c r="AX4950" s="117"/>
      <c r="AY4950" s="117"/>
      <c r="AZ4950" s="117"/>
      <c r="BA4950" s="117"/>
      <c r="BB4950" s="117"/>
      <c r="BC4950" s="117"/>
      <c r="BD4950" s="117"/>
    </row>
    <row r="4951" spans="1:56" ht="15">
      <c r="A4951" s="114"/>
      <c r="B4951" s="196"/>
      <c r="C4951" s="196"/>
      <c r="D4951" s="196"/>
      <c r="E4951" s="196"/>
      <c r="F4951" s="196"/>
      <c r="G4951" s="196"/>
      <c r="H4951" s="196"/>
      <c r="I4951" s="196"/>
      <c r="J4951" s="114"/>
      <c r="AW4951" s="117"/>
      <c r="AX4951" s="117"/>
      <c r="AY4951" s="117"/>
      <c r="AZ4951" s="117"/>
      <c r="BA4951" s="117"/>
      <c r="BB4951" s="117"/>
      <c r="BC4951" s="117"/>
      <c r="BD4951" s="117"/>
    </row>
    <row r="4952" spans="1:56" ht="15">
      <c r="A4952" s="114"/>
      <c r="B4952" s="388" t="s">
        <v>1110</v>
      </c>
      <c r="C4952" s="389">
        <v>0.2</v>
      </c>
      <c r="D4952" s="390" t="s">
        <v>10</v>
      </c>
      <c r="E4952" s="196"/>
      <c r="F4952" s="196"/>
      <c r="G4952" s="392"/>
      <c r="H4952" s="949"/>
      <c r="I4952" s="196"/>
      <c r="J4952" s="114"/>
      <c r="AW4952" s="117"/>
      <c r="AX4952" s="117"/>
      <c r="AY4952" s="117"/>
      <c r="AZ4952" s="117"/>
      <c r="BA4952" s="117"/>
      <c r="BB4952" s="117"/>
      <c r="BC4952" s="117"/>
      <c r="BD4952" s="117"/>
    </row>
    <row r="4953" spans="1:56" ht="15">
      <c r="A4953" s="114"/>
      <c r="B4953" s="388" t="s">
        <v>1111</v>
      </c>
      <c r="C4953" s="942">
        <f>6.45</f>
        <v>6.45</v>
      </c>
      <c r="D4953" s="390" t="s">
        <v>10</v>
      </c>
      <c r="E4953" s="196"/>
      <c r="F4953" s="949"/>
      <c r="G4953" s="392"/>
      <c r="H4953" s="949"/>
      <c r="I4953" s="196"/>
      <c r="J4953" s="114"/>
      <c r="AW4953" s="117"/>
      <c r="AX4953" s="117"/>
      <c r="AY4953" s="117"/>
      <c r="AZ4953" s="117"/>
      <c r="BA4953" s="117"/>
      <c r="BB4953" s="117"/>
      <c r="BC4953" s="117"/>
      <c r="BD4953" s="117"/>
    </row>
    <row r="4954" spans="1:56" ht="15">
      <c r="A4954" s="114"/>
      <c r="B4954" s="388" t="s">
        <v>1112</v>
      </c>
      <c r="C4954" s="389">
        <v>-0.95</v>
      </c>
      <c r="D4954" s="390" t="s">
        <v>10</v>
      </c>
      <c r="E4954" s="196"/>
      <c r="F4954" s="196"/>
      <c r="G4954" s="392"/>
      <c r="H4954" s="949"/>
      <c r="I4954" s="196"/>
      <c r="J4954" s="114"/>
      <c r="AW4954" s="117"/>
      <c r="AX4954" s="117"/>
      <c r="AY4954" s="117"/>
      <c r="AZ4954" s="117"/>
      <c r="BA4954" s="117"/>
      <c r="BB4954" s="117"/>
      <c r="BC4954" s="117"/>
      <c r="BD4954" s="117"/>
    </row>
    <row r="4955" spans="1:56" ht="15">
      <c r="A4955" s="114"/>
      <c r="B4955" s="388" t="s">
        <v>1113</v>
      </c>
      <c r="C4955" s="389">
        <v>2.1</v>
      </c>
      <c r="D4955" s="390" t="s">
        <v>10</v>
      </c>
      <c r="E4955" s="196"/>
      <c r="F4955" s="196"/>
      <c r="G4955" s="392"/>
      <c r="H4955" s="394"/>
      <c r="I4955" s="196"/>
      <c r="J4955" s="114"/>
      <c r="AW4955" s="117"/>
      <c r="AX4955" s="117"/>
      <c r="AY4955" s="117"/>
      <c r="AZ4955" s="117"/>
      <c r="BA4955" s="117"/>
      <c r="BB4955" s="117"/>
      <c r="BC4955" s="117"/>
      <c r="BD4955" s="117"/>
    </row>
    <row r="4956" spans="1:56" ht="15">
      <c r="A4956" s="114"/>
      <c r="B4956" s="388" t="s">
        <v>1117</v>
      </c>
      <c r="C4956" s="389">
        <v>1</v>
      </c>
      <c r="D4956" s="390" t="s">
        <v>1118</v>
      </c>
      <c r="E4956" s="196"/>
      <c r="F4956" s="196"/>
      <c r="G4956" s="392"/>
      <c r="H4956" s="949"/>
      <c r="I4956" s="196"/>
      <c r="J4956" s="114"/>
      <c r="AW4956" s="117"/>
      <c r="AX4956" s="117"/>
      <c r="AY4956" s="117"/>
      <c r="AZ4956" s="117"/>
      <c r="BA4956" s="117"/>
      <c r="BB4956" s="117"/>
      <c r="BC4956" s="117"/>
      <c r="BD4956" s="117"/>
    </row>
    <row r="4957" spans="1:56" ht="15">
      <c r="A4957" s="114"/>
      <c r="B4957" s="392"/>
      <c r="C4957" s="949"/>
      <c r="D4957" s="196"/>
      <c r="E4957" s="196"/>
      <c r="F4957" s="196"/>
      <c r="G4957" s="392"/>
      <c r="H4957" s="949"/>
      <c r="I4957" s="196"/>
      <c r="J4957" s="114"/>
      <c r="AW4957" s="117"/>
      <c r="AX4957" s="117"/>
      <c r="AY4957" s="117"/>
      <c r="AZ4957" s="117"/>
      <c r="BA4957" s="117"/>
      <c r="BB4957" s="117"/>
      <c r="BC4957" s="117"/>
      <c r="BD4957" s="117"/>
    </row>
    <row r="4958" spans="1:56" ht="15">
      <c r="A4958" s="114"/>
      <c r="B4958" s="388" t="s">
        <v>1114</v>
      </c>
      <c r="C4958" s="389">
        <v>0.6</v>
      </c>
      <c r="D4958" s="390" t="s">
        <v>10</v>
      </c>
      <c r="E4958" s="288" t="s">
        <v>1120</v>
      </c>
      <c r="F4958" s="288"/>
      <c r="G4958" s="230"/>
      <c r="H4958" s="395"/>
      <c r="I4958" s="196"/>
      <c r="J4958" s="114"/>
      <c r="AW4958" s="117"/>
      <c r="AX4958" s="117"/>
      <c r="AY4958" s="117"/>
      <c r="AZ4958" s="117"/>
      <c r="BA4958" s="117"/>
      <c r="BB4958" s="117"/>
      <c r="BC4958" s="117"/>
      <c r="BD4958" s="117"/>
    </row>
    <row r="4959" spans="1:56" ht="15">
      <c r="A4959" s="114"/>
      <c r="B4959" s="388" t="s">
        <v>1114</v>
      </c>
      <c r="C4959" s="389">
        <v>0.2</v>
      </c>
      <c r="D4959" s="390" t="s">
        <v>10</v>
      </c>
      <c r="E4959" s="288" t="s">
        <v>1121</v>
      </c>
      <c r="F4959" s="288"/>
      <c r="G4959" s="230"/>
      <c r="H4959" s="395"/>
      <c r="I4959" s="196"/>
      <c r="J4959" s="114"/>
      <c r="AW4959" s="117"/>
      <c r="AX4959" s="117"/>
      <c r="AY4959" s="117"/>
      <c r="AZ4959" s="117"/>
      <c r="BA4959" s="117"/>
      <c r="BB4959" s="117"/>
      <c r="BC4959" s="117"/>
      <c r="BD4959" s="117"/>
    </row>
    <row r="4960" spans="1:56" ht="15">
      <c r="A4960" s="114"/>
      <c r="B4960" s="196"/>
      <c r="C4960" s="196"/>
      <c r="D4960" s="196"/>
      <c r="E4960" s="196"/>
      <c r="F4960" s="196"/>
      <c r="G4960" s="196"/>
      <c r="H4960" s="196"/>
      <c r="I4960" s="196"/>
      <c r="J4960" s="114"/>
      <c r="AW4960" s="117"/>
      <c r="AX4960" s="117"/>
      <c r="AY4960" s="117"/>
      <c r="AZ4960" s="117"/>
      <c r="BA4960" s="117"/>
      <c r="BB4960" s="117"/>
      <c r="BC4960" s="117"/>
      <c r="BD4960" s="117"/>
    </row>
    <row r="4961" spans="1:56" ht="15">
      <c r="A4961" s="114"/>
      <c r="B4961" s="303" t="s">
        <v>1122</v>
      </c>
      <c r="C4961" s="948"/>
      <c r="D4961" s="948"/>
      <c r="E4961" s="196"/>
      <c r="F4961" s="196"/>
      <c r="G4961" s="196"/>
      <c r="H4961" s="196"/>
      <c r="I4961" s="196"/>
      <c r="J4961" s="114"/>
      <c r="AW4961" s="117"/>
      <c r="AX4961" s="117"/>
      <c r="AY4961" s="117"/>
      <c r="AZ4961" s="117"/>
      <c r="BA4961" s="117"/>
      <c r="BB4961" s="117"/>
      <c r="BC4961" s="117"/>
      <c r="BD4961" s="117"/>
    </row>
    <row r="4962" spans="1:56" ht="18">
      <c r="A4962" s="114"/>
      <c r="B4962" s="396" t="s">
        <v>1123</v>
      </c>
      <c r="C4962" s="289"/>
      <c r="D4962" s="290"/>
      <c r="E4962" s="397">
        <f>C4956*(C4958*2*(0.05+C4955+C4954)*C4953)</f>
        <v>9.2880000000000003</v>
      </c>
      <c r="F4962" s="390" t="s">
        <v>1124</v>
      </c>
      <c r="G4962" s="196"/>
      <c r="H4962" s="196"/>
      <c r="I4962" s="196"/>
      <c r="J4962" s="114"/>
      <c r="AW4962" s="117"/>
      <c r="AX4962" s="117"/>
      <c r="AY4962" s="117"/>
      <c r="AZ4962" s="117"/>
      <c r="BA4962" s="117"/>
      <c r="BB4962" s="117"/>
      <c r="BC4962" s="117"/>
      <c r="BD4962" s="117"/>
    </row>
    <row r="4963" spans="1:56" ht="18">
      <c r="A4963" s="114"/>
      <c r="B4963" s="950" t="s">
        <v>1125</v>
      </c>
      <c r="C4963" s="172"/>
      <c r="D4963" s="173"/>
      <c r="E4963" s="397">
        <f>E4962-((C4952*0.05+C4952*C4955)*C4953)</f>
        <v>6.5145</v>
      </c>
      <c r="F4963" s="390" t="s">
        <v>1124</v>
      </c>
      <c r="G4963" s="196"/>
      <c r="H4963" s="196"/>
      <c r="I4963" s="196"/>
      <c r="J4963" s="114"/>
      <c r="AW4963" s="117"/>
      <c r="AX4963" s="117"/>
      <c r="AY4963" s="117"/>
      <c r="AZ4963" s="117"/>
      <c r="BA4963" s="117"/>
      <c r="BB4963" s="117"/>
      <c r="BC4963" s="117"/>
      <c r="BD4963" s="117"/>
    </row>
    <row r="4964" spans="1:56" ht="15">
      <c r="A4964" s="114"/>
      <c r="B4964" s="399" t="s">
        <v>1126</v>
      </c>
      <c r="C4964" s="317"/>
      <c r="D4964" s="318"/>
      <c r="E4964" s="400">
        <f>(2*C4959)*C4953</f>
        <v>2.58</v>
      </c>
      <c r="F4964" s="390" t="s">
        <v>13</v>
      </c>
      <c r="G4964" s="196"/>
      <c r="H4964" s="196"/>
      <c r="I4964" s="196"/>
      <c r="J4964" s="114"/>
      <c r="AW4964" s="117"/>
      <c r="AX4964" s="117"/>
      <c r="AY4964" s="117"/>
      <c r="AZ4964" s="117"/>
      <c r="BA4964" s="117"/>
      <c r="BB4964" s="117"/>
      <c r="BC4964" s="117"/>
      <c r="BD4964" s="117"/>
    </row>
    <row r="4965" spans="1:56" ht="15">
      <c r="A4965" s="114"/>
      <c r="B4965" s="196"/>
      <c r="C4965" s="196"/>
      <c r="D4965" s="196"/>
      <c r="E4965" s="401"/>
      <c r="F4965" s="196"/>
      <c r="G4965" s="196"/>
      <c r="H4965" s="196"/>
      <c r="I4965" s="196"/>
      <c r="J4965" s="114"/>
      <c r="AW4965" s="117"/>
      <c r="AX4965" s="117"/>
      <c r="AY4965" s="117"/>
      <c r="AZ4965" s="117"/>
      <c r="BA4965" s="117"/>
      <c r="BB4965" s="117"/>
      <c r="BC4965" s="117"/>
      <c r="BD4965" s="117"/>
    </row>
    <row r="4966" spans="1:56" ht="15">
      <c r="A4966" s="114"/>
      <c r="B4966" s="303" t="s">
        <v>1127</v>
      </c>
      <c r="C4966" s="196"/>
      <c r="D4966" s="196"/>
      <c r="E4966" s="401"/>
      <c r="F4966" s="196"/>
      <c r="G4966" s="196"/>
      <c r="H4966" s="196"/>
      <c r="I4966" s="196"/>
      <c r="J4966" s="114"/>
      <c r="AW4966" s="117"/>
      <c r="AX4966" s="117"/>
      <c r="AY4966" s="117"/>
      <c r="AZ4966" s="117"/>
      <c r="BA4966" s="117"/>
      <c r="BB4966" s="117"/>
      <c r="BC4966" s="117"/>
      <c r="BD4966" s="117"/>
    </row>
    <row r="4967" spans="1:56" ht="18">
      <c r="A4967" s="114"/>
      <c r="B4967" s="950" t="s">
        <v>1128</v>
      </c>
      <c r="C4967" s="172"/>
      <c r="D4967" s="173"/>
      <c r="E4967" s="402">
        <f>E4964*0.05</f>
        <v>0.129</v>
      </c>
      <c r="F4967" s="390" t="s">
        <v>1124</v>
      </c>
      <c r="G4967" s="196"/>
      <c r="H4967" s="196"/>
      <c r="I4967" s="196"/>
      <c r="J4967" s="114"/>
      <c r="AW4967" s="117"/>
      <c r="AX4967" s="117"/>
      <c r="AY4967" s="117"/>
      <c r="AZ4967" s="117"/>
      <c r="BA4967" s="117"/>
      <c r="BB4967" s="117"/>
      <c r="BC4967" s="117"/>
      <c r="BD4967" s="117"/>
    </row>
    <row r="4968" spans="1:56" ht="15">
      <c r="A4968" s="114"/>
      <c r="B4968" s="950" t="s">
        <v>1129</v>
      </c>
      <c r="C4968" s="172"/>
      <c r="D4968" s="173"/>
      <c r="E4968" s="397">
        <f>C4955*2*C4953</f>
        <v>27.090000000000003</v>
      </c>
      <c r="F4968" s="390" t="s">
        <v>13</v>
      </c>
      <c r="G4968" s="949" t="s">
        <v>1108</v>
      </c>
      <c r="H4968" s="196" t="s">
        <v>1131</v>
      </c>
      <c r="I4968" s="949"/>
      <c r="J4968" s="114"/>
      <c r="AW4968" s="117"/>
      <c r="AX4968" s="117"/>
      <c r="AY4968" s="117"/>
      <c r="AZ4968" s="117"/>
      <c r="BA4968" s="117"/>
      <c r="BB4968" s="117"/>
      <c r="BC4968" s="117"/>
      <c r="BD4968" s="117"/>
    </row>
    <row r="4969" spans="1:56" ht="18">
      <c r="A4969" s="114"/>
      <c r="B4969" s="950" t="s">
        <v>1130</v>
      </c>
      <c r="C4969" s="172"/>
      <c r="D4969" s="173"/>
      <c r="E4969" s="402">
        <f>C4952*C4953*C4955</f>
        <v>2.7090000000000001</v>
      </c>
      <c r="F4969" s="390" t="s">
        <v>1124</v>
      </c>
      <c r="G4969" s="196"/>
      <c r="H4969" s="196"/>
      <c r="I4969" s="196"/>
      <c r="J4969" s="114"/>
      <c r="AW4969" s="117"/>
      <c r="AX4969" s="117"/>
      <c r="AY4969" s="117"/>
      <c r="AZ4969" s="117"/>
      <c r="BA4969" s="117"/>
      <c r="BB4969" s="117"/>
      <c r="BC4969" s="117"/>
      <c r="BD4969" s="117"/>
    </row>
    <row r="4970" spans="1:56" ht="15">
      <c r="A4970" s="114"/>
      <c r="B4970" s="288"/>
      <c r="C4970" s="230"/>
      <c r="D4970" s="230"/>
      <c r="E4970" s="384"/>
      <c r="F4970" s="196"/>
      <c r="G4970" s="196"/>
      <c r="H4970" s="196"/>
      <c r="I4970" s="196"/>
      <c r="J4970" s="114"/>
      <c r="AW4970" s="117"/>
      <c r="AX4970" s="117"/>
      <c r="AY4970" s="117"/>
      <c r="AZ4970" s="117"/>
      <c r="BA4970" s="117"/>
      <c r="BB4970" s="117"/>
      <c r="BC4970" s="117"/>
      <c r="BD4970" s="117"/>
    </row>
    <row r="4971" spans="1:56" ht="15">
      <c r="A4971" s="114"/>
      <c r="B4971" s="293"/>
      <c r="C4971" s="387"/>
      <c r="D4971" s="387"/>
      <c r="E4971" s="387"/>
      <c r="F4971" s="387"/>
      <c r="G4971" s="387"/>
      <c r="H4971" s="386"/>
      <c r="I4971" s="386"/>
      <c r="J4971" s="114"/>
      <c r="AW4971" s="117"/>
      <c r="AX4971" s="117"/>
      <c r="AY4971" s="117"/>
      <c r="AZ4971" s="117"/>
      <c r="BA4971" s="117"/>
      <c r="BB4971" s="117"/>
      <c r="BC4971" s="117"/>
      <c r="BD4971" s="117"/>
    </row>
    <row r="4972" spans="1:56" ht="15">
      <c r="A4972" s="114"/>
      <c r="B4972" s="293"/>
      <c r="C4972" s="387"/>
      <c r="D4972" s="387"/>
      <c r="E4972" s="387"/>
      <c r="F4972" s="387"/>
      <c r="G4972" s="387"/>
      <c r="H4972" s="386"/>
      <c r="I4972" s="386"/>
      <c r="J4972" s="114"/>
      <c r="AW4972" s="117"/>
      <c r="AX4972" s="117"/>
      <c r="AY4972" s="117"/>
      <c r="AZ4972" s="117"/>
      <c r="BA4972" s="117"/>
      <c r="BB4972" s="117"/>
      <c r="BC4972" s="117"/>
      <c r="BD4972" s="117"/>
    </row>
    <row r="4973" spans="1:56">
      <c r="A4973" s="114"/>
      <c r="B4973" s="385" t="s">
        <v>1300</v>
      </c>
      <c r="C4973" s="196"/>
      <c r="D4973" s="196"/>
      <c r="E4973" s="196"/>
      <c r="F4973" s="196"/>
      <c r="G4973" s="196"/>
      <c r="H4973" s="196"/>
      <c r="I4973" s="196"/>
      <c r="J4973" s="114"/>
      <c r="AW4973" s="117"/>
      <c r="AX4973" s="117"/>
      <c r="AY4973" s="117"/>
      <c r="AZ4973" s="117"/>
      <c r="BA4973" s="117"/>
      <c r="BB4973" s="117"/>
      <c r="BC4973" s="117"/>
      <c r="BD4973" s="117"/>
    </row>
    <row r="4974" spans="1:56" ht="15">
      <c r="A4974" s="114"/>
      <c r="B4974" s="196"/>
      <c r="C4974" s="196"/>
      <c r="D4974" s="196"/>
      <c r="E4974" s="196"/>
      <c r="F4974" s="196"/>
      <c r="G4974" s="196"/>
      <c r="H4974" s="196"/>
      <c r="I4974" s="196"/>
      <c r="J4974" s="114"/>
      <c r="AW4974" s="117"/>
      <c r="AX4974" s="117"/>
      <c r="AY4974" s="117"/>
      <c r="AZ4974" s="117"/>
      <c r="BA4974" s="117"/>
      <c r="BB4974" s="117"/>
      <c r="BC4974" s="117"/>
      <c r="BD4974" s="117"/>
    </row>
    <row r="4975" spans="1:56" ht="15">
      <c r="A4975" s="114"/>
      <c r="B4975" s="388" t="s">
        <v>1110</v>
      </c>
      <c r="C4975" s="389">
        <v>0.25</v>
      </c>
      <c r="D4975" s="390" t="s">
        <v>10</v>
      </c>
      <c r="E4975" s="196"/>
      <c r="F4975" s="196"/>
      <c r="G4975" s="392"/>
      <c r="H4975" s="393"/>
      <c r="I4975" s="196"/>
      <c r="J4975" s="114"/>
      <c r="AW4975" s="117"/>
      <c r="AX4975" s="117"/>
      <c r="AY4975" s="117"/>
      <c r="AZ4975" s="117"/>
      <c r="BA4975" s="117"/>
      <c r="BB4975" s="117"/>
      <c r="BC4975" s="117"/>
      <c r="BD4975" s="117"/>
    </row>
    <row r="4976" spans="1:56" ht="15">
      <c r="A4976" s="114"/>
      <c r="B4976" s="388" t="s">
        <v>1111</v>
      </c>
      <c r="C4976" s="391">
        <v>2.33</v>
      </c>
      <c r="D4976" s="390" t="s">
        <v>10</v>
      </c>
      <c r="E4976" s="196"/>
      <c r="F4976" s="908"/>
      <c r="G4976" s="392"/>
      <c r="H4976" s="393"/>
      <c r="I4976" s="196"/>
      <c r="J4976" s="114"/>
      <c r="AW4976" s="117"/>
      <c r="AX4976" s="117"/>
      <c r="AY4976" s="117"/>
      <c r="AZ4976" s="117"/>
      <c r="BA4976" s="117"/>
      <c r="BB4976" s="117"/>
      <c r="BC4976" s="117"/>
      <c r="BD4976" s="117"/>
    </row>
    <row r="4977" spans="1:56" ht="15">
      <c r="A4977" s="114"/>
      <c r="B4977" s="388" t="s">
        <v>1112</v>
      </c>
      <c r="C4977" s="389">
        <v>0.55000000000000004</v>
      </c>
      <c r="D4977" s="390" t="s">
        <v>10</v>
      </c>
      <c r="E4977" s="196"/>
      <c r="F4977" s="196"/>
      <c r="G4977" s="392"/>
      <c r="H4977" s="393"/>
      <c r="I4977" s="196"/>
      <c r="J4977" s="114"/>
      <c r="AW4977" s="117"/>
      <c r="AX4977" s="117"/>
      <c r="AY4977" s="117"/>
      <c r="AZ4977" s="117"/>
      <c r="BA4977" s="117"/>
      <c r="BB4977" s="117"/>
      <c r="BC4977" s="117"/>
      <c r="BD4977" s="117"/>
    </row>
    <row r="4978" spans="1:56" ht="15">
      <c r="A4978" s="114"/>
      <c r="B4978" s="388" t="s">
        <v>1113</v>
      </c>
      <c r="C4978" s="389">
        <v>0.3</v>
      </c>
      <c r="D4978" s="390" t="s">
        <v>10</v>
      </c>
      <c r="E4978" s="196"/>
      <c r="F4978" s="196"/>
      <c r="G4978" s="392"/>
      <c r="H4978" s="394"/>
      <c r="I4978" s="196"/>
      <c r="J4978" s="114"/>
      <c r="AW4978" s="117"/>
      <c r="AX4978" s="117"/>
      <c r="AY4978" s="117"/>
      <c r="AZ4978" s="117"/>
      <c r="BA4978" s="117"/>
      <c r="BB4978" s="117"/>
      <c r="BC4978" s="117"/>
      <c r="BD4978" s="117"/>
    </row>
    <row r="4979" spans="1:56" ht="15">
      <c r="A4979" s="114"/>
      <c r="B4979" s="388" t="s">
        <v>1117</v>
      </c>
      <c r="C4979" s="389">
        <v>1</v>
      </c>
      <c r="D4979" s="390" t="s">
        <v>1118</v>
      </c>
      <c r="E4979" s="196"/>
      <c r="F4979" s="196"/>
      <c r="G4979" s="392"/>
      <c r="H4979" s="393"/>
      <c r="I4979" s="196"/>
      <c r="J4979" s="114"/>
      <c r="AW4979" s="117"/>
      <c r="AX4979" s="117"/>
      <c r="AY4979" s="117"/>
      <c r="AZ4979" s="117"/>
      <c r="BA4979" s="117"/>
      <c r="BB4979" s="117"/>
      <c r="BC4979" s="117"/>
      <c r="BD4979" s="117"/>
    </row>
    <row r="4980" spans="1:56" ht="15">
      <c r="A4980" s="114"/>
      <c r="B4980" s="392"/>
      <c r="C4980" s="393"/>
      <c r="D4980" s="196"/>
      <c r="E4980" s="196"/>
      <c r="F4980" s="196"/>
      <c r="G4980" s="392"/>
      <c r="H4980" s="393"/>
      <c r="I4980" s="196"/>
      <c r="J4980" s="114"/>
      <c r="AW4980" s="117"/>
      <c r="AX4980" s="117"/>
      <c r="AY4980" s="117"/>
      <c r="AZ4980" s="117"/>
      <c r="BA4980" s="117"/>
      <c r="BB4980" s="117"/>
      <c r="BC4980" s="117"/>
      <c r="BD4980" s="117"/>
    </row>
    <row r="4981" spans="1:56" ht="15">
      <c r="A4981" s="114"/>
      <c r="B4981" s="388" t="s">
        <v>1114</v>
      </c>
      <c r="C4981" s="389">
        <v>0.6</v>
      </c>
      <c r="D4981" s="390" t="s">
        <v>10</v>
      </c>
      <c r="E4981" s="288" t="s">
        <v>1120</v>
      </c>
      <c r="F4981" s="288"/>
      <c r="G4981" s="230"/>
      <c r="H4981" s="395"/>
      <c r="I4981" s="196"/>
      <c r="J4981" s="114"/>
      <c r="AW4981" s="117"/>
      <c r="AX4981" s="117"/>
      <c r="AY4981" s="117"/>
      <c r="AZ4981" s="117"/>
      <c r="BA4981" s="117"/>
      <c r="BB4981" s="117"/>
      <c r="BC4981" s="117"/>
      <c r="BD4981" s="117"/>
    </row>
    <row r="4982" spans="1:56" ht="15">
      <c r="A4982" s="114"/>
      <c r="B4982" s="388" t="s">
        <v>1114</v>
      </c>
      <c r="C4982" s="389">
        <v>0.2</v>
      </c>
      <c r="D4982" s="390" t="s">
        <v>10</v>
      </c>
      <c r="E4982" s="288" t="s">
        <v>1121</v>
      </c>
      <c r="F4982" s="288"/>
      <c r="G4982" s="230"/>
      <c r="H4982" s="395"/>
      <c r="I4982" s="196"/>
      <c r="J4982" s="114"/>
      <c r="AW4982" s="117"/>
      <c r="AX4982" s="117"/>
      <c r="AY4982" s="117"/>
      <c r="AZ4982" s="117"/>
      <c r="BA4982" s="117"/>
      <c r="BB4982" s="117"/>
      <c r="BC4982" s="117"/>
      <c r="BD4982" s="117"/>
    </row>
    <row r="4983" spans="1:56" ht="15">
      <c r="A4983" s="114"/>
      <c r="B4983" s="196"/>
      <c r="C4983" s="196"/>
      <c r="D4983" s="196"/>
      <c r="E4983" s="196"/>
      <c r="F4983" s="196"/>
      <c r="G4983" s="196"/>
      <c r="H4983" s="196"/>
      <c r="I4983" s="196"/>
      <c r="J4983" s="114"/>
      <c r="AW4983" s="117"/>
      <c r="AX4983" s="117"/>
      <c r="AY4983" s="117"/>
      <c r="AZ4983" s="117"/>
      <c r="BA4983" s="117"/>
      <c r="BB4983" s="117"/>
      <c r="BC4983" s="117"/>
      <c r="BD4983" s="117"/>
    </row>
    <row r="4984" spans="1:56" ht="15">
      <c r="A4984" s="114"/>
      <c r="B4984" s="303" t="s">
        <v>1122</v>
      </c>
      <c r="C4984" s="362"/>
      <c r="D4984" s="362"/>
      <c r="E4984" s="196"/>
      <c r="F4984" s="196"/>
      <c r="G4984" s="196"/>
      <c r="H4984" s="196"/>
      <c r="I4984" s="196"/>
      <c r="J4984" s="114"/>
      <c r="AW4984" s="117"/>
      <c r="AX4984" s="117"/>
      <c r="AY4984" s="117"/>
      <c r="AZ4984" s="117"/>
      <c r="BA4984" s="117"/>
      <c r="BB4984" s="117"/>
      <c r="BC4984" s="117"/>
      <c r="BD4984" s="117"/>
    </row>
    <row r="4985" spans="1:56" ht="18">
      <c r="A4985" s="114"/>
      <c r="B4985" s="396" t="s">
        <v>1123</v>
      </c>
      <c r="C4985" s="289"/>
      <c r="D4985" s="290"/>
      <c r="E4985" s="397">
        <f>C4979*(C4981*2*(0.05+C4978+C4977)*C4976)</f>
        <v>2.5164000000000004</v>
      </c>
      <c r="F4985" s="390" t="s">
        <v>1124</v>
      </c>
      <c r="G4985" s="196"/>
      <c r="H4985" s="196"/>
      <c r="I4985" s="196"/>
      <c r="J4985" s="114"/>
      <c r="AW4985" s="117"/>
      <c r="AX4985" s="117"/>
      <c r="AY4985" s="117"/>
      <c r="AZ4985" s="117"/>
      <c r="BA4985" s="117"/>
      <c r="BB4985" s="117"/>
      <c r="BC4985" s="117"/>
      <c r="BD4985" s="117"/>
    </row>
    <row r="4986" spans="1:56" ht="18">
      <c r="A4986" s="114"/>
      <c r="B4986" s="398" t="s">
        <v>1125</v>
      </c>
      <c r="C4986" s="172"/>
      <c r="D4986" s="173"/>
      <c r="E4986" s="397">
        <f>E4985-((C4975*0.05+C4975*C4978)*C4976)</f>
        <v>2.3125250000000004</v>
      </c>
      <c r="F4986" s="390" t="s">
        <v>1124</v>
      </c>
      <c r="G4986" s="196"/>
      <c r="H4986" s="196"/>
      <c r="I4986" s="196"/>
      <c r="J4986" s="114"/>
      <c r="AW4986" s="117"/>
      <c r="AX4986" s="117"/>
      <c r="AY4986" s="117"/>
      <c r="AZ4986" s="117"/>
      <c r="BA4986" s="117"/>
      <c r="BB4986" s="117"/>
      <c r="BC4986" s="117"/>
      <c r="BD4986" s="117"/>
    </row>
    <row r="4987" spans="1:56" ht="15">
      <c r="A4987" s="114"/>
      <c r="B4987" s="399" t="s">
        <v>1126</v>
      </c>
      <c r="C4987" s="317"/>
      <c r="D4987" s="318"/>
      <c r="E4987" s="400">
        <f>(2*C4982)*C4976</f>
        <v>0.93200000000000005</v>
      </c>
      <c r="F4987" s="390" t="s">
        <v>13</v>
      </c>
      <c r="G4987" s="196"/>
      <c r="H4987" s="196"/>
      <c r="I4987" s="196"/>
      <c r="J4987" s="114"/>
      <c r="AW4987" s="117"/>
      <c r="AX4987" s="117"/>
      <c r="AY4987" s="117"/>
      <c r="AZ4987" s="117"/>
      <c r="BA4987" s="117"/>
      <c r="BB4987" s="117"/>
      <c r="BC4987" s="117"/>
      <c r="BD4987" s="117"/>
    </row>
    <row r="4988" spans="1:56" ht="15">
      <c r="A4988" s="114"/>
      <c r="B4988" s="196"/>
      <c r="C4988" s="196"/>
      <c r="D4988" s="196"/>
      <c r="E4988" s="401"/>
      <c r="F4988" s="196"/>
      <c r="G4988" s="196"/>
      <c r="H4988" s="196"/>
      <c r="I4988" s="196"/>
      <c r="J4988" s="114"/>
      <c r="AW4988" s="117"/>
      <c r="AX4988" s="117"/>
      <c r="AY4988" s="117"/>
      <c r="AZ4988" s="117"/>
      <c r="BA4988" s="117"/>
      <c r="BB4988" s="117"/>
      <c r="BC4988" s="117"/>
      <c r="BD4988" s="117"/>
    </row>
    <row r="4989" spans="1:56" ht="15">
      <c r="A4989" s="114"/>
      <c r="B4989" s="303" t="s">
        <v>1127</v>
      </c>
      <c r="C4989" s="196"/>
      <c r="D4989" s="196"/>
      <c r="E4989" s="401"/>
      <c r="F4989" s="196"/>
      <c r="G4989" s="196"/>
      <c r="H4989" s="196"/>
      <c r="I4989" s="196"/>
      <c r="J4989" s="114"/>
      <c r="AW4989" s="117"/>
      <c r="AX4989" s="117"/>
      <c r="AY4989" s="117"/>
      <c r="AZ4989" s="117"/>
      <c r="BA4989" s="117"/>
      <c r="BB4989" s="117"/>
      <c r="BC4989" s="117"/>
      <c r="BD4989" s="117"/>
    </row>
    <row r="4990" spans="1:56" ht="18">
      <c r="A4990" s="114"/>
      <c r="B4990" s="398" t="s">
        <v>1128</v>
      </c>
      <c r="C4990" s="172"/>
      <c r="D4990" s="173"/>
      <c r="E4990" s="402">
        <f>E4987*0.05</f>
        <v>4.6600000000000003E-2</v>
      </c>
      <c r="F4990" s="390" t="s">
        <v>1124</v>
      </c>
      <c r="G4990" s="196"/>
      <c r="H4990" s="196"/>
      <c r="I4990" s="196"/>
      <c r="J4990" s="114"/>
      <c r="AW4990" s="117"/>
      <c r="AX4990" s="117"/>
      <c r="AY4990" s="117"/>
      <c r="AZ4990" s="117"/>
      <c r="BA4990" s="117"/>
      <c r="BB4990" s="117"/>
      <c r="BC4990" s="117"/>
      <c r="BD4990" s="117"/>
    </row>
    <row r="4991" spans="1:56" ht="15">
      <c r="A4991" s="114"/>
      <c r="B4991" s="398" t="s">
        <v>1129</v>
      </c>
      <c r="C4991" s="172"/>
      <c r="D4991" s="173"/>
      <c r="E4991" s="397">
        <f>C4978*2*C4976</f>
        <v>1.3979999999999999</v>
      </c>
      <c r="F4991" s="390" t="s">
        <v>13</v>
      </c>
      <c r="G4991" s="393" t="s">
        <v>1108</v>
      </c>
      <c r="H4991" s="196" t="s">
        <v>1131</v>
      </c>
      <c r="I4991" s="393"/>
      <c r="J4991" s="114"/>
      <c r="AW4991" s="117"/>
      <c r="AX4991" s="117"/>
      <c r="AY4991" s="117"/>
      <c r="AZ4991" s="117"/>
      <c r="BA4991" s="117"/>
      <c r="BB4991" s="117"/>
      <c r="BC4991" s="117"/>
      <c r="BD4991" s="117"/>
    </row>
    <row r="4992" spans="1:56" ht="18">
      <c r="A4992" s="114"/>
      <c r="B4992" s="398" t="s">
        <v>1130</v>
      </c>
      <c r="C4992" s="172"/>
      <c r="D4992" s="173"/>
      <c r="E4992" s="402">
        <f>C4975*C4976*C4978</f>
        <v>0.17474999999999999</v>
      </c>
      <c r="F4992" s="390" t="s">
        <v>1124</v>
      </c>
      <c r="G4992" s="196"/>
      <c r="H4992" s="196"/>
      <c r="I4992" s="196"/>
      <c r="J4992" s="114"/>
      <c r="AW4992" s="117"/>
      <c r="AX4992" s="117"/>
      <c r="AY4992" s="117"/>
      <c r="AZ4992" s="117"/>
      <c r="BA4992" s="117"/>
      <c r="BB4992" s="117"/>
      <c r="BC4992" s="117"/>
      <c r="BD4992" s="117"/>
    </row>
    <row r="4993" spans="1:56" ht="15">
      <c r="A4993" s="114"/>
      <c r="B4993" s="288"/>
      <c r="C4993" s="230"/>
      <c r="D4993" s="230"/>
      <c r="E4993" s="384"/>
      <c r="F4993" s="196"/>
      <c r="G4993" s="196"/>
      <c r="H4993" s="196"/>
      <c r="I4993" s="196"/>
      <c r="J4993" s="114"/>
      <c r="AW4993" s="117"/>
      <c r="AX4993" s="117"/>
      <c r="AY4993" s="117"/>
      <c r="AZ4993" s="117"/>
      <c r="BA4993" s="117"/>
      <c r="BB4993" s="117"/>
      <c r="BC4993" s="117"/>
      <c r="BD4993" s="117"/>
    </row>
    <row r="4994" spans="1:56" ht="15">
      <c r="A4994" s="114"/>
      <c r="B4994" s="293"/>
      <c r="C4994" s="387"/>
      <c r="D4994" s="387"/>
      <c r="E4994" s="387"/>
      <c r="F4994" s="387"/>
      <c r="G4994" s="387"/>
      <c r="H4994" s="386"/>
      <c r="I4994" s="386"/>
      <c r="J4994" s="114"/>
      <c r="AW4994" s="117"/>
      <c r="AX4994" s="117"/>
      <c r="AY4994" s="117"/>
      <c r="AZ4994" s="117"/>
      <c r="BA4994" s="117"/>
      <c r="BB4994" s="117"/>
      <c r="BC4994" s="117"/>
      <c r="BD4994" s="117"/>
    </row>
    <row r="4995" spans="1:56" ht="15">
      <c r="A4995" s="114"/>
      <c r="B4995" s="293"/>
      <c r="C4995" s="387"/>
      <c r="D4995" s="387"/>
      <c r="E4995" s="387"/>
      <c r="F4995" s="387"/>
      <c r="G4995" s="387"/>
      <c r="H4995" s="386"/>
      <c r="I4995" s="386"/>
      <c r="J4995" s="114"/>
      <c r="AW4995" s="117"/>
      <c r="AX4995" s="117"/>
      <c r="AY4995" s="117"/>
      <c r="AZ4995" s="117"/>
      <c r="BA4995" s="117"/>
      <c r="BB4995" s="117"/>
      <c r="BC4995" s="117"/>
      <c r="BD4995" s="117"/>
    </row>
    <row r="4996" spans="1:56">
      <c r="A4996" s="114"/>
      <c r="B4996" s="385" t="s">
        <v>1301</v>
      </c>
      <c r="C4996" s="196"/>
      <c r="D4996" s="196"/>
      <c r="E4996" s="196"/>
      <c r="F4996" s="196"/>
      <c r="G4996" s="196"/>
      <c r="H4996" s="196"/>
      <c r="I4996" s="196"/>
      <c r="J4996" s="114"/>
      <c r="AW4996" s="117"/>
      <c r="AX4996" s="117"/>
      <c r="AY4996" s="117"/>
      <c r="AZ4996" s="117"/>
      <c r="BA4996" s="117"/>
      <c r="BB4996" s="117"/>
      <c r="BC4996" s="117"/>
      <c r="BD4996" s="117"/>
    </row>
    <row r="4997" spans="1:56" ht="15">
      <c r="A4997" s="114"/>
      <c r="B4997" s="196"/>
      <c r="C4997" s="196"/>
      <c r="D4997" s="196"/>
      <c r="E4997" s="196"/>
      <c r="F4997" s="196"/>
      <c r="G4997" s="196"/>
      <c r="H4997" s="196"/>
      <c r="I4997" s="196"/>
      <c r="J4997" s="114"/>
      <c r="AW4997" s="117"/>
      <c r="AX4997" s="117"/>
      <c r="AY4997" s="117"/>
      <c r="AZ4997" s="117"/>
      <c r="BA4997" s="117"/>
      <c r="BB4997" s="117"/>
      <c r="BC4997" s="117"/>
      <c r="BD4997" s="117"/>
    </row>
    <row r="4998" spans="1:56" ht="15">
      <c r="A4998" s="114"/>
      <c r="B4998" s="388" t="s">
        <v>1110</v>
      </c>
      <c r="C4998" s="389">
        <v>0.25</v>
      </c>
      <c r="D4998" s="390" t="s">
        <v>10</v>
      </c>
      <c r="E4998" s="196"/>
      <c r="F4998" s="196"/>
      <c r="G4998" s="392"/>
      <c r="H4998" s="393"/>
      <c r="I4998" s="196"/>
      <c r="J4998" s="114"/>
      <c r="AW4998" s="117"/>
      <c r="AX4998" s="117"/>
      <c r="AY4998" s="117"/>
      <c r="AZ4998" s="117"/>
      <c r="BA4998" s="117"/>
      <c r="BB4998" s="117"/>
      <c r="BC4998" s="117"/>
      <c r="BD4998" s="117"/>
    </row>
    <row r="4999" spans="1:56" ht="15">
      <c r="A4999" s="114"/>
      <c r="B4999" s="388" t="s">
        <v>1111</v>
      </c>
      <c r="C4999" s="391">
        <f>3.1+2.45</f>
        <v>5.5500000000000007</v>
      </c>
      <c r="D4999" s="390" t="s">
        <v>10</v>
      </c>
      <c r="E4999" s="196"/>
      <c r="F4999" s="908"/>
      <c r="G4999" s="392"/>
      <c r="H4999" s="393"/>
      <c r="I4999" s="196"/>
      <c r="J4999" s="114"/>
      <c r="AW4999" s="117"/>
      <c r="AX4999" s="117"/>
      <c r="AY4999" s="117"/>
      <c r="AZ4999" s="117"/>
      <c r="BA4999" s="117"/>
      <c r="BB4999" s="117"/>
      <c r="BC4999" s="117"/>
      <c r="BD4999" s="117"/>
    </row>
    <row r="5000" spans="1:56" ht="15">
      <c r="A5000" s="114"/>
      <c r="B5000" s="388" t="s">
        <v>1112</v>
      </c>
      <c r="C5000" s="389">
        <v>0.55000000000000004</v>
      </c>
      <c r="D5000" s="390" t="s">
        <v>10</v>
      </c>
      <c r="E5000" s="196"/>
      <c r="F5000" s="196"/>
      <c r="G5000" s="392"/>
      <c r="H5000" s="393"/>
      <c r="I5000" s="196"/>
      <c r="J5000" s="114"/>
      <c r="AW5000" s="117"/>
      <c r="AX5000" s="117"/>
      <c r="AY5000" s="117"/>
      <c r="AZ5000" s="117"/>
      <c r="BA5000" s="117"/>
      <c r="BB5000" s="117"/>
      <c r="BC5000" s="117"/>
      <c r="BD5000" s="117"/>
    </row>
    <row r="5001" spans="1:56" ht="15">
      <c r="A5001" s="114"/>
      <c r="B5001" s="388" t="s">
        <v>1113</v>
      </c>
      <c r="C5001" s="389">
        <v>0.4</v>
      </c>
      <c r="D5001" s="390" t="s">
        <v>10</v>
      </c>
      <c r="E5001" s="196"/>
      <c r="F5001" s="196"/>
      <c r="G5001" s="392"/>
      <c r="H5001" s="394"/>
      <c r="I5001" s="196"/>
      <c r="J5001" s="114"/>
      <c r="AW5001" s="117"/>
      <c r="AX5001" s="117"/>
      <c r="AY5001" s="117"/>
      <c r="AZ5001" s="117"/>
      <c r="BA5001" s="117"/>
      <c r="BB5001" s="117"/>
      <c r="BC5001" s="117"/>
      <c r="BD5001" s="117"/>
    </row>
    <row r="5002" spans="1:56" ht="15">
      <c r="A5002" s="114"/>
      <c r="B5002" s="388" t="s">
        <v>1117</v>
      </c>
      <c r="C5002" s="389">
        <v>1</v>
      </c>
      <c r="D5002" s="390" t="s">
        <v>1118</v>
      </c>
      <c r="E5002" s="196"/>
      <c r="F5002" s="196"/>
      <c r="G5002" s="392"/>
      <c r="H5002" s="393"/>
      <c r="I5002" s="196"/>
      <c r="J5002" s="114"/>
      <c r="AW5002" s="117"/>
      <c r="AX5002" s="117"/>
      <c r="AY5002" s="117"/>
      <c r="AZ5002" s="117"/>
      <c r="BA5002" s="117"/>
      <c r="BB5002" s="117"/>
      <c r="BC5002" s="117"/>
      <c r="BD5002" s="117"/>
    </row>
    <row r="5003" spans="1:56" ht="15">
      <c r="A5003" s="114"/>
      <c r="B5003" s="392"/>
      <c r="C5003" s="393"/>
      <c r="D5003" s="196"/>
      <c r="E5003" s="196"/>
      <c r="F5003" s="196"/>
      <c r="G5003" s="392"/>
      <c r="H5003" s="393"/>
      <c r="I5003" s="196"/>
      <c r="J5003" s="114"/>
      <c r="AW5003" s="117"/>
      <c r="AX5003" s="117"/>
      <c r="AY5003" s="117"/>
      <c r="AZ5003" s="117"/>
      <c r="BA5003" s="117"/>
      <c r="BB5003" s="117"/>
      <c r="BC5003" s="117"/>
      <c r="BD5003" s="117"/>
    </row>
    <row r="5004" spans="1:56" ht="15">
      <c r="A5004" s="114"/>
      <c r="B5004" s="388" t="s">
        <v>1114</v>
      </c>
      <c r="C5004" s="389">
        <v>0.6</v>
      </c>
      <c r="D5004" s="390" t="s">
        <v>10</v>
      </c>
      <c r="E5004" s="288" t="s">
        <v>1120</v>
      </c>
      <c r="F5004" s="288"/>
      <c r="G5004" s="230"/>
      <c r="H5004" s="395"/>
      <c r="I5004" s="196"/>
      <c r="J5004" s="114"/>
      <c r="AW5004" s="117"/>
      <c r="AX5004" s="117"/>
      <c r="AY5004" s="117"/>
      <c r="AZ5004" s="117"/>
      <c r="BA5004" s="117"/>
      <c r="BB5004" s="117"/>
      <c r="BC5004" s="117"/>
      <c r="BD5004" s="117"/>
    </row>
    <row r="5005" spans="1:56" ht="15">
      <c r="A5005" s="114"/>
      <c r="B5005" s="388" t="s">
        <v>1114</v>
      </c>
      <c r="C5005" s="389">
        <v>0.2</v>
      </c>
      <c r="D5005" s="390" t="s">
        <v>10</v>
      </c>
      <c r="E5005" s="288" t="s">
        <v>1121</v>
      </c>
      <c r="F5005" s="288"/>
      <c r="G5005" s="230"/>
      <c r="H5005" s="395"/>
      <c r="I5005" s="196"/>
      <c r="J5005" s="114"/>
      <c r="AW5005" s="117"/>
      <c r="AX5005" s="117"/>
      <c r="AY5005" s="117"/>
      <c r="AZ5005" s="117"/>
      <c r="BA5005" s="117"/>
      <c r="BB5005" s="117"/>
      <c r="BC5005" s="117"/>
      <c r="BD5005" s="117"/>
    </row>
    <row r="5006" spans="1:56" ht="15">
      <c r="A5006" s="114"/>
      <c r="B5006" s="196"/>
      <c r="C5006" s="196"/>
      <c r="D5006" s="196"/>
      <c r="E5006" s="196"/>
      <c r="F5006" s="196"/>
      <c r="G5006" s="196"/>
      <c r="H5006" s="196"/>
      <c r="I5006" s="196"/>
      <c r="J5006" s="114"/>
      <c r="AW5006" s="117"/>
      <c r="AX5006" s="117"/>
      <c r="AY5006" s="117"/>
      <c r="AZ5006" s="117"/>
      <c r="BA5006" s="117"/>
      <c r="BB5006" s="117"/>
      <c r="BC5006" s="117"/>
      <c r="BD5006" s="117"/>
    </row>
    <row r="5007" spans="1:56" ht="15">
      <c r="A5007" s="114"/>
      <c r="B5007" s="303" t="s">
        <v>1122</v>
      </c>
      <c r="C5007" s="362"/>
      <c r="D5007" s="362"/>
      <c r="E5007" s="196"/>
      <c r="F5007" s="196"/>
      <c r="G5007" s="196"/>
      <c r="H5007" s="196"/>
      <c r="I5007" s="196"/>
      <c r="J5007" s="114"/>
      <c r="AW5007" s="117"/>
      <c r="AX5007" s="117"/>
      <c r="AY5007" s="117"/>
      <c r="AZ5007" s="117"/>
      <c r="BA5007" s="117"/>
      <c r="BB5007" s="117"/>
      <c r="BC5007" s="117"/>
      <c r="BD5007" s="117"/>
    </row>
    <row r="5008" spans="1:56" ht="18">
      <c r="A5008" s="114"/>
      <c r="B5008" s="396" t="s">
        <v>1123</v>
      </c>
      <c r="C5008" s="289"/>
      <c r="D5008" s="290"/>
      <c r="E5008" s="397">
        <f>C5002*(C5004*2*(0.05+C5001+C5000)*C4999)</f>
        <v>6.660000000000001</v>
      </c>
      <c r="F5008" s="390" t="s">
        <v>1124</v>
      </c>
      <c r="G5008" s="196"/>
      <c r="H5008" s="196"/>
      <c r="I5008" s="196"/>
      <c r="J5008" s="114"/>
      <c r="AW5008" s="117"/>
      <c r="AX5008" s="117"/>
      <c r="AY5008" s="117"/>
      <c r="AZ5008" s="117"/>
      <c r="BA5008" s="117"/>
      <c r="BB5008" s="117"/>
      <c r="BC5008" s="117"/>
      <c r="BD5008" s="117"/>
    </row>
    <row r="5009" spans="1:56" ht="18">
      <c r="A5009" s="114"/>
      <c r="B5009" s="398" t="s">
        <v>1125</v>
      </c>
      <c r="C5009" s="172"/>
      <c r="D5009" s="173"/>
      <c r="E5009" s="397">
        <f>E5008-((C4998*0.05+C4998*C5001)*C4999)</f>
        <v>6.0356250000000014</v>
      </c>
      <c r="F5009" s="390" t="s">
        <v>1124</v>
      </c>
      <c r="G5009" s="196"/>
      <c r="H5009" s="196"/>
      <c r="I5009" s="196"/>
      <c r="J5009" s="114"/>
      <c r="AW5009" s="117"/>
      <c r="AX5009" s="117"/>
      <c r="AY5009" s="117"/>
      <c r="AZ5009" s="117"/>
      <c r="BA5009" s="117"/>
      <c r="BB5009" s="117"/>
      <c r="BC5009" s="117"/>
      <c r="BD5009" s="117"/>
    </row>
    <row r="5010" spans="1:56" ht="15">
      <c r="A5010" s="114"/>
      <c r="B5010" s="399" t="s">
        <v>1126</v>
      </c>
      <c r="C5010" s="317"/>
      <c r="D5010" s="318"/>
      <c r="E5010" s="400">
        <f>(2*C5005)*C4999</f>
        <v>2.2200000000000002</v>
      </c>
      <c r="F5010" s="390" t="s">
        <v>13</v>
      </c>
      <c r="G5010" s="196"/>
      <c r="H5010" s="196"/>
      <c r="I5010" s="196"/>
      <c r="J5010" s="114"/>
      <c r="AW5010" s="117"/>
      <c r="AX5010" s="117"/>
      <c r="AY5010" s="117"/>
      <c r="AZ5010" s="117"/>
      <c r="BA5010" s="117"/>
      <c r="BB5010" s="117"/>
      <c r="BC5010" s="117"/>
      <c r="BD5010" s="117"/>
    </row>
    <row r="5011" spans="1:56" ht="15">
      <c r="A5011" s="114"/>
      <c r="B5011" s="196"/>
      <c r="C5011" s="196"/>
      <c r="D5011" s="196"/>
      <c r="E5011" s="401"/>
      <c r="F5011" s="196"/>
      <c r="G5011" s="196"/>
      <c r="H5011" s="196"/>
      <c r="I5011" s="196"/>
      <c r="J5011" s="114"/>
      <c r="AW5011" s="117"/>
      <c r="AX5011" s="117"/>
      <c r="AY5011" s="117"/>
      <c r="AZ5011" s="117"/>
      <c r="BA5011" s="117"/>
      <c r="BB5011" s="117"/>
      <c r="BC5011" s="117"/>
      <c r="BD5011" s="117"/>
    </row>
    <row r="5012" spans="1:56" ht="15">
      <c r="A5012" s="114"/>
      <c r="B5012" s="303" t="s">
        <v>1127</v>
      </c>
      <c r="C5012" s="196"/>
      <c r="D5012" s="196"/>
      <c r="E5012" s="401"/>
      <c r="F5012" s="196"/>
      <c r="G5012" s="196"/>
      <c r="H5012" s="196"/>
      <c r="I5012" s="196"/>
      <c r="J5012" s="114"/>
      <c r="AW5012" s="117"/>
      <c r="AX5012" s="117"/>
      <c r="AY5012" s="117"/>
      <c r="AZ5012" s="117"/>
      <c r="BA5012" s="117"/>
      <c r="BB5012" s="117"/>
      <c r="BC5012" s="117"/>
      <c r="BD5012" s="117"/>
    </row>
    <row r="5013" spans="1:56" ht="18">
      <c r="A5013" s="114"/>
      <c r="B5013" s="398" t="s">
        <v>1128</v>
      </c>
      <c r="C5013" s="172"/>
      <c r="D5013" s="173"/>
      <c r="E5013" s="402">
        <f>E5010*0.05</f>
        <v>0.11100000000000002</v>
      </c>
      <c r="F5013" s="390" t="s">
        <v>1124</v>
      </c>
      <c r="G5013" s="196"/>
      <c r="H5013" s="196"/>
      <c r="I5013" s="196"/>
      <c r="J5013" s="114"/>
      <c r="AW5013" s="117"/>
      <c r="AX5013" s="117"/>
      <c r="AY5013" s="117"/>
      <c r="AZ5013" s="117"/>
      <c r="BA5013" s="117"/>
      <c r="BB5013" s="117"/>
      <c r="BC5013" s="117"/>
      <c r="BD5013" s="117"/>
    </row>
    <row r="5014" spans="1:56" ht="15">
      <c r="A5014" s="114"/>
      <c r="B5014" s="398" t="s">
        <v>1129</v>
      </c>
      <c r="C5014" s="172"/>
      <c r="D5014" s="173"/>
      <c r="E5014" s="397">
        <f>C5001*2*C4999</f>
        <v>4.4400000000000004</v>
      </c>
      <c r="F5014" s="390" t="s">
        <v>13</v>
      </c>
      <c r="G5014" s="393" t="s">
        <v>1108</v>
      </c>
      <c r="H5014" s="196" t="s">
        <v>1131</v>
      </c>
      <c r="I5014" s="393"/>
      <c r="J5014" s="114"/>
      <c r="AW5014" s="117"/>
      <c r="AX5014" s="117"/>
      <c r="AY5014" s="117"/>
      <c r="AZ5014" s="117"/>
      <c r="BA5014" s="117"/>
      <c r="BB5014" s="117"/>
      <c r="BC5014" s="117"/>
      <c r="BD5014" s="117"/>
    </row>
    <row r="5015" spans="1:56" ht="18">
      <c r="A5015" s="114"/>
      <c r="B5015" s="398" t="s">
        <v>1130</v>
      </c>
      <c r="C5015" s="172"/>
      <c r="D5015" s="173"/>
      <c r="E5015" s="402">
        <f>C4998*C4999*C5001</f>
        <v>0.55500000000000005</v>
      </c>
      <c r="F5015" s="390" t="s">
        <v>1124</v>
      </c>
      <c r="G5015" s="196"/>
      <c r="H5015" s="196"/>
      <c r="I5015" s="196"/>
      <c r="J5015" s="114"/>
      <c r="AW5015" s="117"/>
      <c r="AX5015" s="117"/>
      <c r="AY5015" s="117"/>
      <c r="AZ5015" s="117"/>
      <c r="BA5015" s="117"/>
      <c r="BB5015" s="117"/>
      <c r="BC5015" s="117"/>
      <c r="BD5015" s="117"/>
    </row>
    <row r="5016" spans="1:56" ht="15">
      <c r="A5016" s="114"/>
      <c r="B5016" s="288"/>
      <c r="C5016" s="230"/>
      <c r="D5016" s="230"/>
      <c r="E5016" s="384"/>
      <c r="F5016" s="196"/>
      <c r="G5016" s="196"/>
      <c r="H5016" s="196"/>
      <c r="I5016" s="196"/>
      <c r="J5016" s="114"/>
      <c r="AW5016" s="117"/>
      <c r="AX5016" s="117"/>
      <c r="AY5016" s="117"/>
      <c r="AZ5016" s="117"/>
      <c r="BA5016" s="117"/>
      <c r="BB5016" s="117"/>
      <c r="BC5016" s="117"/>
      <c r="BD5016" s="117"/>
    </row>
    <row r="5017" spans="1:56" ht="15">
      <c r="A5017" s="114"/>
      <c r="B5017" s="293"/>
      <c r="C5017" s="387"/>
      <c r="D5017" s="387"/>
      <c r="E5017" s="387"/>
      <c r="F5017" s="387"/>
      <c r="G5017" s="387"/>
      <c r="H5017" s="386"/>
      <c r="I5017" s="386"/>
      <c r="J5017" s="114"/>
      <c r="AW5017" s="117"/>
      <c r="AX5017" s="117"/>
      <c r="AY5017" s="117"/>
      <c r="AZ5017" s="117"/>
      <c r="BA5017" s="117"/>
      <c r="BB5017" s="117"/>
      <c r="BC5017" s="117"/>
      <c r="BD5017" s="117"/>
    </row>
    <row r="5018" spans="1:56" ht="15">
      <c r="A5018" s="114"/>
      <c r="B5018" s="293"/>
      <c r="C5018" s="387"/>
      <c r="D5018" s="387"/>
      <c r="E5018" s="387"/>
      <c r="F5018" s="387"/>
      <c r="G5018" s="387"/>
      <c r="H5018" s="386"/>
      <c r="I5018" s="386"/>
      <c r="J5018" s="114"/>
      <c r="AW5018" s="117"/>
      <c r="AX5018" s="117"/>
      <c r="AY5018" s="117"/>
      <c r="AZ5018" s="117"/>
      <c r="BA5018" s="117"/>
      <c r="BB5018" s="117"/>
      <c r="BC5018" s="117"/>
      <c r="BD5018" s="117"/>
    </row>
    <row r="5019" spans="1:56">
      <c r="A5019" s="114"/>
      <c r="B5019" s="385" t="s">
        <v>1302</v>
      </c>
      <c r="C5019" s="196"/>
      <c r="D5019" s="196"/>
      <c r="E5019" s="196"/>
      <c r="F5019" s="196"/>
      <c r="G5019" s="196"/>
      <c r="H5019" s="196"/>
      <c r="I5019" s="196"/>
      <c r="J5019" s="114"/>
      <c r="AW5019" s="117"/>
      <c r="AX5019" s="117"/>
      <c r="AY5019" s="117"/>
      <c r="AZ5019" s="117"/>
      <c r="BA5019" s="117"/>
      <c r="BB5019" s="117"/>
      <c r="BC5019" s="117"/>
      <c r="BD5019" s="117"/>
    </row>
    <row r="5020" spans="1:56" ht="15">
      <c r="A5020" s="114"/>
      <c r="B5020" s="196"/>
      <c r="C5020" s="196"/>
      <c r="D5020" s="196"/>
      <c r="E5020" s="196"/>
      <c r="F5020" s="196"/>
      <c r="G5020" s="196"/>
      <c r="H5020" s="196"/>
      <c r="I5020" s="196"/>
      <c r="J5020" s="114"/>
      <c r="AW5020" s="117"/>
      <c r="AX5020" s="117"/>
      <c r="AY5020" s="117"/>
      <c r="AZ5020" s="117"/>
      <c r="BA5020" s="117"/>
      <c r="BB5020" s="117"/>
      <c r="BC5020" s="117"/>
      <c r="BD5020" s="117"/>
    </row>
    <row r="5021" spans="1:56" ht="15">
      <c r="A5021" s="114"/>
      <c r="B5021" s="388" t="s">
        <v>1110</v>
      </c>
      <c r="C5021" s="389">
        <v>0.25</v>
      </c>
      <c r="D5021" s="390" t="s">
        <v>10</v>
      </c>
      <c r="E5021" s="196"/>
      <c r="F5021" s="196"/>
      <c r="G5021" s="392"/>
      <c r="H5021" s="393"/>
      <c r="I5021" s="196"/>
      <c r="J5021" s="114"/>
      <c r="AW5021" s="117"/>
      <c r="AX5021" s="117"/>
      <c r="AY5021" s="117"/>
      <c r="AZ5021" s="117"/>
      <c r="BA5021" s="117"/>
      <c r="BB5021" s="117"/>
      <c r="BC5021" s="117"/>
      <c r="BD5021" s="117"/>
    </row>
    <row r="5022" spans="1:56" ht="15">
      <c r="A5022" s="114"/>
      <c r="B5022" s="388" t="s">
        <v>1111</v>
      </c>
      <c r="C5022" s="391">
        <f>3.375+1.125+2.3+1.35</f>
        <v>8.15</v>
      </c>
      <c r="D5022" s="390" t="s">
        <v>10</v>
      </c>
      <c r="E5022" s="196"/>
      <c r="F5022" s="908"/>
      <c r="G5022" s="392"/>
      <c r="H5022" s="393"/>
      <c r="I5022" s="196"/>
      <c r="J5022" s="114"/>
      <c r="AW5022" s="117"/>
      <c r="AX5022" s="117"/>
      <c r="AY5022" s="117"/>
      <c r="AZ5022" s="117"/>
      <c r="BA5022" s="117"/>
      <c r="BB5022" s="117"/>
      <c r="BC5022" s="117"/>
      <c r="BD5022" s="117"/>
    </row>
    <row r="5023" spans="1:56" ht="15">
      <c r="A5023" s="114"/>
      <c r="B5023" s="388" t="s">
        <v>1112</v>
      </c>
      <c r="C5023" s="389">
        <v>0.55000000000000004</v>
      </c>
      <c r="D5023" s="390" t="s">
        <v>10</v>
      </c>
      <c r="E5023" s="196"/>
      <c r="F5023" s="196"/>
      <c r="G5023" s="392"/>
      <c r="H5023" s="393"/>
      <c r="I5023" s="196"/>
      <c r="J5023" s="114"/>
      <c r="AW5023" s="117"/>
      <c r="AX5023" s="117"/>
      <c r="AY5023" s="117"/>
      <c r="AZ5023" s="117"/>
      <c r="BA5023" s="117"/>
      <c r="BB5023" s="117"/>
      <c r="BC5023" s="117"/>
      <c r="BD5023" s="117"/>
    </row>
    <row r="5024" spans="1:56" ht="15">
      <c r="A5024" s="114"/>
      <c r="B5024" s="388" t="s">
        <v>1113</v>
      </c>
      <c r="C5024" s="389">
        <v>0.5</v>
      </c>
      <c r="D5024" s="390" t="s">
        <v>10</v>
      </c>
      <c r="E5024" s="196"/>
      <c r="F5024" s="196"/>
      <c r="G5024" s="392"/>
      <c r="H5024" s="394"/>
      <c r="I5024" s="196"/>
      <c r="J5024" s="114"/>
      <c r="AW5024" s="117"/>
      <c r="AX5024" s="117"/>
      <c r="AY5024" s="117"/>
      <c r="AZ5024" s="117"/>
      <c r="BA5024" s="117"/>
      <c r="BB5024" s="117"/>
      <c r="BC5024" s="117"/>
      <c r="BD5024" s="117"/>
    </row>
    <row r="5025" spans="1:56" ht="15">
      <c r="A5025" s="114"/>
      <c r="B5025" s="388" t="s">
        <v>1117</v>
      </c>
      <c r="C5025" s="389">
        <v>1</v>
      </c>
      <c r="D5025" s="390" t="s">
        <v>1118</v>
      </c>
      <c r="E5025" s="196"/>
      <c r="F5025" s="196"/>
      <c r="G5025" s="392"/>
      <c r="H5025" s="393"/>
      <c r="I5025" s="196"/>
      <c r="J5025" s="114"/>
      <c r="AW5025" s="117"/>
      <c r="AX5025" s="117"/>
      <c r="AY5025" s="117"/>
      <c r="AZ5025" s="117"/>
      <c r="BA5025" s="117"/>
      <c r="BB5025" s="117"/>
      <c r="BC5025" s="117"/>
      <c r="BD5025" s="117"/>
    </row>
    <row r="5026" spans="1:56" ht="15">
      <c r="A5026" s="114"/>
      <c r="B5026" s="392"/>
      <c r="C5026" s="393"/>
      <c r="D5026" s="196"/>
      <c r="E5026" s="196"/>
      <c r="F5026" s="196"/>
      <c r="G5026" s="392"/>
      <c r="H5026" s="393"/>
      <c r="I5026" s="196"/>
      <c r="J5026" s="114"/>
      <c r="AW5026" s="117"/>
      <c r="AX5026" s="117"/>
      <c r="AY5026" s="117"/>
      <c r="AZ5026" s="117"/>
      <c r="BA5026" s="117"/>
      <c r="BB5026" s="117"/>
      <c r="BC5026" s="117"/>
      <c r="BD5026" s="117"/>
    </row>
    <row r="5027" spans="1:56" ht="15">
      <c r="A5027" s="114"/>
      <c r="B5027" s="388" t="s">
        <v>1114</v>
      </c>
      <c r="C5027" s="389">
        <v>0.6</v>
      </c>
      <c r="D5027" s="390" t="s">
        <v>10</v>
      </c>
      <c r="E5027" s="288" t="s">
        <v>1120</v>
      </c>
      <c r="F5027" s="288"/>
      <c r="G5027" s="230"/>
      <c r="H5027" s="395"/>
      <c r="I5027" s="196"/>
      <c r="J5027" s="114"/>
      <c r="AW5027" s="117"/>
      <c r="AX5027" s="117"/>
      <c r="AY5027" s="117"/>
      <c r="AZ5027" s="117"/>
      <c r="BA5027" s="117"/>
      <c r="BB5027" s="117"/>
      <c r="BC5027" s="117"/>
      <c r="BD5027" s="117"/>
    </row>
    <row r="5028" spans="1:56" ht="15">
      <c r="A5028" s="114"/>
      <c r="B5028" s="388" t="s">
        <v>1114</v>
      </c>
      <c r="C5028" s="389">
        <v>0.2</v>
      </c>
      <c r="D5028" s="390" t="s">
        <v>10</v>
      </c>
      <c r="E5028" s="288" t="s">
        <v>1121</v>
      </c>
      <c r="F5028" s="288"/>
      <c r="G5028" s="230"/>
      <c r="H5028" s="395"/>
      <c r="I5028" s="196"/>
      <c r="J5028" s="114"/>
      <c r="AW5028" s="117"/>
      <c r="AX5028" s="117"/>
      <c r="AY5028" s="117"/>
      <c r="AZ5028" s="117"/>
      <c r="BA5028" s="117"/>
      <c r="BB5028" s="117"/>
      <c r="BC5028" s="117"/>
      <c r="BD5028" s="117"/>
    </row>
    <row r="5029" spans="1:56" ht="15">
      <c r="A5029" s="114"/>
      <c r="B5029" s="196"/>
      <c r="C5029" s="196"/>
      <c r="D5029" s="196"/>
      <c r="E5029" s="196"/>
      <c r="F5029" s="196"/>
      <c r="G5029" s="196"/>
      <c r="H5029" s="196"/>
      <c r="I5029" s="196"/>
      <c r="J5029" s="114"/>
      <c r="AW5029" s="117"/>
      <c r="AX5029" s="117"/>
      <c r="AY5029" s="117"/>
      <c r="AZ5029" s="117"/>
      <c r="BA5029" s="117"/>
      <c r="BB5029" s="117"/>
      <c r="BC5029" s="117"/>
      <c r="BD5029" s="117"/>
    </row>
    <row r="5030" spans="1:56" ht="15">
      <c r="A5030" s="114"/>
      <c r="B5030" s="303" t="s">
        <v>1122</v>
      </c>
      <c r="C5030" s="362"/>
      <c r="D5030" s="362"/>
      <c r="E5030" s="196"/>
      <c r="F5030" s="196"/>
      <c r="G5030" s="196"/>
      <c r="H5030" s="196"/>
      <c r="I5030" s="196"/>
      <c r="J5030" s="114"/>
      <c r="AW5030" s="117"/>
      <c r="AX5030" s="117"/>
      <c r="AY5030" s="117"/>
      <c r="AZ5030" s="117"/>
      <c r="BA5030" s="117"/>
      <c r="BB5030" s="117"/>
      <c r="BC5030" s="117"/>
      <c r="BD5030" s="117"/>
    </row>
    <row r="5031" spans="1:56" ht="18">
      <c r="A5031" s="114"/>
      <c r="B5031" s="396" t="s">
        <v>1123</v>
      </c>
      <c r="C5031" s="289"/>
      <c r="D5031" s="290"/>
      <c r="E5031" s="397">
        <f>C5025*(C5027*2*(0.05+C5024+C5023)*C5022)</f>
        <v>10.758000000000001</v>
      </c>
      <c r="F5031" s="390" t="s">
        <v>1124</v>
      </c>
      <c r="G5031" s="196"/>
      <c r="H5031" s="196"/>
      <c r="I5031" s="196"/>
      <c r="J5031" s="114"/>
      <c r="AW5031" s="117"/>
      <c r="AX5031" s="117"/>
      <c r="AY5031" s="117"/>
      <c r="AZ5031" s="117"/>
      <c r="BA5031" s="117"/>
      <c r="BB5031" s="117"/>
      <c r="BC5031" s="117"/>
      <c r="BD5031" s="117"/>
    </row>
    <row r="5032" spans="1:56" ht="18">
      <c r="A5032" s="114"/>
      <c r="B5032" s="398" t="s">
        <v>1125</v>
      </c>
      <c r="C5032" s="172"/>
      <c r="D5032" s="173"/>
      <c r="E5032" s="397">
        <f>E5031-((C5021*0.05+C5021*C5024)*C5022)</f>
        <v>9.6373750000000005</v>
      </c>
      <c r="F5032" s="390" t="s">
        <v>1124</v>
      </c>
      <c r="G5032" s="196"/>
      <c r="H5032" s="196"/>
      <c r="I5032" s="196"/>
      <c r="J5032" s="114"/>
      <c r="AW5032" s="117"/>
      <c r="AX5032" s="117"/>
      <c r="AY5032" s="117"/>
      <c r="AZ5032" s="117"/>
      <c r="BA5032" s="117"/>
      <c r="BB5032" s="117"/>
      <c r="BC5032" s="117"/>
      <c r="BD5032" s="117"/>
    </row>
    <row r="5033" spans="1:56" ht="15">
      <c r="A5033" s="114"/>
      <c r="B5033" s="399" t="s">
        <v>1126</v>
      </c>
      <c r="C5033" s="317"/>
      <c r="D5033" s="318"/>
      <c r="E5033" s="400">
        <f>(2*C5028)*C5022</f>
        <v>3.2600000000000002</v>
      </c>
      <c r="F5033" s="390" t="s">
        <v>13</v>
      </c>
      <c r="G5033" s="196"/>
      <c r="H5033" s="196"/>
      <c r="I5033" s="196"/>
      <c r="J5033" s="114"/>
      <c r="AW5033" s="117"/>
      <c r="AX5033" s="117"/>
      <c r="AY5033" s="117"/>
      <c r="AZ5033" s="117"/>
      <c r="BA5033" s="117"/>
      <c r="BB5033" s="117"/>
      <c r="BC5033" s="117"/>
      <c r="BD5033" s="117"/>
    </row>
    <row r="5034" spans="1:56" ht="15">
      <c r="A5034" s="114"/>
      <c r="B5034" s="196"/>
      <c r="C5034" s="196"/>
      <c r="D5034" s="196"/>
      <c r="E5034" s="401"/>
      <c r="F5034" s="196"/>
      <c r="G5034" s="196"/>
      <c r="H5034" s="196"/>
      <c r="I5034" s="196"/>
      <c r="J5034" s="114"/>
      <c r="AW5034" s="117"/>
      <c r="AX5034" s="117"/>
      <c r="AY5034" s="117"/>
      <c r="AZ5034" s="117"/>
      <c r="BA5034" s="117"/>
      <c r="BB5034" s="117"/>
      <c r="BC5034" s="117"/>
      <c r="BD5034" s="117"/>
    </row>
    <row r="5035" spans="1:56" ht="15">
      <c r="A5035" s="114"/>
      <c r="B5035" s="303" t="s">
        <v>1127</v>
      </c>
      <c r="C5035" s="196"/>
      <c r="D5035" s="196"/>
      <c r="E5035" s="401"/>
      <c r="F5035" s="196"/>
      <c r="G5035" s="196"/>
      <c r="H5035" s="196"/>
      <c r="I5035" s="196"/>
      <c r="J5035" s="114"/>
      <c r="AW5035" s="117"/>
      <c r="AX5035" s="117"/>
      <c r="AY5035" s="117"/>
      <c r="AZ5035" s="117"/>
      <c r="BA5035" s="117"/>
      <c r="BB5035" s="117"/>
      <c r="BC5035" s="117"/>
      <c r="BD5035" s="117"/>
    </row>
    <row r="5036" spans="1:56" ht="18">
      <c r="A5036" s="114"/>
      <c r="B5036" s="398" t="s">
        <v>1128</v>
      </c>
      <c r="C5036" s="172"/>
      <c r="D5036" s="173"/>
      <c r="E5036" s="402">
        <f>E5033*0.05</f>
        <v>0.16300000000000003</v>
      </c>
      <c r="F5036" s="390" t="s">
        <v>1124</v>
      </c>
      <c r="G5036" s="196"/>
      <c r="H5036" s="196"/>
      <c r="I5036" s="196"/>
      <c r="J5036" s="114"/>
      <c r="AW5036" s="117"/>
      <c r="AX5036" s="117"/>
      <c r="AY5036" s="117"/>
      <c r="AZ5036" s="117"/>
      <c r="BA5036" s="117"/>
      <c r="BB5036" s="117"/>
      <c r="BC5036" s="117"/>
      <c r="BD5036" s="117"/>
    </row>
    <row r="5037" spans="1:56" ht="15">
      <c r="A5037" s="114"/>
      <c r="B5037" s="398" t="s">
        <v>1129</v>
      </c>
      <c r="C5037" s="172"/>
      <c r="D5037" s="173"/>
      <c r="E5037" s="397">
        <f>C5024*2*C5022</f>
        <v>8.15</v>
      </c>
      <c r="F5037" s="390" t="s">
        <v>13</v>
      </c>
      <c r="G5037" s="393" t="s">
        <v>1108</v>
      </c>
      <c r="H5037" s="196" t="s">
        <v>1131</v>
      </c>
      <c r="I5037" s="393"/>
      <c r="J5037" s="114"/>
      <c r="AW5037" s="117"/>
      <c r="AX5037" s="117"/>
      <c r="AY5037" s="117"/>
      <c r="AZ5037" s="117"/>
      <c r="BA5037" s="117"/>
      <c r="BB5037" s="117"/>
      <c r="BC5037" s="117"/>
      <c r="BD5037" s="117"/>
    </row>
    <row r="5038" spans="1:56" ht="18">
      <c r="A5038" s="114"/>
      <c r="B5038" s="398" t="s">
        <v>1130</v>
      </c>
      <c r="C5038" s="172"/>
      <c r="D5038" s="173"/>
      <c r="E5038" s="402">
        <f>C5021*C5022*C5024</f>
        <v>1.01875</v>
      </c>
      <c r="F5038" s="390" t="s">
        <v>1124</v>
      </c>
      <c r="G5038" s="196"/>
      <c r="H5038" s="196"/>
      <c r="I5038" s="196"/>
      <c r="J5038" s="114"/>
      <c r="AW5038" s="117"/>
      <c r="AX5038" s="117"/>
      <c r="AY5038" s="117"/>
      <c r="AZ5038" s="117"/>
      <c r="BA5038" s="117"/>
      <c r="BB5038" s="117"/>
      <c r="BC5038" s="117"/>
      <c r="BD5038" s="117"/>
    </row>
    <row r="5039" spans="1:56" ht="15">
      <c r="A5039" s="114"/>
      <c r="B5039" s="288"/>
      <c r="C5039" s="230"/>
      <c r="D5039" s="230"/>
      <c r="E5039" s="384"/>
      <c r="F5039" s="196"/>
      <c r="G5039" s="196"/>
      <c r="H5039" s="196"/>
      <c r="I5039" s="196"/>
      <c r="J5039" s="114"/>
      <c r="AW5039" s="117"/>
      <c r="AX5039" s="117"/>
      <c r="AY5039" s="117"/>
      <c r="AZ5039" s="117"/>
      <c r="BA5039" s="117"/>
      <c r="BB5039" s="117"/>
      <c r="BC5039" s="117"/>
      <c r="BD5039" s="117"/>
    </row>
    <row r="5040" spans="1:56" ht="15">
      <c r="A5040" s="114"/>
      <c r="B5040" s="293"/>
      <c r="C5040" s="387"/>
      <c r="D5040" s="387"/>
      <c r="E5040" s="387"/>
      <c r="F5040" s="387"/>
      <c r="G5040" s="387"/>
      <c r="H5040" s="386"/>
      <c r="I5040" s="386"/>
      <c r="J5040" s="114"/>
      <c r="AW5040" s="117"/>
      <c r="AX5040" s="117"/>
      <c r="AY5040" s="117"/>
      <c r="AZ5040" s="117"/>
      <c r="BA5040" s="117"/>
      <c r="BB5040" s="117"/>
      <c r="BC5040" s="117"/>
      <c r="BD5040" s="117"/>
    </row>
    <row r="5041" spans="1:56" ht="15">
      <c r="A5041" s="114"/>
      <c r="B5041" s="293"/>
      <c r="C5041" s="387"/>
      <c r="D5041" s="387"/>
      <c r="E5041" s="387"/>
      <c r="F5041" s="387"/>
      <c r="G5041" s="387"/>
      <c r="H5041" s="386"/>
      <c r="I5041" s="386"/>
      <c r="J5041" s="114"/>
      <c r="AW5041" s="117"/>
      <c r="AX5041" s="117"/>
      <c r="AY5041" s="117"/>
      <c r="AZ5041" s="117"/>
      <c r="BA5041" s="117"/>
      <c r="BB5041" s="117"/>
      <c r="BC5041" s="117"/>
      <c r="BD5041" s="117"/>
    </row>
    <row r="5042" spans="1:56">
      <c r="A5042" s="114"/>
      <c r="B5042" s="385" t="s">
        <v>1139</v>
      </c>
      <c r="C5042" s="196"/>
      <c r="D5042" s="196"/>
      <c r="E5042" s="196"/>
      <c r="F5042" s="196"/>
      <c r="G5042" s="196"/>
      <c r="H5042" s="196"/>
      <c r="I5042" s="196"/>
      <c r="J5042" s="114"/>
      <c r="AW5042" s="117"/>
      <c r="AX5042" s="117"/>
      <c r="AY5042" s="117"/>
      <c r="AZ5042" s="117"/>
      <c r="BA5042" s="117"/>
      <c r="BB5042" s="117"/>
      <c r="BC5042" s="117"/>
      <c r="BD5042" s="117"/>
    </row>
    <row r="5043" spans="1:56" ht="15">
      <c r="A5043" s="114"/>
      <c r="B5043" s="196"/>
      <c r="C5043" s="196"/>
      <c r="D5043" s="196"/>
      <c r="E5043" s="196"/>
      <c r="F5043" s="196"/>
      <c r="G5043" s="196"/>
      <c r="H5043" s="196"/>
      <c r="I5043" s="196"/>
      <c r="J5043" s="114"/>
      <c r="AW5043" s="117"/>
      <c r="AX5043" s="117"/>
      <c r="AY5043" s="117"/>
      <c r="AZ5043" s="117"/>
      <c r="BA5043" s="117"/>
      <c r="BB5043" s="117"/>
      <c r="BC5043" s="117"/>
      <c r="BD5043" s="117"/>
    </row>
    <row r="5044" spans="1:56" ht="15">
      <c r="A5044" s="114"/>
      <c r="B5044" s="388" t="s">
        <v>1110</v>
      </c>
      <c r="C5044" s="389">
        <v>0.25</v>
      </c>
      <c r="D5044" s="390" t="s">
        <v>10</v>
      </c>
      <c r="E5044" s="196"/>
      <c r="F5044" s="196"/>
      <c r="G5044" s="392"/>
      <c r="H5044" s="393"/>
      <c r="I5044" s="196"/>
      <c r="J5044" s="114"/>
      <c r="AW5044" s="117"/>
      <c r="AX5044" s="117"/>
      <c r="AY5044" s="117"/>
      <c r="AZ5044" s="117"/>
      <c r="BA5044" s="117"/>
      <c r="BB5044" s="117"/>
      <c r="BC5044" s="117"/>
      <c r="BD5044" s="117"/>
    </row>
    <row r="5045" spans="1:56" ht="15">
      <c r="A5045" s="114"/>
      <c r="B5045" s="388" t="s">
        <v>1111</v>
      </c>
      <c r="C5045" s="391">
        <f>5.89+5.45+4.05</f>
        <v>15.39</v>
      </c>
      <c r="D5045" s="390" t="s">
        <v>10</v>
      </c>
      <c r="E5045" s="196"/>
      <c r="F5045" s="908"/>
      <c r="G5045" s="392"/>
      <c r="H5045" s="393"/>
      <c r="I5045" s="196"/>
      <c r="J5045" s="114"/>
      <c r="AW5045" s="117"/>
      <c r="AX5045" s="117"/>
      <c r="AY5045" s="117"/>
      <c r="AZ5045" s="117"/>
      <c r="BA5045" s="117"/>
      <c r="BB5045" s="117"/>
      <c r="BC5045" s="117"/>
      <c r="BD5045" s="117"/>
    </row>
    <row r="5046" spans="1:56" ht="15">
      <c r="A5046" s="114"/>
      <c r="B5046" s="388" t="s">
        <v>1112</v>
      </c>
      <c r="C5046" s="389">
        <v>0.55000000000000004</v>
      </c>
      <c r="D5046" s="390" t="s">
        <v>10</v>
      </c>
      <c r="E5046" s="196"/>
      <c r="F5046" s="196"/>
      <c r="G5046" s="392"/>
      <c r="H5046" s="393"/>
      <c r="I5046" s="196"/>
      <c r="J5046" s="114"/>
      <c r="AW5046" s="117"/>
      <c r="AX5046" s="117"/>
      <c r="AY5046" s="117"/>
      <c r="AZ5046" s="117"/>
      <c r="BA5046" s="117"/>
      <c r="BB5046" s="117"/>
      <c r="BC5046" s="117"/>
      <c r="BD5046" s="117"/>
    </row>
    <row r="5047" spans="1:56" ht="15">
      <c r="A5047" s="114"/>
      <c r="B5047" s="388" t="s">
        <v>1113</v>
      </c>
      <c r="C5047" s="389">
        <v>0.8</v>
      </c>
      <c r="D5047" s="390" t="s">
        <v>10</v>
      </c>
      <c r="E5047" s="196"/>
      <c r="F5047" s="196"/>
      <c r="G5047" s="392"/>
      <c r="H5047" s="394"/>
      <c r="I5047" s="196"/>
      <c r="J5047" s="114"/>
      <c r="AW5047" s="117"/>
      <c r="AX5047" s="117"/>
      <c r="AY5047" s="117"/>
      <c r="AZ5047" s="117"/>
      <c r="BA5047" s="117"/>
      <c r="BB5047" s="117"/>
      <c r="BC5047" s="117"/>
      <c r="BD5047" s="117"/>
    </row>
    <row r="5048" spans="1:56" ht="15">
      <c r="A5048" s="114"/>
      <c r="B5048" s="388" t="s">
        <v>1117</v>
      </c>
      <c r="C5048" s="389">
        <v>1</v>
      </c>
      <c r="D5048" s="390" t="s">
        <v>1118</v>
      </c>
      <c r="E5048" s="196"/>
      <c r="F5048" s="196"/>
      <c r="G5048" s="392"/>
      <c r="H5048" s="393"/>
      <c r="I5048" s="196"/>
      <c r="J5048" s="114"/>
      <c r="AW5048" s="117"/>
      <c r="AX5048" s="117"/>
      <c r="AY5048" s="117"/>
      <c r="AZ5048" s="117"/>
      <c r="BA5048" s="117"/>
      <c r="BB5048" s="117"/>
      <c r="BC5048" s="117"/>
      <c r="BD5048" s="117"/>
    </row>
    <row r="5049" spans="1:56" ht="15">
      <c r="A5049" s="114"/>
      <c r="B5049" s="392"/>
      <c r="C5049" s="393"/>
      <c r="D5049" s="196"/>
      <c r="E5049" s="196"/>
      <c r="F5049" s="196"/>
      <c r="G5049" s="392"/>
      <c r="H5049" s="393"/>
      <c r="I5049" s="196"/>
      <c r="J5049" s="114"/>
      <c r="AW5049" s="117"/>
      <c r="AX5049" s="117"/>
      <c r="AY5049" s="117"/>
      <c r="AZ5049" s="117"/>
      <c r="BA5049" s="117"/>
      <c r="BB5049" s="117"/>
      <c r="BC5049" s="117"/>
      <c r="BD5049" s="117"/>
    </row>
    <row r="5050" spans="1:56" ht="15">
      <c r="A5050" s="114"/>
      <c r="B5050" s="388" t="s">
        <v>1114</v>
      </c>
      <c r="C5050" s="389">
        <v>0.6</v>
      </c>
      <c r="D5050" s="390" t="s">
        <v>10</v>
      </c>
      <c r="E5050" s="288" t="s">
        <v>1120</v>
      </c>
      <c r="F5050" s="288"/>
      <c r="G5050" s="230"/>
      <c r="H5050" s="395"/>
      <c r="I5050" s="196"/>
      <c r="J5050" s="114"/>
      <c r="AW5050" s="117"/>
      <c r="AX5050" s="117"/>
      <c r="AY5050" s="117"/>
      <c r="AZ5050" s="117"/>
      <c r="BA5050" s="117"/>
      <c r="BB5050" s="117"/>
      <c r="BC5050" s="117"/>
      <c r="BD5050" s="117"/>
    </row>
    <row r="5051" spans="1:56" ht="15">
      <c r="A5051" s="114"/>
      <c r="B5051" s="388" t="s">
        <v>1114</v>
      </c>
      <c r="C5051" s="389">
        <v>0.2</v>
      </c>
      <c r="D5051" s="390" t="s">
        <v>10</v>
      </c>
      <c r="E5051" s="288" t="s">
        <v>1121</v>
      </c>
      <c r="F5051" s="288"/>
      <c r="G5051" s="230"/>
      <c r="H5051" s="395"/>
      <c r="I5051" s="196"/>
      <c r="J5051" s="114"/>
      <c r="AW5051" s="117"/>
      <c r="AX5051" s="117"/>
      <c r="AY5051" s="117"/>
      <c r="AZ5051" s="117"/>
      <c r="BA5051" s="117"/>
      <c r="BB5051" s="117"/>
      <c r="BC5051" s="117"/>
      <c r="BD5051" s="117"/>
    </row>
    <row r="5052" spans="1:56" ht="15">
      <c r="A5052" s="114"/>
      <c r="B5052" s="196"/>
      <c r="C5052" s="196"/>
      <c r="D5052" s="196"/>
      <c r="E5052" s="196"/>
      <c r="F5052" s="196"/>
      <c r="G5052" s="196"/>
      <c r="H5052" s="196"/>
      <c r="I5052" s="196"/>
      <c r="J5052" s="114"/>
      <c r="AW5052" s="117"/>
      <c r="AX5052" s="117"/>
      <c r="AY5052" s="117"/>
      <c r="AZ5052" s="117"/>
      <c r="BA5052" s="117"/>
      <c r="BB5052" s="117"/>
      <c r="BC5052" s="117"/>
      <c r="BD5052" s="117"/>
    </row>
    <row r="5053" spans="1:56" ht="15">
      <c r="A5053" s="114"/>
      <c r="B5053" s="303" t="s">
        <v>1122</v>
      </c>
      <c r="C5053" s="362"/>
      <c r="D5053" s="362"/>
      <c r="E5053" s="196"/>
      <c r="F5053" s="196"/>
      <c r="G5053" s="196"/>
      <c r="H5053" s="196"/>
      <c r="I5053" s="196"/>
      <c r="J5053" s="114"/>
      <c r="AW5053" s="117"/>
      <c r="AX5053" s="117"/>
      <c r="AY5053" s="117"/>
      <c r="AZ5053" s="117"/>
      <c r="BA5053" s="117"/>
      <c r="BB5053" s="117"/>
      <c r="BC5053" s="117"/>
      <c r="BD5053" s="117"/>
    </row>
    <row r="5054" spans="1:56" ht="18">
      <c r="A5054" s="114"/>
      <c r="B5054" s="396" t="s">
        <v>1123</v>
      </c>
      <c r="C5054" s="289"/>
      <c r="D5054" s="290"/>
      <c r="E5054" s="397">
        <f>C5048*(C5050*2*(0.05+C5047+C5046)*C5045)</f>
        <v>25.855200000000004</v>
      </c>
      <c r="F5054" s="390" t="s">
        <v>1124</v>
      </c>
      <c r="G5054" s="196"/>
      <c r="H5054" s="196"/>
      <c r="I5054" s="196"/>
      <c r="J5054" s="114"/>
      <c r="AW5054" s="117"/>
      <c r="AX5054" s="117"/>
      <c r="AY5054" s="117"/>
      <c r="AZ5054" s="117"/>
      <c r="BA5054" s="117"/>
      <c r="BB5054" s="117"/>
      <c r="BC5054" s="117"/>
      <c r="BD5054" s="117"/>
    </row>
    <row r="5055" spans="1:56" ht="18">
      <c r="A5055" s="114"/>
      <c r="B5055" s="398" t="s">
        <v>1125</v>
      </c>
      <c r="C5055" s="172"/>
      <c r="D5055" s="173"/>
      <c r="E5055" s="397">
        <f>E5054-((C5044*0.05+C5044*C5047)*C5045)</f>
        <v>22.584825000000002</v>
      </c>
      <c r="F5055" s="390" t="s">
        <v>1124</v>
      </c>
      <c r="G5055" s="196"/>
      <c r="H5055" s="196"/>
      <c r="I5055" s="196"/>
      <c r="J5055" s="114"/>
      <c r="AW5055" s="117"/>
      <c r="AX5055" s="117"/>
      <c r="AY5055" s="117"/>
      <c r="AZ5055" s="117"/>
      <c r="BA5055" s="117"/>
      <c r="BB5055" s="117"/>
      <c r="BC5055" s="117"/>
      <c r="BD5055" s="117"/>
    </row>
    <row r="5056" spans="1:56" ht="15">
      <c r="A5056" s="114"/>
      <c r="B5056" s="399" t="s">
        <v>1126</v>
      </c>
      <c r="C5056" s="317"/>
      <c r="D5056" s="318"/>
      <c r="E5056" s="400">
        <f>(2*C5051)*C5045</f>
        <v>6.1560000000000006</v>
      </c>
      <c r="F5056" s="390" t="s">
        <v>13</v>
      </c>
      <c r="G5056" s="196"/>
      <c r="H5056" s="196"/>
      <c r="I5056" s="196"/>
      <c r="J5056" s="114"/>
      <c r="AW5056" s="117"/>
      <c r="AX5056" s="117"/>
      <c r="AY5056" s="117"/>
      <c r="AZ5056" s="117"/>
      <c r="BA5056" s="117"/>
      <c r="BB5056" s="117"/>
      <c r="BC5056" s="117"/>
      <c r="BD5056" s="117"/>
    </row>
    <row r="5057" spans="1:56" ht="15">
      <c r="A5057" s="114"/>
      <c r="B5057" s="196"/>
      <c r="C5057" s="196"/>
      <c r="D5057" s="196"/>
      <c r="E5057" s="401"/>
      <c r="F5057" s="196"/>
      <c r="G5057" s="196"/>
      <c r="H5057" s="196"/>
      <c r="I5057" s="196"/>
      <c r="J5057" s="114"/>
      <c r="AW5057" s="117"/>
      <c r="AX5057" s="117"/>
      <c r="AY5057" s="117"/>
      <c r="AZ5057" s="117"/>
      <c r="BA5057" s="117"/>
      <c r="BB5057" s="117"/>
      <c r="BC5057" s="117"/>
      <c r="BD5057" s="117"/>
    </row>
    <row r="5058" spans="1:56" ht="15">
      <c r="A5058" s="114"/>
      <c r="B5058" s="303" t="s">
        <v>1127</v>
      </c>
      <c r="C5058" s="196"/>
      <c r="D5058" s="196"/>
      <c r="E5058" s="401"/>
      <c r="F5058" s="196"/>
      <c r="G5058" s="196"/>
      <c r="H5058" s="196"/>
      <c r="I5058" s="196"/>
      <c r="J5058" s="114"/>
      <c r="AW5058" s="117"/>
      <c r="AX5058" s="117"/>
      <c r="AY5058" s="117"/>
      <c r="AZ5058" s="117"/>
      <c r="BA5058" s="117"/>
      <c r="BB5058" s="117"/>
      <c r="BC5058" s="117"/>
      <c r="BD5058" s="117"/>
    </row>
    <row r="5059" spans="1:56" ht="18">
      <c r="A5059" s="114"/>
      <c r="B5059" s="398" t="s">
        <v>1128</v>
      </c>
      <c r="C5059" s="172"/>
      <c r="D5059" s="173"/>
      <c r="E5059" s="402">
        <f>E5056*0.05</f>
        <v>0.30780000000000007</v>
      </c>
      <c r="F5059" s="390" t="s">
        <v>1124</v>
      </c>
      <c r="G5059" s="196"/>
      <c r="H5059" s="196"/>
      <c r="I5059" s="196"/>
      <c r="J5059" s="114"/>
      <c r="AW5059" s="117"/>
      <c r="AX5059" s="117"/>
      <c r="AY5059" s="117"/>
      <c r="AZ5059" s="117"/>
      <c r="BA5059" s="117"/>
      <c r="BB5059" s="117"/>
      <c r="BC5059" s="117"/>
      <c r="BD5059" s="117"/>
    </row>
    <row r="5060" spans="1:56" ht="15">
      <c r="A5060" s="114"/>
      <c r="B5060" s="398" t="s">
        <v>1129</v>
      </c>
      <c r="C5060" s="172"/>
      <c r="D5060" s="173"/>
      <c r="E5060" s="397">
        <f>C5047*2*C5045</f>
        <v>24.624000000000002</v>
      </c>
      <c r="F5060" s="390" t="s">
        <v>13</v>
      </c>
      <c r="G5060" s="393" t="s">
        <v>1108</v>
      </c>
      <c r="H5060" s="196" t="s">
        <v>1131</v>
      </c>
      <c r="I5060" s="393"/>
      <c r="J5060" s="114"/>
      <c r="AW5060" s="117"/>
      <c r="AX5060" s="117"/>
      <c r="AY5060" s="117"/>
      <c r="AZ5060" s="117"/>
      <c r="BA5060" s="117"/>
      <c r="BB5060" s="117"/>
      <c r="BC5060" s="117"/>
      <c r="BD5060" s="117"/>
    </row>
    <row r="5061" spans="1:56" ht="18">
      <c r="A5061" s="114"/>
      <c r="B5061" s="398" t="s">
        <v>1130</v>
      </c>
      <c r="C5061" s="172"/>
      <c r="D5061" s="173"/>
      <c r="E5061" s="402">
        <f>C5044*C5045*C5047</f>
        <v>3.0780000000000003</v>
      </c>
      <c r="F5061" s="390" t="s">
        <v>1124</v>
      </c>
      <c r="G5061" s="196"/>
      <c r="H5061" s="196"/>
      <c r="I5061" s="196"/>
      <c r="J5061" s="114"/>
      <c r="AW5061" s="117"/>
      <c r="AX5061" s="117"/>
      <c r="AY5061" s="117"/>
      <c r="AZ5061" s="117"/>
      <c r="BA5061" s="117"/>
      <c r="BB5061" s="117"/>
      <c r="BC5061" s="117"/>
      <c r="BD5061" s="117"/>
    </row>
    <row r="5062" spans="1:56" ht="15">
      <c r="A5062" s="114"/>
      <c r="B5062" s="288"/>
      <c r="C5062" s="230"/>
      <c r="D5062" s="230"/>
      <c r="E5062" s="384"/>
      <c r="F5062" s="196"/>
      <c r="G5062" s="196"/>
      <c r="H5062" s="196"/>
      <c r="I5062" s="196"/>
      <c r="J5062" s="114"/>
      <c r="AW5062" s="117"/>
      <c r="AX5062" s="117"/>
      <c r="AY5062" s="117"/>
      <c r="AZ5062" s="117"/>
      <c r="BA5062" s="117"/>
      <c r="BB5062" s="117"/>
      <c r="BC5062" s="117"/>
      <c r="BD5062" s="117"/>
    </row>
    <row r="5063" spans="1:56" ht="15">
      <c r="A5063" s="114"/>
      <c r="B5063" s="293"/>
      <c r="C5063" s="387"/>
      <c r="D5063" s="387"/>
      <c r="E5063" s="387"/>
      <c r="F5063" s="387"/>
      <c r="G5063" s="387"/>
      <c r="H5063" s="386"/>
      <c r="I5063" s="386"/>
      <c r="J5063" s="114"/>
      <c r="AW5063" s="117"/>
      <c r="AX5063" s="117"/>
      <c r="AY5063" s="117"/>
      <c r="AZ5063" s="117"/>
      <c r="BA5063" s="117"/>
      <c r="BB5063" s="117"/>
      <c r="BC5063" s="117"/>
      <c r="BD5063" s="117"/>
    </row>
    <row r="5064" spans="1:56" ht="15">
      <c r="A5064" s="114"/>
      <c r="B5064" s="293"/>
      <c r="C5064" s="387"/>
      <c r="D5064" s="387"/>
      <c r="E5064" s="387"/>
      <c r="F5064" s="387"/>
      <c r="G5064" s="387"/>
      <c r="H5064" s="386"/>
      <c r="I5064" s="386"/>
      <c r="J5064" s="114"/>
      <c r="AW5064" s="117"/>
      <c r="AX5064" s="117"/>
      <c r="AY5064" s="117"/>
      <c r="AZ5064" s="117"/>
      <c r="BA5064" s="117"/>
      <c r="BB5064" s="117"/>
      <c r="BC5064" s="117"/>
      <c r="BD5064" s="117"/>
    </row>
    <row r="5065" spans="1:56" customFormat="1">
      <c r="A5065" s="114"/>
      <c r="B5065" s="385" t="s">
        <v>1303</v>
      </c>
      <c r="C5065" s="196"/>
      <c r="D5065" s="196"/>
      <c r="E5065" s="196"/>
      <c r="F5065" s="196"/>
      <c r="G5065" s="196"/>
      <c r="H5065" s="196"/>
      <c r="I5065" s="196"/>
      <c r="J5065" s="362"/>
    </row>
    <row r="5066" spans="1:56" ht="15">
      <c r="A5066" s="114"/>
      <c r="B5066" s="196"/>
      <c r="C5066" s="196"/>
      <c r="D5066" s="196"/>
      <c r="E5066" s="196"/>
      <c r="F5066" s="196"/>
      <c r="G5066" s="196"/>
      <c r="H5066" s="196"/>
      <c r="I5066" s="196"/>
      <c r="J5066" s="404"/>
      <c r="AX5066" s="117"/>
      <c r="AY5066" s="117"/>
      <c r="AZ5066" s="117"/>
      <c r="BA5066" s="117"/>
      <c r="BB5066" s="117"/>
      <c r="BC5066" s="117"/>
      <c r="BD5066" s="117"/>
    </row>
    <row r="5067" spans="1:56" ht="15">
      <c r="A5067" s="114"/>
      <c r="B5067" s="388" t="s">
        <v>1110</v>
      </c>
      <c r="C5067" s="389">
        <v>0.25</v>
      </c>
      <c r="D5067" s="390" t="s">
        <v>10</v>
      </c>
      <c r="E5067" s="196"/>
      <c r="F5067" s="196"/>
      <c r="G5067" s="392"/>
      <c r="H5067" s="393"/>
      <c r="I5067" s="196"/>
      <c r="J5067" s="405"/>
      <c r="AX5067" s="117"/>
      <c r="AY5067" s="117"/>
      <c r="AZ5067" s="117"/>
      <c r="BA5067" s="117"/>
      <c r="BB5067" s="117"/>
      <c r="BC5067" s="117"/>
      <c r="BD5067" s="117"/>
    </row>
    <row r="5068" spans="1:56" ht="15">
      <c r="A5068" s="114"/>
      <c r="B5068" s="388" t="s">
        <v>1111</v>
      </c>
      <c r="C5068" s="391">
        <f>8.2+1.95+8.5+12.5</f>
        <v>31.15</v>
      </c>
      <c r="D5068" s="390" t="s">
        <v>10</v>
      </c>
      <c r="E5068" s="196"/>
      <c r="F5068" s="908"/>
      <c r="G5068" s="392"/>
      <c r="H5068" s="393"/>
      <c r="I5068" s="196"/>
      <c r="J5068" s="405"/>
      <c r="AX5068" s="117"/>
      <c r="AY5068" s="117"/>
      <c r="AZ5068" s="117"/>
      <c r="BA5068" s="117"/>
      <c r="BB5068" s="117"/>
      <c r="BC5068" s="117"/>
      <c r="BD5068" s="117"/>
    </row>
    <row r="5069" spans="1:56" ht="15">
      <c r="A5069" s="114"/>
      <c r="B5069" s="388" t="s">
        <v>1112</v>
      </c>
      <c r="C5069" s="389">
        <v>0.55000000000000004</v>
      </c>
      <c r="D5069" s="390" t="s">
        <v>10</v>
      </c>
      <c r="E5069" s="196"/>
      <c r="F5069" s="196"/>
      <c r="G5069" s="392"/>
      <c r="H5069" s="393"/>
      <c r="I5069" s="196"/>
      <c r="J5069" s="405"/>
      <c r="AX5069" s="117"/>
      <c r="AY5069" s="117"/>
      <c r="AZ5069" s="117"/>
      <c r="BA5069" s="117"/>
      <c r="BB5069" s="117"/>
      <c r="BC5069" s="117"/>
      <c r="BD5069" s="117"/>
    </row>
    <row r="5070" spans="1:56" ht="15">
      <c r="A5070" s="114"/>
      <c r="B5070" s="388" t="s">
        <v>1113</v>
      </c>
      <c r="C5070" s="389">
        <v>1</v>
      </c>
      <c r="D5070" s="390" t="s">
        <v>10</v>
      </c>
      <c r="E5070" s="196"/>
      <c r="F5070" s="196"/>
      <c r="G5070" s="392"/>
      <c r="H5070" s="394"/>
      <c r="I5070" s="196"/>
      <c r="J5070" s="405"/>
      <c r="AX5070" s="117"/>
      <c r="AY5070" s="117"/>
      <c r="AZ5070" s="117"/>
      <c r="BA5070" s="117"/>
      <c r="BB5070" s="117"/>
      <c r="BC5070" s="117"/>
      <c r="BD5070" s="117"/>
    </row>
    <row r="5071" spans="1:56" ht="15">
      <c r="A5071" s="114"/>
      <c r="B5071" s="388" t="s">
        <v>1117</v>
      </c>
      <c r="C5071" s="389">
        <v>1</v>
      </c>
      <c r="D5071" s="390" t="s">
        <v>1118</v>
      </c>
      <c r="E5071" s="196"/>
      <c r="F5071" s="196"/>
      <c r="G5071" s="392"/>
      <c r="H5071" s="393"/>
      <c r="I5071" s="196"/>
      <c r="J5071" s="405"/>
      <c r="AX5071" s="117"/>
      <c r="AY5071" s="117"/>
      <c r="AZ5071" s="117"/>
      <c r="BA5071" s="117"/>
      <c r="BB5071" s="117"/>
      <c r="BC5071" s="117"/>
      <c r="BD5071" s="117"/>
    </row>
    <row r="5072" spans="1:56" ht="15">
      <c r="A5072" s="114"/>
      <c r="B5072" s="392"/>
      <c r="C5072" s="393"/>
      <c r="D5072" s="196"/>
      <c r="E5072" s="196"/>
      <c r="F5072" s="196"/>
      <c r="G5072" s="392"/>
      <c r="H5072" s="393"/>
      <c r="I5072" s="196"/>
      <c r="J5072" s="405"/>
      <c r="AX5072" s="117"/>
      <c r="AY5072" s="117"/>
      <c r="AZ5072" s="117"/>
      <c r="BA5072" s="117"/>
      <c r="BB5072" s="117"/>
      <c r="BC5072" s="117"/>
      <c r="BD5072" s="117"/>
    </row>
    <row r="5073" spans="1:56" ht="15">
      <c r="A5073" s="114"/>
      <c r="B5073" s="388" t="s">
        <v>1114</v>
      </c>
      <c r="C5073" s="389">
        <v>0.6</v>
      </c>
      <c r="D5073" s="390" t="s">
        <v>10</v>
      </c>
      <c r="E5073" s="288" t="s">
        <v>1120</v>
      </c>
      <c r="F5073" s="288"/>
      <c r="G5073" s="230"/>
      <c r="H5073" s="395"/>
      <c r="I5073" s="196"/>
      <c r="J5073" s="405"/>
      <c r="AX5073" s="117"/>
      <c r="AY5073" s="117"/>
      <c r="AZ5073" s="117"/>
      <c r="BA5073" s="117"/>
      <c r="BB5073" s="117"/>
      <c r="BC5073" s="117"/>
      <c r="BD5073" s="117"/>
    </row>
    <row r="5074" spans="1:56" ht="15">
      <c r="A5074" s="114"/>
      <c r="B5074" s="388" t="s">
        <v>1114</v>
      </c>
      <c r="C5074" s="389">
        <v>0.2</v>
      </c>
      <c r="D5074" s="390" t="s">
        <v>10</v>
      </c>
      <c r="E5074" s="288" t="s">
        <v>1121</v>
      </c>
      <c r="F5074" s="288"/>
      <c r="G5074" s="230"/>
      <c r="H5074" s="395"/>
      <c r="I5074" s="196"/>
      <c r="J5074" s="405"/>
      <c r="AX5074" s="117"/>
      <c r="AY5074" s="117"/>
      <c r="AZ5074" s="117"/>
      <c r="BA5074" s="117"/>
      <c r="BB5074" s="117"/>
      <c r="BC5074" s="117"/>
      <c r="BD5074" s="117"/>
    </row>
    <row r="5075" spans="1:56" ht="15">
      <c r="A5075" s="114"/>
      <c r="B5075" s="196"/>
      <c r="C5075" s="196"/>
      <c r="D5075" s="196"/>
      <c r="E5075" s="196"/>
      <c r="F5075" s="196"/>
      <c r="G5075" s="196"/>
      <c r="H5075" s="196"/>
      <c r="I5075" s="196"/>
      <c r="J5075" s="196"/>
      <c r="AX5075" s="117"/>
      <c r="AY5075" s="117"/>
      <c r="AZ5075" s="117"/>
      <c r="BA5075" s="117"/>
      <c r="BB5075" s="117"/>
      <c r="BC5075" s="117"/>
      <c r="BD5075" s="117"/>
    </row>
    <row r="5076" spans="1:56" ht="15">
      <c r="A5076" s="114"/>
      <c r="B5076" s="303" t="s">
        <v>1122</v>
      </c>
      <c r="C5076" s="362"/>
      <c r="D5076" s="362"/>
      <c r="E5076" s="196"/>
      <c r="F5076" s="196"/>
      <c r="G5076" s="196"/>
      <c r="H5076" s="196"/>
      <c r="I5076" s="196"/>
      <c r="J5076" s="196"/>
      <c r="AX5076" s="117"/>
      <c r="AY5076" s="117"/>
      <c r="AZ5076" s="117"/>
      <c r="BA5076" s="117"/>
      <c r="BB5076" s="117"/>
      <c r="BC5076" s="117"/>
      <c r="BD5076" s="117"/>
    </row>
    <row r="5077" spans="1:56" ht="18">
      <c r="A5077" s="114"/>
      <c r="B5077" s="396" t="s">
        <v>1123</v>
      </c>
      <c r="C5077" s="289"/>
      <c r="D5077" s="290"/>
      <c r="E5077" s="397">
        <f>C5071*(C5073*2*(0.05+C5070+C5069)*C5068)</f>
        <v>59.807999999999993</v>
      </c>
      <c r="F5077" s="390" t="s">
        <v>1124</v>
      </c>
      <c r="G5077" s="196"/>
      <c r="H5077" s="196"/>
      <c r="I5077" s="196"/>
      <c r="J5077" s="196"/>
      <c r="AX5077" s="117"/>
      <c r="AY5077" s="117"/>
      <c r="AZ5077" s="117"/>
      <c r="BA5077" s="117"/>
      <c r="BB5077" s="117"/>
      <c r="BC5077" s="117"/>
      <c r="BD5077" s="117"/>
    </row>
    <row r="5078" spans="1:56" ht="18">
      <c r="A5078" s="114"/>
      <c r="B5078" s="398" t="s">
        <v>1125</v>
      </c>
      <c r="C5078" s="172"/>
      <c r="D5078" s="173"/>
      <c r="E5078" s="397">
        <f>E5077-((C5067*0.05+C5067*C5070)*C5068)</f>
        <v>51.63112499999999</v>
      </c>
      <c r="F5078" s="390" t="s">
        <v>1124</v>
      </c>
      <c r="G5078" s="196"/>
      <c r="H5078" s="196"/>
      <c r="I5078" s="196"/>
      <c r="J5078" s="196"/>
      <c r="AX5078" s="117"/>
      <c r="AY5078" s="117"/>
      <c r="AZ5078" s="117"/>
      <c r="BA5078" s="117"/>
      <c r="BB5078" s="117"/>
      <c r="BC5078" s="117"/>
      <c r="BD5078" s="117"/>
    </row>
    <row r="5079" spans="1:56" ht="15">
      <c r="A5079" s="114"/>
      <c r="B5079" s="399" t="s">
        <v>1126</v>
      </c>
      <c r="C5079" s="317"/>
      <c r="D5079" s="318"/>
      <c r="E5079" s="400">
        <f>(2*C5074)*C5068</f>
        <v>12.46</v>
      </c>
      <c r="F5079" s="390" t="s">
        <v>13</v>
      </c>
      <c r="G5079" s="196"/>
      <c r="H5079" s="196"/>
      <c r="I5079" s="196"/>
      <c r="J5079" s="196"/>
      <c r="AX5079" s="117"/>
      <c r="AY5079" s="117"/>
      <c r="AZ5079" s="117"/>
      <c r="BA5079" s="117"/>
      <c r="BB5079" s="117"/>
      <c r="BC5079" s="117"/>
      <c r="BD5079" s="117"/>
    </row>
    <row r="5080" spans="1:56" ht="15">
      <c r="A5080" s="114"/>
      <c r="B5080" s="196"/>
      <c r="C5080" s="196"/>
      <c r="D5080" s="196"/>
      <c r="E5080" s="401"/>
      <c r="F5080" s="196"/>
      <c r="G5080" s="196"/>
      <c r="H5080" s="196"/>
      <c r="I5080" s="196"/>
      <c r="J5080" s="196"/>
      <c r="AX5080" s="117"/>
      <c r="AY5080" s="117"/>
      <c r="AZ5080" s="117"/>
      <c r="BA5080" s="117"/>
      <c r="BB5080" s="117"/>
      <c r="BC5080" s="117"/>
      <c r="BD5080" s="117"/>
    </row>
    <row r="5081" spans="1:56" ht="15">
      <c r="A5081" s="114"/>
      <c r="B5081" s="303" t="s">
        <v>1127</v>
      </c>
      <c r="C5081" s="196"/>
      <c r="D5081" s="196"/>
      <c r="E5081" s="401"/>
      <c r="F5081" s="196"/>
      <c r="G5081" s="196"/>
      <c r="H5081" s="196"/>
      <c r="I5081" s="196"/>
      <c r="J5081" s="362"/>
      <c r="AX5081" s="117"/>
      <c r="AY5081" s="117"/>
      <c r="AZ5081" s="117"/>
      <c r="BA5081" s="117"/>
      <c r="BB5081" s="117"/>
      <c r="BC5081" s="117"/>
      <c r="BD5081" s="117"/>
    </row>
    <row r="5082" spans="1:56" ht="18">
      <c r="A5082" s="114"/>
      <c r="B5082" s="398" t="s">
        <v>1128</v>
      </c>
      <c r="C5082" s="172"/>
      <c r="D5082" s="173"/>
      <c r="E5082" s="402">
        <f>E5079*0.05</f>
        <v>0.62300000000000011</v>
      </c>
      <c r="F5082" s="390" t="s">
        <v>1124</v>
      </c>
      <c r="G5082" s="196"/>
      <c r="H5082" s="196"/>
      <c r="I5082" s="196"/>
      <c r="J5082" s="196"/>
      <c r="AX5082" s="117"/>
      <c r="AY5082" s="117"/>
      <c r="AZ5082" s="117"/>
      <c r="BA5082" s="117"/>
      <c r="BB5082" s="117"/>
      <c r="BC5082" s="117"/>
      <c r="BD5082" s="117"/>
    </row>
    <row r="5083" spans="1:56" ht="15">
      <c r="A5083" s="114"/>
      <c r="B5083" s="398" t="s">
        <v>1129</v>
      </c>
      <c r="C5083" s="172"/>
      <c r="D5083" s="173"/>
      <c r="E5083" s="397">
        <f>C5070*2*C5068</f>
        <v>62.3</v>
      </c>
      <c r="F5083" s="390" t="s">
        <v>13</v>
      </c>
      <c r="G5083" s="393" t="s">
        <v>1108</v>
      </c>
      <c r="H5083" s="196" t="s">
        <v>1131</v>
      </c>
      <c r="I5083" s="393"/>
      <c r="J5083" s="362"/>
      <c r="AX5083" s="117"/>
      <c r="AY5083" s="117"/>
      <c r="AZ5083" s="117"/>
      <c r="BA5083" s="117"/>
      <c r="BB5083" s="117"/>
      <c r="BC5083" s="117"/>
      <c r="BD5083" s="117"/>
    </row>
    <row r="5084" spans="1:56" ht="18">
      <c r="A5084" s="114"/>
      <c r="B5084" s="398" t="s">
        <v>1130</v>
      </c>
      <c r="C5084" s="172"/>
      <c r="D5084" s="173"/>
      <c r="E5084" s="402">
        <f>C5067*C5068*C5070</f>
        <v>7.7874999999999996</v>
      </c>
      <c r="F5084" s="390" t="s">
        <v>1124</v>
      </c>
      <c r="G5084" s="196"/>
      <c r="H5084" s="196"/>
      <c r="I5084" s="196"/>
      <c r="J5084" s="362"/>
      <c r="AX5084" s="117"/>
      <c r="AY5084" s="117"/>
      <c r="AZ5084" s="117"/>
      <c r="BA5084" s="117"/>
      <c r="BB5084" s="117"/>
      <c r="BC5084" s="117"/>
      <c r="BD5084" s="117"/>
    </row>
    <row r="5085" spans="1:56" ht="15">
      <c r="A5085" s="114"/>
      <c r="B5085" s="288"/>
      <c r="C5085" s="230"/>
      <c r="D5085" s="230"/>
      <c r="E5085" s="384"/>
      <c r="F5085" s="196"/>
      <c r="G5085" s="196"/>
      <c r="H5085" s="196"/>
      <c r="I5085" s="196"/>
      <c r="J5085" s="362"/>
      <c r="AX5085" s="117"/>
      <c r="AY5085" s="117"/>
      <c r="AZ5085" s="117"/>
      <c r="BA5085" s="117"/>
      <c r="BB5085" s="117"/>
      <c r="BC5085" s="117"/>
      <c r="BD5085" s="117"/>
    </row>
    <row r="5086" spans="1:56" ht="15">
      <c r="A5086" s="114"/>
      <c r="B5086" s="293"/>
      <c r="C5086" s="387"/>
      <c r="D5086" s="387"/>
      <c r="E5086" s="387"/>
      <c r="F5086" s="387"/>
      <c r="G5086" s="387"/>
      <c r="H5086" s="386"/>
      <c r="I5086" s="386"/>
      <c r="J5086" s="362"/>
      <c r="AX5086" s="117"/>
      <c r="AY5086" s="117"/>
      <c r="AZ5086" s="117"/>
      <c r="BA5086" s="117"/>
      <c r="BB5086" s="117"/>
      <c r="BC5086" s="117"/>
      <c r="BD5086" s="117"/>
    </row>
    <row r="5087" spans="1:56" ht="15">
      <c r="A5087" s="114"/>
      <c r="B5087" s="293"/>
      <c r="C5087" s="387"/>
      <c r="D5087" s="387"/>
      <c r="E5087" s="387"/>
      <c r="F5087" s="387"/>
      <c r="G5087" s="387"/>
      <c r="H5087" s="386"/>
      <c r="I5087" s="386"/>
      <c r="J5087" s="362"/>
      <c r="AX5087" s="117"/>
      <c r="AY5087" s="117"/>
      <c r="AZ5087" s="117"/>
      <c r="BA5087" s="117"/>
      <c r="BB5087" s="117"/>
      <c r="BC5087" s="117"/>
      <c r="BD5087" s="117"/>
    </row>
    <row r="5088" spans="1:56">
      <c r="A5088" s="114"/>
      <c r="B5088" s="385" t="s">
        <v>1304</v>
      </c>
      <c r="C5088" s="196"/>
      <c r="D5088" s="196"/>
      <c r="E5088" s="196"/>
      <c r="F5088" s="196"/>
      <c r="G5088" s="196"/>
      <c r="H5088" s="196"/>
      <c r="I5088" s="196"/>
      <c r="J5088" s="415"/>
      <c r="AX5088" s="117"/>
      <c r="AY5088" s="117"/>
      <c r="AZ5088" s="117"/>
      <c r="BA5088" s="117"/>
      <c r="BB5088" s="117"/>
      <c r="BC5088" s="117"/>
      <c r="BD5088" s="117"/>
    </row>
    <row r="5089" spans="1:56" ht="15">
      <c r="A5089" s="114"/>
      <c r="B5089" s="196"/>
      <c r="C5089" s="196"/>
      <c r="D5089" s="196"/>
      <c r="E5089" s="196"/>
      <c r="F5089" s="196"/>
      <c r="G5089" s="196"/>
      <c r="H5089" s="196"/>
      <c r="I5089" s="196"/>
      <c r="J5089" s="362"/>
      <c r="AX5089" s="117"/>
      <c r="AY5089" s="117"/>
      <c r="AZ5089" s="117"/>
      <c r="BA5089" s="117"/>
      <c r="BB5089" s="117"/>
      <c r="BC5089" s="117"/>
      <c r="BD5089" s="117"/>
    </row>
    <row r="5090" spans="1:56" ht="15">
      <c r="A5090" s="114"/>
      <c r="B5090" s="388" t="s">
        <v>1110</v>
      </c>
      <c r="C5090" s="389">
        <v>0.25</v>
      </c>
      <c r="D5090" s="390" t="s">
        <v>10</v>
      </c>
      <c r="E5090" s="196"/>
      <c r="F5090" s="196"/>
      <c r="G5090" s="392"/>
      <c r="H5090" s="393"/>
      <c r="I5090" s="196"/>
      <c r="J5090" s="362"/>
      <c r="AX5090" s="117"/>
      <c r="AY5090" s="117"/>
      <c r="AZ5090" s="117"/>
      <c r="BA5090" s="117"/>
      <c r="BB5090" s="117"/>
      <c r="BC5090" s="117"/>
      <c r="BD5090" s="117"/>
    </row>
    <row r="5091" spans="1:56" ht="15">
      <c r="A5091" s="114"/>
      <c r="B5091" s="388" t="s">
        <v>1111</v>
      </c>
      <c r="C5091" s="391">
        <v>22.85</v>
      </c>
      <c r="D5091" s="390" t="s">
        <v>10</v>
      </c>
      <c r="E5091" s="196"/>
      <c r="F5091" s="908"/>
      <c r="G5091" s="392"/>
      <c r="H5091" s="393"/>
      <c r="I5091" s="196"/>
      <c r="J5091" s="362"/>
      <c r="AX5091" s="117"/>
      <c r="AY5091" s="117"/>
      <c r="AZ5091" s="117"/>
      <c r="BA5091" s="117"/>
      <c r="BB5091" s="117"/>
      <c r="BC5091" s="117"/>
      <c r="BD5091" s="117"/>
    </row>
    <row r="5092" spans="1:56" ht="15">
      <c r="A5092" s="114"/>
      <c r="B5092" s="388" t="s">
        <v>1112</v>
      </c>
      <c r="C5092" s="389">
        <v>-0.95</v>
      </c>
      <c r="D5092" s="390" t="s">
        <v>10</v>
      </c>
      <c r="E5092" s="196"/>
      <c r="F5092" s="196"/>
      <c r="G5092" s="392"/>
      <c r="H5092" s="393"/>
      <c r="I5092" s="196"/>
      <c r="J5092" s="362"/>
      <c r="AX5092" s="117"/>
      <c r="AY5092" s="117"/>
      <c r="AZ5092" s="117"/>
      <c r="BA5092" s="117"/>
      <c r="BB5092" s="117"/>
      <c r="BC5092" s="117"/>
      <c r="BD5092" s="117"/>
    </row>
    <row r="5093" spans="1:56" ht="15">
      <c r="A5093" s="114"/>
      <c r="B5093" s="388" t="s">
        <v>1113</v>
      </c>
      <c r="C5093" s="389">
        <v>1.8</v>
      </c>
      <c r="D5093" s="390" t="s">
        <v>10</v>
      </c>
      <c r="E5093" s="196"/>
      <c r="F5093" s="196"/>
      <c r="G5093" s="392"/>
      <c r="H5093" s="394"/>
      <c r="I5093" s="196"/>
      <c r="J5093" s="362"/>
      <c r="AX5093" s="117"/>
      <c r="AY5093" s="117"/>
      <c r="AZ5093" s="117"/>
      <c r="BA5093" s="117"/>
      <c r="BB5093" s="117"/>
      <c r="BC5093" s="117"/>
      <c r="BD5093" s="117"/>
    </row>
    <row r="5094" spans="1:56" ht="15">
      <c r="A5094" s="114"/>
      <c r="B5094" s="388" t="s">
        <v>1117</v>
      </c>
      <c r="C5094" s="389">
        <v>1</v>
      </c>
      <c r="D5094" s="390" t="s">
        <v>1118</v>
      </c>
      <c r="E5094" s="196"/>
      <c r="F5094" s="196"/>
      <c r="G5094" s="392"/>
      <c r="H5094" s="393"/>
      <c r="I5094" s="196"/>
      <c r="J5094" s="362"/>
      <c r="AX5094" s="117"/>
      <c r="AY5094" s="117"/>
      <c r="AZ5094" s="117"/>
      <c r="BA5094" s="117"/>
      <c r="BB5094" s="117"/>
      <c r="BC5094" s="117"/>
      <c r="BD5094" s="117"/>
    </row>
    <row r="5095" spans="1:56" ht="15">
      <c r="A5095" s="114"/>
      <c r="B5095" s="392"/>
      <c r="C5095" s="393"/>
      <c r="D5095" s="196"/>
      <c r="E5095" s="196"/>
      <c r="F5095" s="196"/>
      <c r="G5095" s="392"/>
      <c r="H5095" s="393"/>
      <c r="I5095" s="196"/>
      <c r="J5095" s="362"/>
      <c r="AX5095" s="117"/>
      <c r="AY5095" s="117"/>
      <c r="AZ5095" s="117"/>
      <c r="BA5095" s="117"/>
      <c r="BB5095" s="117"/>
      <c r="BC5095" s="117"/>
      <c r="BD5095" s="117"/>
    </row>
    <row r="5096" spans="1:56" ht="15">
      <c r="A5096" s="114"/>
      <c r="B5096" s="388" t="s">
        <v>1114</v>
      </c>
      <c r="C5096" s="389">
        <v>0.6</v>
      </c>
      <c r="D5096" s="390" t="s">
        <v>10</v>
      </c>
      <c r="E5096" s="288" t="s">
        <v>1120</v>
      </c>
      <c r="F5096" s="288"/>
      <c r="G5096" s="230"/>
      <c r="H5096" s="395"/>
      <c r="I5096" s="196"/>
      <c r="J5096" s="114"/>
      <c r="AW5096" s="117"/>
      <c r="AX5096" s="117"/>
      <c r="AY5096" s="117"/>
      <c r="AZ5096" s="117"/>
      <c r="BA5096" s="117"/>
      <c r="BB5096" s="117"/>
      <c r="BC5096" s="117"/>
      <c r="BD5096" s="117"/>
    </row>
    <row r="5097" spans="1:56" ht="15">
      <c r="A5097" s="114"/>
      <c r="B5097" s="388" t="s">
        <v>1114</v>
      </c>
      <c r="C5097" s="389">
        <v>0.2</v>
      </c>
      <c r="D5097" s="390" t="s">
        <v>10</v>
      </c>
      <c r="E5097" s="288" t="s">
        <v>1121</v>
      </c>
      <c r="F5097" s="288"/>
      <c r="G5097" s="230"/>
      <c r="H5097" s="395"/>
      <c r="I5097" s="196"/>
      <c r="J5097" s="114"/>
      <c r="AW5097" s="117"/>
      <c r="AX5097" s="117"/>
      <c r="AY5097" s="117"/>
      <c r="AZ5097" s="117"/>
      <c r="BA5097" s="117"/>
      <c r="BB5097" s="117"/>
      <c r="BC5097" s="117"/>
      <c r="BD5097" s="117"/>
    </row>
    <row r="5098" spans="1:56" ht="15">
      <c r="A5098" s="114"/>
      <c r="B5098" s="196"/>
      <c r="C5098" s="196"/>
      <c r="D5098" s="196"/>
      <c r="E5098" s="196"/>
      <c r="F5098" s="196"/>
      <c r="G5098" s="196"/>
      <c r="H5098" s="196"/>
      <c r="I5098" s="196"/>
      <c r="J5098" s="114"/>
      <c r="AW5098" s="117"/>
      <c r="AX5098" s="117"/>
      <c r="AY5098" s="117"/>
      <c r="AZ5098" s="117"/>
      <c r="BA5098" s="117"/>
      <c r="BB5098" s="117"/>
      <c r="BC5098" s="117"/>
      <c r="BD5098" s="117"/>
    </row>
    <row r="5099" spans="1:56" ht="15">
      <c r="A5099" s="114"/>
      <c r="B5099" s="303" t="s">
        <v>1122</v>
      </c>
      <c r="C5099" s="362"/>
      <c r="D5099" s="362"/>
      <c r="E5099" s="196"/>
      <c r="F5099" s="196"/>
      <c r="G5099" s="196"/>
      <c r="H5099" s="196"/>
      <c r="I5099" s="196"/>
      <c r="J5099" s="114"/>
      <c r="AW5099" s="117"/>
      <c r="AX5099" s="117"/>
      <c r="AY5099" s="117"/>
      <c r="AZ5099" s="117"/>
      <c r="BA5099" s="117"/>
      <c r="BB5099" s="117"/>
      <c r="BC5099" s="117"/>
      <c r="BD5099" s="117"/>
    </row>
    <row r="5100" spans="1:56" customFormat="1" ht="18">
      <c r="A5100" s="114"/>
      <c r="B5100" s="396" t="s">
        <v>1123</v>
      </c>
      <c r="C5100" s="289"/>
      <c r="D5100" s="290"/>
      <c r="E5100" s="397">
        <f>C5094*(C5096*2*(0.05+C5093+C5092)*C5091)</f>
        <v>24.678000000000004</v>
      </c>
      <c r="F5100" s="390" t="s">
        <v>1124</v>
      </c>
      <c r="G5100" s="196"/>
      <c r="H5100" s="196"/>
      <c r="I5100" s="196"/>
      <c r="J5100" s="362"/>
    </row>
    <row r="5101" spans="1:56" ht="18">
      <c r="A5101" s="114"/>
      <c r="B5101" s="398" t="s">
        <v>1125</v>
      </c>
      <c r="C5101" s="172"/>
      <c r="D5101" s="173"/>
      <c r="E5101" s="397">
        <f>E5100-((C5090*0.05+C5090*C5093)*C5091)</f>
        <v>14.109875000000002</v>
      </c>
      <c r="F5101" s="390" t="s">
        <v>1124</v>
      </c>
      <c r="G5101" s="196"/>
      <c r="H5101" s="196"/>
      <c r="I5101" s="196"/>
      <c r="J5101" s="404"/>
      <c r="AX5101" s="117"/>
      <c r="AY5101" s="117"/>
      <c r="AZ5101" s="117"/>
      <c r="BA5101" s="117"/>
      <c r="BB5101" s="117"/>
      <c r="BC5101" s="117"/>
      <c r="BD5101" s="117"/>
    </row>
    <row r="5102" spans="1:56" ht="15">
      <c r="A5102" s="114"/>
      <c r="B5102" s="399" t="s">
        <v>1126</v>
      </c>
      <c r="C5102" s="317"/>
      <c r="D5102" s="318"/>
      <c r="E5102" s="400">
        <f>(2*C5097)*C5091</f>
        <v>9.14</v>
      </c>
      <c r="F5102" s="390" t="s">
        <v>13</v>
      </c>
      <c r="G5102" s="196"/>
      <c r="H5102" s="196"/>
      <c r="I5102" s="196"/>
      <c r="J5102" s="405"/>
      <c r="AX5102" s="117"/>
      <c r="AY5102" s="117"/>
      <c r="AZ5102" s="117"/>
      <c r="BA5102" s="117"/>
      <c r="BB5102" s="117"/>
      <c r="BC5102" s="117"/>
      <c r="BD5102" s="117"/>
    </row>
    <row r="5103" spans="1:56" ht="15">
      <c r="A5103" s="114"/>
      <c r="B5103" s="196"/>
      <c r="C5103" s="196"/>
      <c r="D5103" s="196"/>
      <c r="E5103" s="401"/>
      <c r="F5103" s="196"/>
      <c r="G5103" s="196"/>
      <c r="H5103" s="196"/>
      <c r="I5103" s="196"/>
      <c r="J5103" s="405"/>
      <c r="AX5103" s="117"/>
      <c r="AY5103" s="117"/>
      <c r="AZ5103" s="117"/>
      <c r="BA5103" s="117"/>
      <c r="BB5103" s="117"/>
      <c r="BC5103" s="117"/>
      <c r="BD5103" s="117"/>
    </row>
    <row r="5104" spans="1:56" ht="15">
      <c r="A5104" s="114"/>
      <c r="B5104" s="303" t="s">
        <v>1127</v>
      </c>
      <c r="C5104" s="196"/>
      <c r="D5104" s="196"/>
      <c r="E5104" s="401"/>
      <c r="F5104" s="196"/>
      <c r="G5104" s="196"/>
      <c r="H5104" s="196"/>
      <c r="I5104" s="196"/>
      <c r="J5104" s="405"/>
      <c r="AX5104" s="117"/>
      <c r="AY5104" s="117"/>
      <c r="AZ5104" s="117"/>
      <c r="BA5104" s="117"/>
      <c r="BB5104" s="117"/>
      <c r="BC5104" s="117"/>
      <c r="BD5104" s="117"/>
    </row>
    <row r="5105" spans="1:56" ht="18">
      <c r="A5105" s="114"/>
      <c r="B5105" s="398" t="s">
        <v>1128</v>
      </c>
      <c r="C5105" s="172"/>
      <c r="D5105" s="173"/>
      <c r="E5105" s="402">
        <f>E5102*0.05</f>
        <v>0.45700000000000007</v>
      </c>
      <c r="F5105" s="390" t="s">
        <v>1124</v>
      </c>
      <c r="G5105" s="196"/>
      <c r="H5105" s="196"/>
      <c r="I5105" s="196"/>
      <c r="J5105" s="405"/>
      <c r="AX5105" s="117"/>
      <c r="AY5105" s="117"/>
      <c r="AZ5105" s="117"/>
      <c r="BA5105" s="117"/>
      <c r="BB5105" s="117"/>
      <c r="BC5105" s="117"/>
      <c r="BD5105" s="117"/>
    </row>
    <row r="5106" spans="1:56" ht="15">
      <c r="A5106" s="114"/>
      <c r="B5106" s="398" t="s">
        <v>1129</v>
      </c>
      <c r="C5106" s="172"/>
      <c r="D5106" s="173"/>
      <c r="E5106" s="397">
        <f>C5093*2*C5091</f>
        <v>82.26</v>
      </c>
      <c r="F5106" s="390" t="s">
        <v>13</v>
      </c>
      <c r="G5106" s="393" t="s">
        <v>1108</v>
      </c>
      <c r="H5106" s="196" t="s">
        <v>1131</v>
      </c>
      <c r="I5106" s="393"/>
      <c r="J5106" s="405"/>
      <c r="AX5106" s="117"/>
      <c r="AY5106" s="117"/>
      <c r="AZ5106" s="117"/>
      <c r="BA5106" s="117"/>
      <c r="BB5106" s="117"/>
      <c r="BC5106" s="117"/>
      <c r="BD5106" s="117"/>
    </row>
    <row r="5107" spans="1:56" ht="18">
      <c r="A5107" s="114"/>
      <c r="B5107" s="398" t="s">
        <v>1130</v>
      </c>
      <c r="C5107" s="172"/>
      <c r="D5107" s="173"/>
      <c r="E5107" s="402">
        <f>C5090*C5091*C5093</f>
        <v>10.282500000000001</v>
      </c>
      <c r="F5107" s="390" t="s">
        <v>1124</v>
      </c>
      <c r="G5107" s="196"/>
      <c r="H5107" s="196"/>
      <c r="I5107" s="196"/>
      <c r="J5107" s="405"/>
      <c r="AX5107" s="117"/>
      <c r="AY5107" s="117"/>
      <c r="AZ5107" s="117"/>
      <c r="BA5107" s="117"/>
      <c r="BB5107" s="117"/>
      <c r="BC5107" s="117"/>
      <c r="BD5107" s="117"/>
    </row>
    <row r="5108" spans="1:56" ht="15">
      <c r="A5108" s="114"/>
      <c r="B5108" s="288"/>
      <c r="C5108" s="230"/>
      <c r="D5108" s="230"/>
      <c r="E5108" s="384"/>
      <c r="F5108" s="196"/>
      <c r="G5108" s="196"/>
      <c r="H5108" s="196"/>
      <c r="I5108" s="196"/>
      <c r="J5108" s="405"/>
      <c r="AX5108" s="117"/>
      <c r="AY5108" s="117"/>
      <c r="AZ5108" s="117"/>
      <c r="BA5108" s="117"/>
      <c r="BB5108" s="117"/>
      <c r="BC5108" s="117"/>
      <c r="BD5108" s="117"/>
    </row>
    <row r="5109" spans="1:56" ht="15">
      <c r="A5109" s="114"/>
      <c r="B5109" s="293"/>
      <c r="C5109" s="387"/>
      <c r="D5109" s="387"/>
      <c r="E5109" s="387"/>
      <c r="F5109" s="387"/>
      <c r="G5109" s="387"/>
      <c r="H5109" s="386"/>
      <c r="I5109" s="386"/>
      <c r="J5109" s="948"/>
      <c r="AX5109" s="117"/>
      <c r="AY5109" s="117"/>
      <c r="AZ5109" s="117"/>
      <c r="BA5109" s="117"/>
      <c r="BB5109" s="117"/>
      <c r="BC5109" s="117"/>
      <c r="BD5109" s="117"/>
    </row>
    <row r="5110" spans="1:56">
      <c r="A5110" s="114"/>
      <c r="B5110" s="385" t="s">
        <v>2231</v>
      </c>
      <c r="C5110" s="196"/>
      <c r="D5110" s="196"/>
      <c r="E5110" s="196"/>
      <c r="F5110" s="196"/>
      <c r="G5110" s="196"/>
      <c r="H5110" s="196"/>
      <c r="I5110" s="196"/>
      <c r="J5110" s="415"/>
      <c r="AX5110" s="117"/>
      <c r="AY5110" s="117"/>
      <c r="AZ5110" s="117"/>
      <c r="BA5110" s="117"/>
      <c r="BB5110" s="117"/>
      <c r="BC5110" s="117"/>
      <c r="BD5110" s="117"/>
    </row>
    <row r="5111" spans="1:56" ht="15">
      <c r="A5111" s="114"/>
      <c r="B5111" s="196"/>
      <c r="C5111" s="196"/>
      <c r="D5111" s="196"/>
      <c r="E5111" s="196"/>
      <c r="F5111" s="196"/>
      <c r="G5111" s="196"/>
      <c r="H5111" s="196"/>
      <c r="I5111" s="196"/>
      <c r="J5111" s="948"/>
      <c r="AX5111" s="117"/>
      <c r="AY5111" s="117"/>
      <c r="AZ5111" s="117"/>
      <c r="BA5111" s="117"/>
      <c r="BB5111" s="117"/>
      <c r="BC5111" s="117"/>
      <c r="BD5111" s="117"/>
    </row>
    <row r="5112" spans="1:56" ht="15">
      <c r="A5112" s="114"/>
      <c r="B5112" s="388" t="s">
        <v>1110</v>
      </c>
      <c r="C5112" s="389">
        <v>0.25</v>
      </c>
      <c r="D5112" s="390" t="s">
        <v>10</v>
      </c>
      <c r="E5112" s="196"/>
      <c r="F5112" s="196"/>
      <c r="G5112" s="392"/>
      <c r="H5112" s="949"/>
      <c r="I5112" s="196"/>
      <c r="J5112" s="948"/>
      <c r="AX5112" s="117"/>
      <c r="AY5112" s="117"/>
      <c r="AZ5112" s="117"/>
      <c r="BA5112" s="117"/>
      <c r="BB5112" s="117"/>
      <c r="BC5112" s="117"/>
      <c r="BD5112" s="117"/>
    </row>
    <row r="5113" spans="1:56" ht="15">
      <c r="A5113" s="114"/>
      <c r="B5113" s="388" t="s">
        <v>1111</v>
      </c>
      <c r="C5113" s="391">
        <v>6</v>
      </c>
      <c r="D5113" s="390" t="s">
        <v>10</v>
      </c>
      <c r="E5113" s="196"/>
      <c r="F5113" s="949"/>
      <c r="G5113" s="392"/>
      <c r="H5113" s="949"/>
      <c r="I5113" s="196"/>
      <c r="J5113" s="948"/>
      <c r="AX5113" s="117"/>
      <c r="AY5113" s="117"/>
      <c r="AZ5113" s="117"/>
      <c r="BA5113" s="117"/>
      <c r="BB5113" s="117"/>
      <c r="BC5113" s="117"/>
      <c r="BD5113" s="117"/>
    </row>
    <row r="5114" spans="1:56" ht="15">
      <c r="A5114" s="114"/>
      <c r="B5114" s="388" t="s">
        <v>1112</v>
      </c>
      <c r="C5114" s="389">
        <v>-0.95</v>
      </c>
      <c r="D5114" s="390" t="s">
        <v>10</v>
      </c>
      <c r="E5114" s="196"/>
      <c r="F5114" s="196"/>
      <c r="G5114" s="392"/>
      <c r="H5114" s="949"/>
      <c r="I5114" s="196"/>
      <c r="J5114" s="948"/>
      <c r="AX5114" s="117"/>
      <c r="AY5114" s="117"/>
      <c r="AZ5114" s="117"/>
      <c r="BA5114" s="117"/>
      <c r="BB5114" s="117"/>
      <c r="BC5114" s="117"/>
      <c r="BD5114" s="117"/>
    </row>
    <row r="5115" spans="1:56" ht="15">
      <c r="A5115" s="114"/>
      <c r="B5115" s="388" t="s">
        <v>1113</v>
      </c>
      <c r="C5115" s="389">
        <v>2.1</v>
      </c>
      <c r="D5115" s="390" t="s">
        <v>10</v>
      </c>
      <c r="E5115" s="196"/>
      <c r="F5115" s="196"/>
      <c r="G5115" s="392"/>
      <c r="H5115" s="394"/>
      <c r="I5115" s="196"/>
      <c r="J5115" s="948"/>
      <c r="AX5115" s="117"/>
      <c r="AY5115" s="117"/>
      <c r="AZ5115" s="117"/>
      <c r="BA5115" s="117"/>
      <c r="BB5115" s="117"/>
      <c r="BC5115" s="117"/>
      <c r="BD5115" s="117"/>
    </row>
    <row r="5116" spans="1:56" ht="15">
      <c r="A5116" s="114"/>
      <c r="B5116" s="388" t="s">
        <v>1117</v>
      </c>
      <c r="C5116" s="389">
        <v>1</v>
      </c>
      <c r="D5116" s="390" t="s">
        <v>1118</v>
      </c>
      <c r="E5116" s="196"/>
      <c r="F5116" s="196"/>
      <c r="G5116" s="392"/>
      <c r="H5116" s="949"/>
      <c r="I5116" s="196"/>
      <c r="J5116" s="948"/>
      <c r="AX5116" s="117"/>
      <c r="AY5116" s="117"/>
      <c r="AZ5116" s="117"/>
      <c r="BA5116" s="117"/>
      <c r="BB5116" s="117"/>
      <c r="BC5116" s="117"/>
      <c r="BD5116" s="117"/>
    </row>
    <row r="5117" spans="1:56" ht="15">
      <c r="A5117" s="114"/>
      <c r="B5117" s="392"/>
      <c r="C5117" s="949"/>
      <c r="D5117" s="196"/>
      <c r="E5117" s="196"/>
      <c r="F5117" s="196"/>
      <c r="G5117" s="392"/>
      <c r="H5117" s="949"/>
      <c r="I5117" s="196"/>
      <c r="J5117" s="948"/>
      <c r="AX5117" s="117"/>
      <c r="AY5117" s="117"/>
      <c r="AZ5117" s="117"/>
      <c r="BA5117" s="117"/>
      <c r="BB5117" s="117"/>
      <c r="BC5117" s="117"/>
      <c r="BD5117" s="117"/>
    </row>
    <row r="5118" spans="1:56" ht="15">
      <c r="A5118" s="114"/>
      <c r="B5118" s="388" t="s">
        <v>1114</v>
      </c>
      <c r="C5118" s="389">
        <v>0.6</v>
      </c>
      <c r="D5118" s="390" t="s">
        <v>10</v>
      </c>
      <c r="E5118" s="288" t="s">
        <v>1120</v>
      </c>
      <c r="F5118" s="288"/>
      <c r="G5118" s="230"/>
      <c r="H5118" s="395"/>
      <c r="I5118" s="196"/>
      <c r="J5118" s="114"/>
      <c r="AW5118" s="117"/>
      <c r="AX5118" s="117"/>
      <c r="AY5118" s="117"/>
      <c r="AZ5118" s="117"/>
      <c r="BA5118" s="117"/>
      <c r="BB5118" s="117"/>
      <c r="BC5118" s="117"/>
      <c r="BD5118" s="117"/>
    </row>
    <row r="5119" spans="1:56" ht="15">
      <c r="A5119" s="114"/>
      <c r="B5119" s="388" t="s">
        <v>1114</v>
      </c>
      <c r="C5119" s="389">
        <v>0.2</v>
      </c>
      <c r="D5119" s="390" t="s">
        <v>10</v>
      </c>
      <c r="E5119" s="288" t="s">
        <v>1121</v>
      </c>
      <c r="F5119" s="288"/>
      <c r="G5119" s="230"/>
      <c r="H5119" s="395"/>
      <c r="I5119" s="196"/>
      <c r="J5119" s="114"/>
      <c r="AW5119" s="117"/>
      <c r="AX5119" s="117"/>
      <c r="AY5119" s="117"/>
      <c r="AZ5119" s="117"/>
      <c r="BA5119" s="117"/>
      <c r="BB5119" s="117"/>
      <c r="BC5119" s="117"/>
      <c r="BD5119" s="117"/>
    </row>
    <row r="5120" spans="1:56" ht="15">
      <c r="A5120" s="114"/>
      <c r="B5120" s="196"/>
      <c r="C5120" s="196"/>
      <c r="D5120" s="196"/>
      <c r="E5120" s="196"/>
      <c r="F5120" s="196"/>
      <c r="G5120" s="196"/>
      <c r="H5120" s="196"/>
      <c r="I5120" s="196"/>
      <c r="J5120" s="114"/>
      <c r="AW5120" s="117"/>
      <c r="AX5120" s="117"/>
      <c r="AY5120" s="117"/>
      <c r="AZ5120" s="117"/>
      <c r="BA5120" s="117"/>
      <c r="BB5120" s="117"/>
      <c r="BC5120" s="117"/>
      <c r="BD5120" s="117"/>
    </row>
    <row r="5121" spans="1:56" ht="15">
      <c r="A5121" s="114"/>
      <c r="B5121" s="303" t="s">
        <v>1122</v>
      </c>
      <c r="C5121" s="948"/>
      <c r="D5121" s="948"/>
      <c r="E5121" s="196"/>
      <c r="F5121" s="196"/>
      <c r="G5121" s="196"/>
      <c r="H5121" s="196"/>
      <c r="I5121" s="196"/>
      <c r="J5121" s="114"/>
      <c r="AW5121" s="117"/>
      <c r="AX5121" s="117"/>
      <c r="AY5121" s="117"/>
      <c r="AZ5121" s="117"/>
      <c r="BA5121" s="117"/>
      <c r="BB5121" s="117"/>
      <c r="BC5121" s="117"/>
      <c r="BD5121" s="117"/>
    </row>
    <row r="5122" spans="1:56" customFormat="1" ht="18">
      <c r="A5122" s="114"/>
      <c r="B5122" s="396" t="s">
        <v>1123</v>
      </c>
      <c r="C5122" s="289"/>
      <c r="D5122" s="290"/>
      <c r="E5122" s="397">
        <f>C5116*(C5118*2*(0.05+C5115+C5114)*C5113)</f>
        <v>8.64</v>
      </c>
      <c r="F5122" s="390" t="s">
        <v>1124</v>
      </c>
      <c r="G5122" s="196"/>
      <c r="H5122" s="196"/>
      <c r="I5122" s="196"/>
      <c r="J5122" s="948"/>
    </row>
    <row r="5123" spans="1:56" ht="18">
      <c r="A5123" s="114"/>
      <c r="B5123" s="950" t="s">
        <v>1125</v>
      </c>
      <c r="C5123" s="172"/>
      <c r="D5123" s="173"/>
      <c r="E5123" s="397">
        <f>E5122-((C5112*0.05+C5112*C5115)*C5113)</f>
        <v>5.4150000000000009</v>
      </c>
      <c r="F5123" s="390" t="s">
        <v>1124</v>
      </c>
      <c r="G5123" s="196"/>
      <c r="H5123" s="196"/>
      <c r="I5123" s="196"/>
      <c r="J5123" s="404"/>
      <c r="AX5123" s="117"/>
      <c r="AY5123" s="117"/>
      <c r="AZ5123" s="117"/>
      <c r="BA5123" s="117"/>
      <c r="BB5123" s="117"/>
      <c r="BC5123" s="117"/>
      <c r="BD5123" s="117"/>
    </row>
    <row r="5124" spans="1:56" ht="15">
      <c r="A5124" s="114"/>
      <c r="B5124" s="399" t="s">
        <v>1126</v>
      </c>
      <c r="C5124" s="317"/>
      <c r="D5124" s="318"/>
      <c r="E5124" s="400">
        <f>(2*C5119)*C5113</f>
        <v>2.4000000000000004</v>
      </c>
      <c r="F5124" s="390" t="s">
        <v>13</v>
      </c>
      <c r="G5124" s="196"/>
      <c r="H5124" s="196"/>
      <c r="I5124" s="196"/>
      <c r="J5124" s="405"/>
      <c r="AX5124" s="117"/>
      <c r="AY5124" s="117"/>
      <c r="AZ5124" s="117"/>
      <c r="BA5124" s="117"/>
      <c r="BB5124" s="117"/>
      <c r="BC5124" s="117"/>
      <c r="BD5124" s="117"/>
    </row>
    <row r="5125" spans="1:56" ht="15">
      <c r="A5125" s="114"/>
      <c r="B5125" s="196"/>
      <c r="C5125" s="196"/>
      <c r="D5125" s="196"/>
      <c r="E5125" s="401"/>
      <c r="F5125" s="196"/>
      <c r="G5125" s="196"/>
      <c r="H5125" s="196"/>
      <c r="I5125" s="196"/>
      <c r="J5125" s="405"/>
      <c r="AX5125" s="117"/>
      <c r="AY5125" s="117"/>
      <c r="AZ5125" s="117"/>
      <c r="BA5125" s="117"/>
      <c r="BB5125" s="117"/>
      <c r="BC5125" s="117"/>
      <c r="BD5125" s="117"/>
    </row>
    <row r="5126" spans="1:56" ht="15">
      <c r="A5126" s="114"/>
      <c r="B5126" s="303" t="s">
        <v>1127</v>
      </c>
      <c r="C5126" s="196"/>
      <c r="D5126" s="196"/>
      <c r="E5126" s="401"/>
      <c r="F5126" s="196"/>
      <c r="G5126" s="196"/>
      <c r="H5126" s="196"/>
      <c r="I5126" s="196"/>
      <c r="J5126" s="405"/>
      <c r="AX5126" s="117"/>
      <c r="AY5126" s="117"/>
      <c r="AZ5126" s="117"/>
      <c r="BA5126" s="117"/>
      <c r="BB5126" s="117"/>
      <c r="BC5126" s="117"/>
      <c r="BD5126" s="117"/>
    </row>
    <row r="5127" spans="1:56" ht="18">
      <c r="A5127" s="114"/>
      <c r="B5127" s="950" t="s">
        <v>1128</v>
      </c>
      <c r="C5127" s="172"/>
      <c r="D5127" s="173"/>
      <c r="E5127" s="402">
        <f>E5124*0.05</f>
        <v>0.12000000000000002</v>
      </c>
      <c r="F5127" s="390" t="s">
        <v>1124</v>
      </c>
      <c r="G5127" s="196"/>
      <c r="H5127" s="196"/>
      <c r="I5127" s="196"/>
      <c r="J5127" s="405"/>
      <c r="AX5127" s="117"/>
      <c r="AY5127" s="117"/>
      <c r="AZ5127" s="117"/>
      <c r="BA5127" s="117"/>
      <c r="BB5127" s="117"/>
      <c r="BC5127" s="117"/>
      <c r="BD5127" s="117"/>
    </row>
    <row r="5128" spans="1:56" ht="15">
      <c r="A5128" s="114"/>
      <c r="B5128" s="950" t="s">
        <v>1129</v>
      </c>
      <c r="C5128" s="172"/>
      <c r="D5128" s="173"/>
      <c r="E5128" s="397">
        <f>C5115*2*C5113</f>
        <v>25.200000000000003</v>
      </c>
      <c r="F5128" s="390" t="s">
        <v>13</v>
      </c>
      <c r="G5128" s="949" t="s">
        <v>1108</v>
      </c>
      <c r="H5128" s="196" t="s">
        <v>1131</v>
      </c>
      <c r="I5128" s="949"/>
      <c r="J5128" s="405"/>
      <c r="AX5128" s="117"/>
      <c r="AY5128" s="117"/>
      <c r="AZ5128" s="117"/>
      <c r="BA5128" s="117"/>
      <c r="BB5128" s="117"/>
      <c r="BC5128" s="117"/>
      <c r="BD5128" s="117"/>
    </row>
    <row r="5129" spans="1:56" ht="18">
      <c r="A5129" s="114"/>
      <c r="B5129" s="950" t="s">
        <v>1130</v>
      </c>
      <c r="C5129" s="172"/>
      <c r="D5129" s="173"/>
      <c r="E5129" s="402">
        <f>C5112*C5113*C5115</f>
        <v>3.1500000000000004</v>
      </c>
      <c r="F5129" s="390" t="s">
        <v>1124</v>
      </c>
      <c r="G5129" s="196"/>
      <c r="H5129" s="196"/>
      <c r="I5129" s="196"/>
      <c r="J5129" s="405"/>
      <c r="AX5129" s="117"/>
      <c r="AY5129" s="117"/>
      <c r="AZ5129" s="117"/>
      <c r="BA5129" s="117"/>
      <c r="BB5129" s="117"/>
      <c r="BC5129" s="117"/>
      <c r="BD5129" s="117"/>
    </row>
    <row r="5130" spans="1:56" ht="15">
      <c r="A5130" s="114"/>
      <c r="B5130" s="288"/>
      <c r="C5130" s="230"/>
      <c r="D5130" s="230"/>
      <c r="E5130" s="384"/>
      <c r="F5130" s="196"/>
      <c r="G5130" s="196"/>
      <c r="H5130" s="196"/>
      <c r="I5130" s="196"/>
      <c r="J5130" s="405"/>
      <c r="AX5130" s="117"/>
      <c r="AY5130" s="117"/>
      <c r="AZ5130" s="117"/>
      <c r="BA5130" s="117"/>
      <c r="BB5130" s="117"/>
      <c r="BC5130" s="117"/>
      <c r="BD5130" s="117"/>
    </row>
    <row r="5131" spans="1:56">
      <c r="A5131" s="114"/>
      <c r="B5131" s="385" t="s">
        <v>2163</v>
      </c>
      <c r="C5131" s="196"/>
      <c r="D5131" s="196"/>
      <c r="E5131" s="196"/>
      <c r="F5131" s="196"/>
      <c r="G5131" s="196"/>
      <c r="H5131" s="196"/>
      <c r="I5131" s="196"/>
      <c r="J5131" s="196"/>
      <c r="AX5131" s="117"/>
      <c r="AY5131" s="117"/>
      <c r="AZ5131" s="117"/>
      <c r="BA5131" s="117"/>
      <c r="BB5131" s="117"/>
      <c r="BC5131" s="117"/>
      <c r="BD5131" s="117"/>
    </row>
    <row r="5132" spans="1:56" ht="15">
      <c r="A5132" s="114"/>
      <c r="B5132" s="196"/>
      <c r="C5132" s="196"/>
      <c r="D5132" s="196"/>
      <c r="E5132" s="196"/>
      <c r="F5132" s="196"/>
      <c r="G5132" s="196"/>
      <c r="H5132" s="196"/>
      <c r="I5132" s="196"/>
      <c r="J5132" s="196"/>
      <c r="AX5132" s="117"/>
      <c r="AY5132" s="117"/>
      <c r="AZ5132" s="117"/>
      <c r="BA5132" s="117"/>
      <c r="BB5132" s="117"/>
      <c r="BC5132" s="117"/>
      <c r="BD5132" s="117"/>
    </row>
    <row r="5133" spans="1:56" ht="15">
      <c r="A5133" s="114"/>
      <c r="B5133" s="388" t="s">
        <v>1110</v>
      </c>
      <c r="C5133" s="389">
        <v>0.3</v>
      </c>
      <c r="D5133" s="390" t="s">
        <v>10</v>
      </c>
      <c r="E5133" s="196"/>
      <c r="F5133" s="196"/>
      <c r="G5133" s="392"/>
      <c r="H5133" s="908"/>
      <c r="I5133" s="196"/>
      <c r="J5133" s="196"/>
      <c r="AX5133" s="117"/>
      <c r="AY5133" s="117"/>
      <c r="AZ5133" s="117"/>
      <c r="BA5133" s="117"/>
      <c r="BB5133" s="117"/>
      <c r="BC5133" s="117"/>
      <c r="BD5133" s="117"/>
    </row>
    <row r="5134" spans="1:56" ht="15">
      <c r="A5134" s="114"/>
      <c r="B5134" s="388" t="s">
        <v>1111</v>
      </c>
      <c r="C5134" s="391">
        <v>2.93</v>
      </c>
      <c r="D5134" s="390" t="s">
        <v>10</v>
      </c>
      <c r="E5134" s="196"/>
      <c r="F5134" s="908"/>
      <c r="G5134" s="392"/>
      <c r="H5134" s="908"/>
      <c r="I5134" s="196"/>
      <c r="J5134" s="196"/>
      <c r="AX5134" s="117"/>
      <c r="AY5134" s="117"/>
      <c r="AZ5134" s="117"/>
      <c r="BA5134" s="117"/>
      <c r="BB5134" s="117"/>
      <c r="BC5134" s="117"/>
      <c r="BD5134" s="117"/>
    </row>
    <row r="5135" spans="1:56" ht="15">
      <c r="A5135" s="114"/>
      <c r="B5135" s="388" t="s">
        <v>1112</v>
      </c>
      <c r="C5135" s="389">
        <v>0.55000000000000004</v>
      </c>
      <c r="D5135" s="390" t="s">
        <v>10</v>
      </c>
      <c r="E5135" s="196"/>
      <c r="F5135" s="196"/>
      <c r="G5135" s="392"/>
      <c r="H5135" s="908"/>
      <c r="I5135" s="196"/>
      <c r="J5135" s="196"/>
      <c r="AX5135" s="117"/>
      <c r="AY5135" s="117"/>
      <c r="AZ5135" s="117"/>
      <c r="BA5135" s="117"/>
      <c r="BB5135" s="117"/>
      <c r="BC5135" s="117"/>
      <c r="BD5135" s="117"/>
    </row>
    <row r="5136" spans="1:56" ht="15">
      <c r="A5136" s="114"/>
      <c r="B5136" s="388" t="s">
        <v>1113</v>
      </c>
      <c r="C5136" s="389">
        <v>0.5</v>
      </c>
      <c r="D5136" s="390" t="s">
        <v>10</v>
      </c>
      <c r="E5136" s="196"/>
      <c r="F5136" s="196"/>
      <c r="G5136" s="392"/>
      <c r="H5136" s="394"/>
      <c r="I5136" s="196"/>
      <c r="J5136" s="907"/>
      <c r="AX5136" s="117"/>
      <c r="AY5136" s="117"/>
      <c r="AZ5136" s="117"/>
      <c r="BA5136" s="117"/>
      <c r="BB5136" s="117"/>
      <c r="BC5136" s="117"/>
      <c r="BD5136" s="117"/>
    </row>
    <row r="5137" spans="1:56" ht="15">
      <c r="A5137" s="114"/>
      <c r="B5137" s="388" t="s">
        <v>1117</v>
      </c>
      <c r="C5137" s="389">
        <v>1</v>
      </c>
      <c r="D5137" s="390" t="s">
        <v>1118</v>
      </c>
      <c r="E5137" s="196"/>
      <c r="F5137" s="196"/>
      <c r="G5137" s="392"/>
      <c r="H5137" s="908"/>
      <c r="I5137" s="196"/>
      <c r="J5137" s="196"/>
      <c r="AX5137" s="117"/>
      <c r="AY5137" s="117"/>
      <c r="AZ5137" s="117"/>
      <c r="BA5137" s="117"/>
      <c r="BB5137" s="117"/>
      <c r="BC5137" s="117"/>
      <c r="BD5137" s="117"/>
    </row>
    <row r="5138" spans="1:56" ht="15">
      <c r="A5138" s="114"/>
      <c r="B5138" s="392"/>
      <c r="C5138" s="908"/>
      <c r="D5138" s="196"/>
      <c r="E5138" s="196"/>
      <c r="F5138" s="196"/>
      <c r="G5138" s="392"/>
      <c r="H5138" s="908"/>
      <c r="I5138" s="196"/>
      <c r="J5138" s="907"/>
      <c r="AX5138" s="117"/>
      <c r="AY5138" s="117"/>
      <c r="AZ5138" s="117"/>
      <c r="BA5138" s="117"/>
      <c r="BB5138" s="117"/>
      <c r="BC5138" s="117"/>
      <c r="BD5138" s="117"/>
    </row>
    <row r="5139" spans="1:56" ht="15">
      <c r="A5139" s="114"/>
      <c r="B5139" s="388" t="s">
        <v>1114</v>
      </c>
      <c r="C5139" s="389">
        <v>0.6</v>
      </c>
      <c r="D5139" s="390" t="s">
        <v>10</v>
      </c>
      <c r="E5139" s="288" t="s">
        <v>1120</v>
      </c>
      <c r="F5139" s="288"/>
      <c r="G5139" s="230"/>
      <c r="H5139" s="395"/>
      <c r="I5139" s="196"/>
      <c r="J5139" s="907"/>
      <c r="AX5139" s="117"/>
      <c r="AY5139" s="117"/>
      <c r="AZ5139" s="117"/>
      <c r="BA5139" s="117"/>
      <c r="BB5139" s="117"/>
      <c r="BC5139" s="117"/>
      <c r="BD5139" s="117"/>
    </row>
    <row r="5140" spans="1:56" ht="15">
      <c r="A5140" s="114"/>
      <c r="B5140" s="388" t="s">
        <v>1114</v>
      </c>
      <c r="C5140" s="389">
        <v>0.2</v>
      </c>
      <c r="D5140" s="390" t="s">
        <v>10</v>
      </c>
      <c r="E5140" s="288" t="s">
        <v>1121</v>
      </c>
      <c r="F5140" s="288"/>
      <c r="G5140" s="230"/>
      <c r="H5140" s="395"/>
      <c r="I5140" s="196"/>
      <c r="J5140" s="907"/>
      <c r="AX5140" s="117"/>
      <c r="AY5140" s="117"/>
      <c r="AZ5140" s="117"/>
      <c r="BA5140" s="117"/>
      <c r="BB5140" s="117"/>
      <c r="BC5140" s="117"/>
      <c r="BD5140" s="117"/>
    </row>
    <row r="5141" spans="1:56" ht="15">
      <c r="A5141" s="114"/>
      <c r="B5141" s="196"/>
      <c r="C5141" s="196"/>
      <c r="D5141" s="196"/>
      <c r="E5141" s="196"/>
      <c r="F5141" s="196"/>
      <c r="G5141" s="196"/>
      <c r="H5141" s="196"/>
      <c r="I5141" s="196"/>
      <c r="J5141" s="907"/>
      <c r="AX5141" s="117"/>
      <c r="AY5141" s="117"/>
      <c r="AZ5141" s="117"/>
      <c r="BA5141" s="117"/>
      <c r="BB5141" s="117"/>
      <c r="BC5141" s="117"/>
      <c r="BD5141" s="117"/>
    </row>
    <row r="5142" spans="1:56" ht="15">
      <c r="A5142" s="114"/>
      <c r="B5142" s="303" t="s">
        <v>1122</v>
      </c>
      <c r="C5142" s="907"/>
      <c r="D5142" s="907"/>
      <c r="E5142" s="196"/>
      <c r="F5142" s="196"/>
      <c r="G5142" s="196"/>
      <c r="H5142" s="196"/>
      <c r="I5142" s="196"/>
      <c r="J5142" s="907"/>
      <c r="AX5142" s="117"/>
      <c r="AY5142" s="117"/>
      <c r="AZ5142" s="117"/>
      <c r="BA5142" s="117"/>
      <c r="BB5142" s="117"/>
      <c r="BC5142" s="117"/>
      <c r="BD5142" s="117"/>
    </row>
    <row r="5143" spans="1:56" ht="18">
      <c r="A5143" s="114"/>
      <c r="B5143" s="396" t="s">
        <v>1123</v>
      </c>
      <c r="C5143" s="289"/>
      <c r="D5143" s="290"/>
      <c r="E5143" s="397">
        <f>C5137*(C5139*2*(0.05+C5136+C5135)*C5134)</f>
        <v>3.8676000000000004</v>
      </c>
      <c r="F5143" s="390" t="s">
        <v>1124</v>
      </c>
      <c r="G5143" s="196"/>
      <c r="H5143" s="196"/>
      <c r="I5143" s="196"/>
      <c r="J5143" s="415"/>
      <c r="AX5143" s="117"/>
      <c r="AY5143" s="117"/>
      <c r="AZ5143" s="117"/>
      <c r="BA5143" s="117"/>
      <c r="BB5143" s="117"/>
      <c r="BC5143" s="117"/>
      <c r="BD5143" s="117"/>
    </row>
    <row r="5144" spans="1:56" ht="18">
      <c r="A5144" s="114"/>
      <c r="B5144" s="909" t="s">
        <v>1125</v>
      </c>
      <c r="C5144" s="172"/>
      <c r="D5144" s="173"/>
      <c r="E5144" s="397">
        <f>E5143-((C5133*0.05+C5133*C5136)*C5134)</f>
        <v>3.3841500000000004</v>
      </c>
      <c r="F5144" s="390" t="s">
        <v>1124</v>
      </c>
      <c r="G5144" s="196"/>
      <c r="H5144" s="196"/>
      <c r="I5144" s="196"/>
      <c r="J5144" s="907"/>
      <c r="AX5144" s="117"/>
      <c r="AY5144" s="117"/>
      <c r="AZ5144" s="117"/>
      <c r="BA5144" s="117"/>
      <c r="BB5144" s="117"/>
      <c r="BC5144" s="117"/>
      <c r="BD5144" s="117"/>
    </row>
    <row r="5145" spans="1:56" ht="15">
      <c r="A5145" s="114"/>
      <c r="B5145" s="399" t="s">
        <v>1126</v>
      </c>
      <c r="C5145" s="317"/>
      <c r="D5145" s="318"/>
      <c r="E5145" s="400">
        <f>(2*C5140)*C5134</f>
        <v>1.1720000000000002</v>
      </c>
      <c r="F5145" s="390" t="s">
        <v>13</v>
      </c>
      <c r="G5145" s="196"/>
      <c r="H5145" s="196"/>
      <c r="I5145" s="196"/>
      <c r="J5145" s="907"/>
      <c r="AX5145" s="117"/>
      <c r="AY5145" s="117"/>
      <c r="AZ5145" s="117"/>
      <c r="BA5145" s="117"/>
      <c r="BB5145" s="117"/>
      <c r="BC5145" s="117"/>
      <c r="BD5145" s="117"/>
    </row>
    <row r="5146" spans="1:56" ht="15">
      <c r="A5146" s="114"/>
      <c r="B5146" s="196"/>
      <c r="C5146" s="196"/>
      <c r="D5146" s="196"/>
      <c r="E5146" s="401"/>
      <c r="F5146" s="196"/>
      <c r="G5146" s="196"/>
      <c r="H5146" s="196"/>
      <c r="I5146" s="196"/>
      <c r="J5146" s="907"/>
      <c r="AX5146" s="117"/>
      <c r="AY5146" s="117"/>
      <c r="AZ5146" s="117"/>
      <c r="BA5146" s="117"/>
      <c r="BB5146" s="117"/>
      <c r="BC5146" s="117"/>
      <c r="BD5146" s="117"/>
    </row>
    <row r="5147" spans="1:56" ht="15">
      <c r="A5147" s="114"/>
      <c r="B5147" s="303" t="s">
        <v>1127</v>
      </c>
      <c r="C5147" s="196"/>
      <c r="D5147" s="196"/>
      <c r="E5147" s="401"/>
      <c r="F5147" s="196"/>
      <c r="G5147" s="196"/>
      <c r="H5147" s="196"/>
      <c r="I5147" s="196"/>
      <c r="J5147" s="907"/>
      <c r="AX5147" s="117"/>
      <c r="AY5147" s="117"/>
      <c r="AZ5147" s="117"/>
      <c r="BA5147" s="117"/>
      <c r="BB5147" s="117"/>
      <c r="BC5147" s="117"/>
      <c r="BD5147" s="117"/>
    </row>
    <row r="5148" spans="1:56" ht="18">
      <c r="A5148" s="114"/>
      <c r="B5148" s="909" t="s">
        <v>1128</v>
      </c>
      <c r="C5148" s="172"/>
      <c r="D5148" s="173"/>
      <c r="E5148" s="402">
        <f>E5145*0.05</f>
        <v>5.8600000000000013E-2</v>
      </c>
      <c r="F5148" s="390" t="s">
        <v>1124</v>
      </c>
      <c r="G5148" s="196"/>
      <c r="H5148" s="196"/>
      <c r="I5148" s="196"/>
      <c r="J5148" s="907"/>
      <c r="AX5148" s="117"/>
      <c r="AY5148" s="117"/>
      <c r="AZ5148" s="117"/>
      <c r="BA5148" s="117"/>
      <c r="BB5148" s="117"/>
      <c r="BC5148" s="117"/>
      <c r="BD5148" s="117"/>
    </row>
    <row r="5149" spans="1:56" ht="15">
      <c r="A5149" s="114"/>
      <c r="B5149" s="909" t="s">
        <v>1129</v>
      </c>
      <c r="C5149" s="172"/>
      <c r="D5149" s="173"/>
      <c r="E5149" s="397">
        <f>C5136*2*C5134</f>
        <v>2.93</v>
      </c>
      <c r="F5149" s="390" t="s">
        <v>13</v>
      </c>
      <c r="G5149" s="908" t="s">
        <v>1108</v>
      </c>
      <c r="H5149" s="196" t="s">
        <v>1131</v>
      </c>
      <c r="I5149" s="908"/>
      <c r="J5149" s="907"/>
      <c r="AX5149" s="117"/>
      <c r="AY5149" s="117"/>
      <c r="AZ5149" s="117"/>
      <c r="BA5149" s="117"/>
      <c r="BB5149" s="117"/>
      <c r="BC5149" s="117"/>
      <c r="BD5149" s="117"/>
    </row>
    <row r="5150" spans="1:56" ht="18">
      <c r="A5150" s="114"/>
      <c r="B5150" s="909" t="s">
        <v>1130</v>
      </c>
      <c r="C5150" s="172"/>
      <c r="D5150" s="173"/>
      <c r="E5150" s="402">
        <f>C5133*C5134*C5136</f>
        <v>0.4395</v>
      </c>
      <c r="F5150" s="390" t="s">
        <v>1124</v>
      </c>
      <c r="G5150" s="196"/>
      <c r="H5150" s="196"/>
      <c r="I5150" s="196"/>
      <c r="J5150" s="907"/>
      <c r="AX5150" s="117"/>
      <c r="AY5150" s="117"/>
      <c r="AZ5150" s="117"/>
      <c r="BA5150" s="117"/>
      <c r="BB5150" s="117"/>
      <c r="BC5150" s="117"/>
      <c r="BD5150" s="117"/>
    </row>
    <row r="5151" spans="1:56" ht="15">
      <c r="A5151" s="114"/>
      <c r="B5151" s="288"/>
      <c r="C5151" s="230"/>
      <c r="D5151" s="230"/>
      <c r="E5151" s="384"/>
      <c r="F5151" s="196"/>
      <c r="G5151" s="196"/>
      <c r="H5151" s="196"/>
      <c r="I5151" s="196"/>
      <c r="J5151" s="114"/>
      <c r="AW5151" s="117"/>
      <c r="AX5151" s="117"/>
      <c r="AY5151" s="117"/>
      <c r="AZ5151" s="117"/>
      <c r="BA5151" s="117"/>
      <c r="BB5151" s="117"/>
      <c r="BC5151" s="117"/>
      <c r="BD5151" s="117"/>
    </row>
    <row r="5152" spans="1:56" ht="15">
      <c r="A5152" s="114"/>
      <c r="B5152" s="293"/>
      <c r="C5152" s="387"/>
      <c r="D5152" s="387"/>
      <c r="E5152" s="387"/>
      <c r="F5152" s="387"/>
      <c r="G5152" s="387"/>
      <c r="H5152" s="386"/>
      <c r="I5152" s="386"/>
      <c r="J5152" s="405"/>
      <c r="AX5152" s="117"/>
      <c r="AY5152" s="117"/>
      <c r="AZ5152" s="117"/>
      <c r="BA5152" s="117"/>
      <c r="BB5152" s="117"/>
      <c r="BC5152" s="117"/>
      <c r="BD5152" s="117"/>
    </row>
    <row r="5153" spans="1:56" ht="15">
      <c r="A5153" s="114"/>
      <c r="B5153" s="293"/>
      <c r="C5153" s="387"/>
      <c r="D5153" s="387"/>
      <c r="E5153" s="387"/>
      <c r="F5153" s="387"/>
      <c r="G5153" s="387"/>
      <c r="H5153" s="386"/>
      <c r="I5153" s="386"/>
      <c r="J5153" s="196"/>
      <c r="AX5153" s="117"/>
      <c r="AY5153" s="117"/>
      <c r="AZ5153" s="117"/>
      <c r="BA5153" s="117"/>
      <c r="BB5153" s="117"/>
      <c r="BC5153" s="117"/>
      <c r="BD5153" s="117"/>
    </row>
    <row r="5154" spans="1:56">
      <c r="A5154" s="114"/>
      <c r="B5154" s="385" t="s">
        <v>1305</v>
      </c>
      <c r="C5154" s="196"/>
      <c r="D5154" s="196"/>
      <c r="E5154" s="196"/>
      <c r="F5154" s="196"/>
      <c r="G5154" s="196"/>
      <c r="H5154" s="196"/>
      <c r="I5154" s="196"/>
      <c r="J5154" s="196"/>
      <c r="AX5154" s="117"/>
      <c r="AY5154" s="117"/>
      <c r="AZ5154" s="117"/>
      <c r="BA5154" s="117"/>
      <c r="BB5154" s="117"/>
      <c r="BC5154" s="117"/>
      <c r="BD5154" s="117"/>
    </row>
    <row r="5155" spans="1:56" ht="15">
      <c r="A5155" s="114"/>
      <c r="B5155" s="196"/>
      <c r="C5155" s="196"/>
      <c r="D5155" s="196"/>
      <c r="E5155" s="196"/>
      <c r="F5155" s="196"/>
      <c r="G5155" s="196"/>
      <c r="H5155" s="196"/>
      <c r="I5155" s="196"/>
      <c r="J5155" s="196"/>
      <c r="AX5155" s="117"/>
      <c r="AY5155" s="117"/>
      <c r="AZ5155" s="117"/>
      <c r="BA5155" s="117"/>
      <c r="BB5155" s="117"/>
      <c r="BC5155" s="117"/>
      <c r="BD5155" s="117"/>
    </row>
    <row r="5156" spans="1:56" ht="15">
      <c r="A5156" s="114"/>
      <c r="B5156" s="388" t="s">
        <v>1110</v>
      </c>
      <c r="C5156" s="389">
        <v>0.3</v>
      </c>
      <c r="D5156" s="390" t="s">
        <v>10</v>
      </c>
      <c r="E5156" s="196"/>
      <c r="F5156" s="196"/>
      <c r="G5156" s="392"/>
      <c r="H5156" s="393"/>
      <c r="I5156" s="196"/>
      <c r="J5156" s="196"/>
      <c r="AX5156" s="117"/>
      <c r="AY5156" s="117"/>
      <c r="AZ5156" s="117"/>
      <c r="BA5156" s="117"/>
      <c r="BB5156" s="117"/>
      <c r="BC5156" s="117"/>
      <c r="BD5156" s="117"/>
    </row>
    <row r="5157" spans="1:56" ht="15">
      <c r="A5157" s="114"/>
      <c r="B5157" s="388" t="s">
        <v>1111</v>
      </c>
      <c r="C5157" s="403">
        <f>2.715</f>
        <v>2.7149999999999999</v>
      </c>
      <c r="D5157" s="390" t="s">
        <v>10</v>
      </c>
      <c r="E5157" s="196"/>
      <c r="F5157" s="908"/>
      <c r="G5157" s="392"/>
      <c r="H5157" s="393"/>
      <c r="I5157" s="196"/>
      <c r="J5157" s="196"/>
      <c r="AX5157" s="117"/>
      <c r="AY5157" s="117"/>
      <c r="AZ5157" s="117"/>
      <c r="BA5157" s="117"/>
      <c r="BB5157" s="117"/>
      <c r="BC5157" s="117"/>
      <c r="BD5157" s="117"/>
    </row>
    <row r="5158" spans="1:56" ht="15">
      <c r="A5158" s="114"/>
      <c r="B5158" s="388" t="s">
        <v>1112</v>
      </c>
      <c r="C5158" s="389">
        <v>0.55000000000000004</v>
      </c>
      <c r="D5158" s="390" t="s">
        <v>10</v>
      </c>
      <c r="E5158" s="196"/>
      <c r="F5158" s="196"/>
      <c r="G5158" s="392"/>
      <c r="H5158" s="393"/>
      <c r="I5158" s="196"/>
      <c r="J5158" s="196"/>
      <c r="AX5158" s="117"/>
      <c r="AY5158" s="117"/>
      <c r="AZ5158" s="117"/>
      <c r="BA5158" s="117"/>
      <c r="BB5158" s="117"/>
      <c r="BC5158" s="117"/>
      <c r="BD5158" s="117"/>
    </row>
    <row r="5159" spans="1:56" ht="15">
      <c r="A5159" s="114"/>
      <c r="B5159" s="388" t="s">
        <v>1113</v>
      </c>
      <c r="C5159" s="389">
        <v>0.6</v>
      </c>
      <c r="D5159" s="390" t="s">
        <v>10</v>
      </c>
      <c r="E5159" s="196"/>
      <c r="F5159" s="196"/>
      <c r="G5159" s="392"/>
      <c r="H5159" s="394"/>
      <c r="I5159" s="196"/>
      <c r="J5159" s="362"/>
      <c r="AX5159" s="117"/>
      <c r="AY5159" s="117"/>
      <c r="AZ5159" s="117"/>
      <c r="BA5159" s="117"/>
      <c r="BB5159" s="117"/>
      <c r="BC5159" s="117"/>
      <c r="BD5159" s="117"/>
    </row>
    <row r="5160" spans="1:56" ht="15">
      <c r="A5160" s="114"/>
      <c r="B5160" s="388" t="s">
        <v>1117</v>
      </c>
      <c r="C5160" s="389">
        <v>1</v>
      </c>
      <c r="D5160" s="390" t="s">
        <v>1118</v>
      </c>
      <c r="E5160" s="196"/>
      <c r="F5160" s="196"/>
      <c r="G5160" s="392"/>
      <c r="H5160" s="393"/>
      <c r="I5160" s="196"/>
      <c r="J5160" s="196"/>
      <c r="AX5160" s="117"/>
      <c r="AY5160" s="117"/>
      <c r="AZ5160" s="117"/>
      <c r="BA5160" s="117"/>
      <c r="BB5160" s="117"/>
      <c r="BC5160" s="117"/>
      <c r="BD5160" s="117"/>
    </row>
    <row r="5161" spans="1:56" ht="15">
      <c r="A5161" s="114"/>
      <c r="B5161" s="392"/>
      <c r="C5161" s="393"/>
      <c r="D5161" s="196"/>
      <c r="E5161" s="196"/>
      <c r="F5161" s="196"/>
      <c r="G5161" s="392"/>
      <c r="H5161" s="393"/>
      <c r="I5161" s="196"/>
      <c r="J5161" s="362"/>
      <c r="AX5161" s="117"/>
      <c r="AY5161" s="117"/>
      <c r="AZ5161" s="117"/>
      <c r="BA5161" s="117"/>
      <c r="BB5161" s="117"/>
      <c r="BC5161" s="117"/>
      <c r="BD5161" s="117"/>
    </row>
    <row r="5162" spans="1:56" ht="15">
      <c r="A5162" s="114"/>
      <c r="B5162" s="388" t="s">
        <v>1114</v>
      </c>
      <c r="C5162" s="389">
        <v>0.6</v>
      </c>
      <c r="D5162" s="390" t="s">
        <v>10</v>
      </c>
      <c r="E5162" s="288" t="s">
        <v>1120</v>
      </c>
      <c r="F5162" s="288"/>
      <c r="G5162" s="230"/>
      <c r="H5162" s="395"/>
      <c r="I5162" s="196"/>
      <c r="J5162" s="362"/>
      <c r="AX5162" s="117"/>
      <c r="AY5162" s="117"/>
      <c r="AZ5162" s="117"/>
      <c r="BA5162" s="117"/>
      <c r="BB5162" s="117"/>
      <c r="BC5162" s="117"/>
      <c r="BD5162" s="117"/>
    </row>
    <row r="5163" spans="1:56" ht="15">
      <c r="A5163" s="114"/>
      <c r="B5163" s="388" t="s">
        <v>1114</v>
      </c>
      <c r="C5163" s="389">
        <v>0.2</v>
      </c>
      <c r="D5163" s="390" t="s">
        <v>10</v>
      </c>
      <c r="E5163" s="288" t="s">
        <v>1121</v>
      </c>
      <c r="F5163" s="288"/>
      <c r="G5163" s="230"/>
      <c r="H5163" s="395"/>
      <c r="I5163" s="196"/>
      <c r="J5163" s="362"/>
      <c r="AX5163" s="117"/>
      <c r="AY5163" s="117"/>
      <c r="AZ5163" s="117"/>
      <c r="BA5163" s="117"/>
      <c r="BB5163" s="117"/>
      <c r="BC5163" s="117"/>
      <c r="BD5163" s="117"/>
    </row>
    <row r="5164" spans="1:56" ht="15">
      <c r="A5164" s="114"/>
      <c r="B5164" s="196"/>
      <c r="C5164" s="196"/>
      <c r="D5164" s="196"/>
      <c r="E5164" s="196"/>
      <c r="F5164" s="196"/>
      <c r="G5164" s="196"/>
      <c r="H5164" s="196"/>
      <c r="I5164" s="196"/>
      <c r="J5164" s="362"/>
      <c r="AX5164" s="117"/>
      <c r="AY5164" s="117"/>
      <c r="AZ5164" s="117"/>
      <c r="BA5164" s="117"/>
      <c r="BB5164" s="117"/>
      <c r="BC5164" s="117"/>
      <c r="BD5164" s="117"/>
    </row>
    <row r="5165" spans="1:56" ht="15">
      <c r="A5165" s="114"/>
      <c r="B5165" s="303" t="s">
        <v>1122</v>
      </c>
      <c r="C5165" s="362"/>
      <c r="D5165" s="362"/>
      <c r="E5165" s="196"/>
      <c r="F5165" s="196"/>
      <c r="G5165" s="196"/>
      <c r="H5165" s="196"/>
      <c r="I5165" s="196"/>
      <c r="J5165" s="362"/>
      <c r="AX5165" s="117"/>
      <c r="AY5165" s="117"/>
      <c r="AZ5165" s="117"/>
      <c r="BA5165" s="117"/>
      <c r="BB5165" s="117"/>
      <c r="BC5165" s="117"/>
      <c r="BD5165" s="117"/>
    </row>
    <row r="5166" spans="1:56" ht="18">
      <c r="A5166" s="114"/>
      <c r="B5166" s="396" t="s">
        <v>1123</v>
      </c>
      <c r="C5166" s="289"/>
      <c r="D5166" s="290"/>
      <c r="E5166" s="397">
        <f>C5160*(C5162*2*(0.05+C5159+C5158)*C5157)</f>
        <v>3.9096000000000002</v>
      </c>
      <c r="F5166" s="390" t="s">
        <v>1124</v>
      </c>
      <c r="G5166" s="196"/>
      <c r="H5166" s="196"/>
      <c r="I5166" s="196"/>
      <c r="J5166" s="415"/>
      <c r="AX5166" s="117"/>
      <c r="AY5166" s="117"/>
      <c r="AZ5166" s="117"/>
      <c r="BA5166" s="117"/>
      <c r="BB5166" s="117"/>
      <c r="BC5166" s="117"/>
      <c r="BD5166" s="117"/>
    </row>
    <row r="5167" spans="1:56" ht="18">
      <c r="A5167" s="114"/>
      <c r="B5167" s="398" t="s">
        <v>1125</v>
      </c>
      <c r="C5167" s="172"/>
      <c r="D5167" s="173"/>
      <c r="E5167" s="397">
        <f>E5166-((C5156*0.05+C5156*C5159)*C5157)</f>
        <v>3.3801750000000004</v>
      </c>
      <c r="F5167" s="390" t="s">
        <v>1124</v>
      </c>
      <c r="G5167" s="196"/>
      <c r="H5167" s="196"/>
      <c r="I5167" s="196"/>
      <c r="J5167" s="362"/>
      <c r="AX5167" s="117"/>
      <c r="AY5167" s="117"/>
      <c r="AZ5167" s="117"/>
      <c r="BA5167" s="117"/>
      <c r="BB5167" s="117"/>
      <c r="BC5167" s="117"/>
      <c r="BD5167" s="117"/>
    </row>
    <row r="5168" spans="1:56" ht="15">
      <c r="A5168" s="114"/>
      <c r="B5168" s="399" t="s">
        <v>1126</v>
      </c>
      <c r="C5168" s="317"/>
      <c r="D5168" s="318"/>
      <c r="E5168" s="400">
        <f>(2*C5163)*C5157</f>
        <v>1.0860000000000001</v>
      </c>
      <c r="F5168" s="390" t="s">
        <v>13</v>
      </c>
      <c r="G5168" s="196"/>
      <c r="H5168" s="196"/>
      <c r="I5168" s="196"/>
      <c r="J5168" s="362"/>
      <c r="AX5168" s="117"/>
      <c r="AY5168" s="117"/>
      <c r="AZ5168" s="117"/>
      <c r="BA5168" s="117"/>
      <c r="BB5168" s="117"/>
      <c r="BC5168" s="117"/>
      <c r="BD5168" s="117"/>
    </row>
    <row r="5169" spans="1:56" ht="15">
      <c r="A5169" s="114"/>
      <c r="B5169" s="196"/>
      <c r="C5169" s="196"/>
      <c r="D5169" s="196"/>
      <c r="E5169" s="401"/>
      <c r="F5169" s="196"/>
      <c r="G5169" s="196"/>
      <c r="H5169" s="196"/>
      <c r="I5169" s="196"/>
      <c r="J5169" s="362"/>
      <c r="AX5169" s="117"/>
      <c r="AY5169" s="117"/>
      <c r="AZ5169" s="117"/>
      <c r="BA5169" s="117"/>
      <c r="BB5169" s="117"/>
      <c r="BC5169" s="117"/>
      <c r="BD5169" s="117"/>
    </row>
    <row r="5170" spans="1:56" ht="15">
      <c r="A5170" s="114"/>
      <c r="B5170" s="303" t="s">
        <v>1127</v>
      </c>
      <c r="C5170" s="196"/>
      <c r="D5170" s="196"/>
      <c r="E5170" s="401"/>
      <c r="F5170" s="196"/>
      <c r="G5170" s="196"/>
      <c r="H5170" s="196"/>
      <c r="I5170" s="196"/>
      <c r="J5170" s="362"/>
      <c r="AX5170" s="117"/>
      <c r="AY5170" s="117"/>
      <c r="AZ5170" s="117"/>
      <c r="BA5170" s="117"/>
      <c r="BB5170" s="117"/>
      <c r="BC5170" s="117"/>
      <c r="BD5170" s="117"/>
    </row>
    <row r="5171" spans="1:56" ht="18">
      <c r="A5171" s="114"/>
      <c r="B5171" s="398" t="s">
        <v>1128</v>
      </c>
      <c r="C5171" s="172"/>
      <c r="D5171" s="173"/>
      <c r="E5171" s="402">
        <f>E5168*0.05</f>
        <v>5.4300000000000008E-2</v>
      </c>
      <c r="F5171" s="390" t="s">
        <v>1124</v>
      </c>
      <c r="G5171" s="196"/>
      <c r="H5171" s="196"/>
      <c r="I5171" s="196"/>
      <c r="J5171" s="362"/>
      <c r="AX5171" s="117"/>
      <c r="AY5171" s="117"/>
      <c r="AZ5171" s="117"/>
      <c r="BA5171" s="117"/>
      <c r="BB5171" s="117"/>
      <c r="BC5171" s="117"/>
      <c r="BD5171" s="117"/>
    </row>
    <row r="5172" spans="1:56" ht="15">
      <c r="A5172" s="114"/>
      <c r="B5172" s="398" t="s">
        <v>1129</v>
      </c>
      <c r="C5172" s="172"/>
      <c r="D5172" s="173"/>
      <c r="E5172" s="397">
        <f>C5159*2*C5157</f>
        <v>3.2579999999999996</v>
      </c>
      <c r="F5172" s="390" t="s">
        <v>13</v>
      </c>
      <c r="G5172" s="393" t="s">
        <v>1108</v>
      </c>
      <c r="H5172" s="196" t="s">
        <v>1131</v>
      </c>
      <c r="I5172" s="393"/>
      <c r="J5172" s="362"/>
      <c r="AX5172" s="117"/>
      <c r="AY5172" s="117"/>
      <c r="AZ5172" s="117"/>
      <c r="BA5172" s="117"/>
      <c r="BB5172" s="117"/>
      <c r="BC5172" s="117"/>
      <c r="BD5172" s="117"/>
    </row>
    <row r="5173" spans="1:56" ht="18">
      <c r="A5173" s="114"/>
      <c r="B5173" s="398" t="s">
        <v>1130</v>
      </c>
      <c r="C5173" s="172"/>
      <c r="D5173" s="173"/>
      <c r="E5173" s="402">
        <f>C5156*C5157*C5159</f>
        <v>0.48869999999999991</v>
      </c>
      <c r="F5173" s="390" t="s">
        <v>1124</v>
      </c>
      <c r="G5173" s="196"/>
      <c r="H5173" s="196"/>
      <c r="I5173" s="196"/>
      <c r="J5173" s="362"/>
      <c r="AX5173" s="117"/>
      <c r="AY5173" s="117"/>
      <c r="AZ5173" s="117"/>
      <c r="BA5173" s="117"/>
      <c r="BB5173" s="117"/>
      <c r="BC5173" s="117"/>
      <c r="BD5173" s="117"/>
    </row>
    <row r="5174" spans="1:56" ht="15">
      <c r="A5174" s="114"/>
      <c r="B5174" s="288"/>
      <c r="C5174" s="230"/>
      <c r="D5174" s="230"/>
      <c r="E5174" s="384"/>
      <c r="F5174" s="196"/>
      <c r="G5174" s="196"/>
      <c r="H5174" s="196"/>
      <c r="I5174" s="196"/>
      <c r="J5174" s="114"/>
      <c r="AW5174" s="117"/>
      <c r="AX5174" s="117"/>
      <c r="AY5174" s="117"/>
      <c r="AZ5174" s="117"/>
      <c r="BA5174" s="117"/>
      <c r="BB5174" s="117"/>
      <c r="BC5174" s="117"/>
      <c r="BD5174" s="117"/>
    </row>
    <row r="5175" spans="1:56" ht="15">
      <c r="A5175" s="114"/>
      <c r="B5175" s="293"/>
      <c r="C5175" s="387"/>
      <c r="D5175" s="387"/>
      <c r="E5175" s="387"/>
      <c r="F5175" s="387"/>
      <c r="G5175" s="387"/>
      <c r="H5175" s="386"/>
      <c r="I5175" s="386"/>
      <c r="J5175" s="114"/>
      <c r="AW5175" s="117"/>
      <c r="AX5175" s="117"/>
      <c r="AY5175" s="117"/>
      <c r="AZ5175" s="117"/>
      <c r="BA5175" s="117"/>
      <c r="BB5175" s="117"/>
      <c r="BC5175" s="117"/>
      <c r="BD5175" s="117"/>
    </row>
    <row r="5176" spans="1:56" ht="15">
      <c r="A5176" s="114"/>
      <c r="B5176" s="293"/>
      <c r="C5176" s="387"/>
      <c r="D5176" s="387"/>
      <c r="E5176" s="387"/>
      <c r="F5176" s="387"/>
      <c r="G5176" s="387"/>
      <c r="H5176" s="386"/>
      <c r="I5176" s="386"/>
      <c r="J5176" s="114"/>
      <c r="AW5176" s="117"/>
      <c r="AX5176" s="117"/>
      <c r="AY5176" s="117"/>
      <c r="AZ5176" s="117"/>
      <c r="BA5176" s="117"/>
      <c r="BB5176" s="117"/>
      <c r="BC5176" s="117"/>
      <c r="BD5176" s="117"/>
    </row>
    <row r="5177" spans="1:56" customFormat="1">
      <c r="A5177" s="114"/>
      <c r="B5177" s="385" t="s">
        <v>1306</v>
      </c>
      <c r="C5177" s="196"/>
      <c r="D5177" s="196"/>
      <c r="E5177" s="196"/>
      <c r="F5177" s="196"/>
      <c r="G5177" s="196"/>
      <c r="H5177" s="196"/>
      <c r="I5177" s="196"/>
      <c r="J5177" s="362"/>
    </row>
    <row r="5178" spans="1:56" ht="15">
      <c r="A5178" s="114"/>
      <c r="B5178" s="196"/>
      <c r="C5178" s="196"/>
      <c r="D5178" s="196"/>
      <c r="E5178" s="196"/>
      <c r="F5178" s="196"/>
      <c r="G5178" s="196"/>
      <c r="H5178" s="196"/>
      <c r="I5178" s="196"/>
      <c r="J5178" s="404"/>
      <c r="AX5178" s="117"/>
      <c r="AY5178" s="117"/>
      <c r="AZ5178" s="117"/>
      <c r="BA5178" s="117"/>
      <c r="BB5178" s="117"/>
      <c r="BC5178" s="117"/>
      <c r="BD5178" s="117"/>
    </row>
    <row r="5179" spans="1:56" ht="15">
      <c r="A5179" s="114"/>
      <c r="B5179" s="388" t="s">
        <v>1110</v>
      </c>
      <c r="C5179" s="389">
        <v>0.3</v>
      </c>
      <c r="D5179" s="390" t="s">
        <v>10</v>
      </c>
      <c r="E5179" s="196"/>
      <c r="F5179" s="196"/>
      <c r="G5179" s="392"/>
      <c r="H5179" s="393"/>
      <c r="I5179" s="196"/>
      <c r="J5179" s="405"/>
      <c r="AX5179" s="117"/>
      <c r="AY5179" s="117"/>
      <c r="AZ5179" s="117"/>
      <c r="BA5179" s="117"/>
      <c r="BB5179" s="117"/>
      <c r="BC5179" s="117"/>
      <c r="BD5179" s="117"/>
    </row>
    <row r="5180" spans="1:56" ht="15">
      <c r="A5180" s="114"/>
      <c r="B5180" s="388" t="s">
        <v>1111</v>
      </c>
      <c r="C5180" s="942">
        <f>3.12+1.8+5.575+1.6</f>
        <v>12.095000000000001</v>
      </c>
      <c r="D5180" s="390" t="s">
        <v>10</v>
      </c>
      <c r="E5180" s="196"/>
      <c r="F5180" s="908"/>
      <c r="G5180" s="392"/>
      <c r="H5180" s="393"/>
      <c r="I5180" s="196"/>
      <c r="J5180" s="405"/>
      <c r="AX5180" s="117"/>
      <c r="AY5180" s="117"/>
      <c r="AZ5180" s="117"/>
      <c r="BA5180" s="117"/>
      <c r="BB5180" s="117"/>
      <c r="BC5180" s="117"/>
      <c r="BD5180" s="117"/>
    </row>
    <row r="5181" spans="1:56" ht="15">
      <c r="A5181" s="114"/>
      <c r="B5181" s="388" t="s">
        <v>1112</v>
      </c>
      <c r="C5181" s="389">
        <v>0.55000000000000004</v>
      </c>
      <c r="D5181" s="390" t="s">
        <v>10</v>
      </c>
      <c r="E5181" s="196"/>
      <c r="F5181" s="196"/>
      <c r="G5181" s="392"/>
      <c r="H5181" s="393"/>
      <c r="I5181" s="196"/>
      <c r="J5181" s="405"/>
      <c r="AX5181" s="117"/>
      <c r="AY5181" s="117"/>
      <c r="AZ5181" s="117"/>
      <c r="BA5181" s="117"/>
      <c r="BB5181" s="117"/>
      <c r="BC5181" s="117"/>
      <c r="BD5181" s="117"/>
    </row>
    <row r="5182" spans="1:56" ht="15">
      <c r="A5182" s="114"/>
      <c r="B5182" s="388" t="s">
        <v>1113</v>
      </c>
      <c r="C5182" s="389">
        <v>0.8</v>
      </c>
      <c r="D5182" s="390" t="s">
        <v>10</v>
      </c>
      <c r="E5182" s="196"/>
      <c r="F5182" s="196"/>
      <c r="G5182" s="392"/>
      <c r="H5182" s="394"/>
      <c r="I5182" s="196"/>
      <c r="J5182" s="405"/>
      <c r="AX5182" s="117"/>
      <c r="AY5182" s="117"/>
      <c r="AZ5182" s="117"/>
      <c r="BA5182" s="117"/>
      <c r="BB5182" s="117"/>
      <c r="BC5182" s="117"/>
      <c r="BD5182" s="117"/>
    </row>
    <row r="5183" spans="1:56" ht="15">
      <c r="A5183" s="114"/>
      <c r="B5183" s="388" t="s">
        <v>1117</v>
      </c>
      <c r="C5183" s="389">
        <v>1</v>
      </c>
      <c r="D5183" s="390" t="s">
        <v>1118</v>
      </c>
      <c r="E5183" s="196"/>
      <c r="F5183" s="196"/>
      <c r="G5183" s="392"/>
      <c r="H5183" s="393"/>
      <c r="I5183" s="196"/>
      <c r="J5183" s="405"/>
      <c r="AX5183" s="117"/>
      <c r="AY5183" s="117"/>
      <c r="AZ5183" s="117"/>
      <c r="BA5183" s="117"/>
      <c r="BB5183" s="117"/>
      <c r="BC5183" s="117"/>
      <c r="BD5183" s="117"/>
    </row>
    <row r="5184" spans="1:56" ht="15">
      <c r="A5184" s="114"/>
      <c r="B5184" s="1029"/>
      <c r="C5184" s="393"/>
      <c r="D5184" s="196"/>
      <c r="E5184" s="196"/>
      <c r="F5184" s="196"/>
      <c r="G5184" s="392"/>
      <c r="H5184" s="393"/>
      <c r="I5184" s="196"/>
      <c r="J5184" s="405"/>
      <c r="AX5184" s="117"/>
      <c r="AY5184" s="117"/>
      <c r="AZ5184" s="117"/>
      <c r="BA5184" s="117"/>
      <c r="BB5184" s="117"/>
      <c r="BC5184" s="117"/>
      <c r="BD5184" s="117"/>
    </row>
    <row r="5185" spans="1:56" ht="15">
      <c r="A5185" s="114"/>
      <c r="B5185" s="388" t="s">
        <v>1114</v>
      </c>
      <c r="C5185" s="389">
        <v>0.6</v>
      </c>
      <c r="D5185" s="390" t="s">
        <v>10</v>
      </c>
      <c r="E5185" s="288" t="s">
        <v>1120</v>
      </c>
      <c r="F5185" s="288"/>
      <c r="G5185" s="230"/>
      <c r="H5185" s="395"/>
      <c r="I5185" s="196"/>
      <c r="J5185" s="405"/>
      <c r="AX5185" s="117"/>
      <c r="AY5185" s="117"/>
      <c r="AZ5185" s="117"/>
      <c r="BA5185" s="117"/>
      <c r="BB5185" s="117"/>
      <c r="BC5185" s="117"/>
      <c r="BD5185" s="117"/>
    </row>
    <row r="5186" spans="1:56" ht="15">
      <c r="A5186" s="114"/>
      <c r="B5186" s="388" t="s">
        <v>1114</v>
      </c>
      <c r="C5186" s="389">
        <v>0.2</v>
      </c>
      <c r="D5186" s="390" t="s">
        <v>10</v>
      </c>
      <c r="E5186" s="288" t="s">
        <v>1121</v>
      </c>
      <c r="F5186" s="288"/>
      <c r="G5186" s="230"/>
      <c r="H5186" s="395"/>
      <c r="I5186" s="196"/>
      <c r="J5186" s="405"/>
      <c r="AX5186" s="117"/>
      <c r="AY5186" s="117"/>
      <c r="AZ5186" s="117"/>
      <c r="BA5186" s="117"/>
      <c r="BB5186" s="117"/>
      <c r="BC5186" s="117"/>
      <c r="BD5186" s="117"/>
    </row>
    <row r="5187" spans="1:56" ht="15">
      <c r="A5187" s="114"/>
      <c r="B5187" s="196"/>
      <c r="C5187" s="196"/>
      <c r="D5187" s="196"/>
      <c r="E5187" s="196"/>
      <c r="F5187" s="196"/>
      <c r="G5187" s="196"/>
      <c r="H5187" s="196"/>
      <c r="I5187" s="196"/>
      <c r="J5187" s="196"/>
      <c r="AX5187" s="117"/>
      <c r="AY5187" s="117"/>
      <c r="AZ5187" s="117"/>
      <c r="BA5187" s="117"/>
      <c r="BB5187" s="117"/>
      <c r="BC5187" s="117"/>
      <c r="BD5187" s="117"/>
    </row>
    <row r="5188" spans="1:56" ht="15">
      <c r="A5188" s="114"/>
      <c r="B5188" s="303" t="s">
        <v>1122</v>
      </c>
      <c r="C5188" s="362"/>
      <c r="D5188" s="362"/>
      <c r="E5188" s="196"/>
      <c r="F5188" s="196"/>
      <c r="G5188" s="196"/>
      <c r="H5188" s="196"/>
      <c r="I5188" s="196"/>
      <c r="J5188" s="196"/>
      <c r="AX5188" s="117"/>
      <c r="AY5188" s="117"/>
      <c r="AZ5188" s="117"/>
      <c r="BA5188" s="117"/>
      <c r="BB5188" s="117"/>
      <c r="BC5188" s="117"/>
      <c r="BD5188" s="117"/>
    </row>
    <row r="5189" spans="1:56" ht="18">
      <c r="A5189" s="114"/>
      <c r="B5189" s="396" t="s">
        <v>1123</v>
      </c>
      <c r="C5189" s="289"/>
      <c r="D5189" s="290"/>
      <c r="E5189" s="397">
        <f>C5183*(C5185*2*(0.05+C5182+C5181)*C5180)</f>
        <v>20.319600000000005</v>
      </c>
      <c r="F5189" s="390" t="s">
        <v>1124</v>
      </c>
      <c r="G5189" s="196"/>
      <c r="H5189" s="196"/>
      <c r="I5189" s="196"/>
      <c r="J5189" s="196"/>
      <c r="AX5189" s="117"/>
      <c r="AY5189" s="117"/>
      <c r="AZ5189" s="117"/>
      <c r="BA5189" s="117"/>
      <c r="BB5189" s="117"/>
      <c r="BC5189" s="117"/>
      <c r="BD5189" s="117"/>
    </row>
    <row r="5190" spans="1:56" ht="18">
      <c r="A5190" s="114"/>
      <c r="B5190" s="398" t="s">
        <v>1125</v>
      </c>
      <c r="C5190" s="172"/>
      <c r="D5190" s="173"/>
      <c r="E5190" s="397">
        <f>E5189-((C5179*0.05+C5179*C5182)*C5180)</f>
        <v>17.235375000000005</v>
      </c>
      <c r="F5190" s="390" t="s">
        <v>1124</v>
      </c>
      <c r="G5190" s="196"/>
      <c r="H5190" s="196"/>
      <c r="I5190" s="196"/>
      <c r="J5190" s="196"/>
      <c r="AX5190" s="117"/>
      <c r="AY5190" s="117"/>
      <c r="AZ5190" s="117"/>
      <c r="BA5190" s="117"/>
      <c r="BB5190" s="117"/>
      <c r="BC5190" s="117"/>
      <c r="BD5190" s="117"/>
    </row>
    <row r="5191" spans="1:56" ht="15">
      <c r="A5191" s="114"/>
      <c r="B5191" s="399" t="s">
        <v>1126</v>
      </c>
      <c r="C5191" s="317"/>
      <c r="D5191" s="318"/>
      <c r="E5191" s="400">
        <f>(2*C5186)*C5180</f>
        <v>4.838000000000001</v>
      </c>
      <c r="F5191" s="390" t="s">
        <v>13</v>
      </c>
      <c r="G5191" s="196"/>
      <c r="H5191" s="196"/>
      <c r="I5191" s="196"/>
      <c r="J5191" s="196"/>
      <c r="AX5191" s="117"/>
      <c r="AY5191" s="117"/>
      <c r="AZ5191" s="117"/>
      <c r="BA5191" s="117"/>
      <c r="BB5191" s="117"/>
      <c r="BC5191" s="117"/>
      <c r="BD5191" s="117"/>
    </row>
    <row r="5192" spans="1:56" ht="15">
      <c r="A5192" s="114"/>
      <c r="B5192" s="196"/>
      <c r="C5192" s="196"/>
      <c r="D5192" s="196"/>
      <c r="E5192" s="401"/>
      <c r="F5192" s="196"/>
      <c r="G5192" s="196"/>
      <c r="H5192" s="196"/>
      <c r="I5192" s="196"/>
      <c r="J5192" s="196"/>
      <c r="AX5192" s="117"/>
      <c r="AY5192" s="117"/>
      <c r="AZ5192" s="117"/>
      <c r="BA5192" s="117"/>
      <c r="BB5192" s="117"/>
      <c r="BC5192" s="117"/>
      <c r="BD5192" s="117"/>
    </row>
    <row r="5193" spans="1:56" ht="15">
      <c r="A5193" s="114"/>
      <c r="B5193" s="303" t="s">
        <v>1127</v>
      </c>
      <c r="C5193" s="196"/>
      <c r="D5193" s="196"/>
      <c r="E5193" s="401"/>
      <c r="F5193" s="196"/>
      <c r="G5193" s="196"/>
      <c r="H5193" s="196"/>
      <c r="I5193" s="196"/>
      <c r="J5193" s="362"/>
      <c r="AX5193" s="117"/>
      <c r="AY5193" s="117"/>
      <c r="AZ5193" s="117"/>
      <c r="BA5193" s="117"/>
      <c r="BB5193" s="117"/>
      <c r="BC5193" s="117"/>
      <c r="BD5193" s="117"/>
    </row>
    <row r="5194" spans="1:56" ht="18">
      <c r="A5194" s="114"/>
      <c r="B5194" s="398" t="s">
        <v>1128</v>
      </c>
      <c r="C5194" s="172"/>
      <c r="D5194" s="173"/>
      <c r="E5194" s="402">
        <f>E5191*0.05</f>
        <v>0.24190000000000006</v>
      </c>
      <c r="F5194" s="390" t="s">
        <v>1124</v>
      </c>
      <c r="G5194" s="196"/>
      <c r="H5194" s="196"/>
      <c r="I5194" s="196"/>
      <c r="J5194" s="196"/>
      <c r="AX5194" s="117"/>
      <c r="AY5194" s="117"/>
      <c r="AZ5194" s="117"/>
      <c r="BA5194" s="117"/>
      <c r="BB5194" s="117"/>
      <c r="BC5194" s="117"/>
      <c r="BD5194" s="117"/>
    </row>
    <row r="5195" spans="1:56" ht="15">
      <c r="A5195" s="114"/>
      <c r="B5195" s="398" t="s">
        <v>1129</v>
      </c>
      <c r="C5195" s="172"/>
      <c r="D5195" s="173"/>
      <c r="E5195" s="397">
        <f>C5182*2*C5180</f>
        <v>19.352000000000004</v>
      </c>
      <c r="F5195" s="390" t="s">
        <v>13</v>
      </c>
      <c r="G5195" s="393" t="s">
        <v>1108</v>
      </c>
      <c r="H5195" s="196" t="s">
        <v>1131</v>
      </c>
      <c r="I5195" s="393"/>
      <c r="J5195" s="362"/>
      <c r="AX5195" s="117"/>
      <c r="AY5195" s="117"/>
      <c r="AZ5195" s="117"/>
      <c r="BA5195" s="117"/>
      <c r="BB5195" s="117"/>
      <c r="BC5195" s="117"/>
      <c r="BD5195" s="117"/>
    </row>
    <row r="5196" spans="1:56" ht="18">
      <c r="A5196" s="114"/>
      <c r="B5196" s="398" t="s">
        <v>1130</v>
      </c>
      <c r="C5196" s="172"/>
      <c r="D5196" s="173"/>
      <c r="E5196" s="402">
        <f>C5179*C5180*C5182</f>
        <v>2.9028</v>
      </c>
      <c r="F5196" s="390" t="s">
        <v>1124</v>
      </c>
      <c r="G5196" s="196"/>
      <c r="H5196" s="196"/>
      <c r="I5196" s="196"/>
      <c r="J5196" s="362"/>
      <c r="AX5196" s="117"/>
      <c r="AY5196" s="117"/>
      <c r="AZ5196" s="117"/>
      <c r="BA5196" s="117"/>
      <c r="BB5196" s="117"/>
      <c r="BC5196" s="117"/>
      <c r="BD5196" s="117"/>
    </row>
    <row r="5197" spans="1:56" ht="15">
      <c r="A5197" s="114"/>
      <c r="B5197" s="288"/>
      <c r="C5197" s="230"/>
      <c r="D5197" s="230"/>
      <c r="E5197" s="384"/>
      <c r="F5197" s="196"/>
      <c r="G5197" s="196"/>
      <c r="H5197" s="196"/>
      <c r="I5197" s="196"/>
      <c r="J5197" s="362"/>
      <c r="AX5197" s="117"/>
      <c r="AY5197" s="117"/>
      <c r="AZ5197" s="117"/>
      <c r="BA5197" s="117"/>
      <c r="BB5197" s="117"/>
      <c r="BC5197" s="117"/>
      <c r="BD5197" s="117"/>
    </row>
    <row r="5198" spans="1:56" ht="15">
      <c r="A5198" s="114"/>
      <c r="B5198" s="293"/>
      <c r="C5198" s="387"/>
      <c r="D5198" s="387"/>
      <c r="E5198" s="387"/>
      <c r="F5198" s="387"/>
      <c r="G5198" s="387"/>
      <c r="H5198" s="386"/>
      <c r="I5198" s="386"/>
      <c r="J5198" s="362"/>
      <c r="AX5198" s="117"/>
      <c r="AY5198" s="117"/>
      <c r="AZ5198" s="117"/>
      <c r="BA5198" s="117"/>
      <c r="BB5198" s="117"/>
      <c r="BC5198" s="117"/>
      <c r="BD5198" s="117"/>
    </row>
    <row r="5199" spans="1:56" ht="15">
      <c r="A5199" s="114"/>
      <c r="B5199" s="293"/>
      <c r="C5199" s="387"/>
      <c r="D5199" s="387"/>
      <c r="E5199" s="387"/>
      <c r="F5199" s="387"/>
      <c r="G5199" s="387"/>
      <c r="H5199" s="386"/>
      <c r="I5199" s="386"/>
      <c r="J5199" s="362"/>
      <c r="AX5199" s="117"/>
      <c r="AY5199" s="117"/>
      <c r="AZ5199" s="117"/>
      <c r="BA5199" s="117"/>
      <c r="BB5199" s="117"/>
      <c r="BC5199" s="117"/>
      <c r="BD5199" s="117"/>
    </row>
    <row r="5200" spans="1:56">
      <c r="A5200" s="114"/>
      <c r="B5200" s="385" t="s">
        <v>1307</v>
      </c>
      <c r="C5200" s="196"/>
      <c r="D5200" s="196"/>
      <c r="E5200" s="196"/>
      <c r="F5200" s="196"/>
      <c r="G5200" s="196"/>
      <c r="H5200" s="196"/>
      <c r="I5200" s="196"/>
      <c r="J5200" s="415"/>
      <c r="AX5200" s="117"/>
      <c r="AY5200" s="117"/>
      <c r="AZ5200" s="117"/>
      <c r="BA5200" s="117"/>
      <c r="BB5200" s="117"/>
      <c r="BC5200" s="117"/>
      <c r="BD5200" s="117"/>
    </row>
    <row r="5201" spans="1:56" ht="15">
      <c r="A5201" s="114"/>
      <c r="B5201" s="196"/>
      <c r="C5201" s="196"/>
      <c r="D5201" s="196"/>
      <c r="E5201" s="196"/>
      <c r="F5201" s="196"/>
      <c r="G5201" s="196"/>
      <c r="H5201" s="196"/>
      <c r="I5201" s="196"/>
      <c r="J5201" s="362"/>
      <c r="AX5201" s="117"/>
      <c r="AY5201" s="117"/>
      <c r="AZ5201" s="117"/>
      <c r="BA5201" s="117"/>
      <c r="BB5201" s="117"/>
      <c r="BC5201" s="117"/>
      <c r="BD5201" s="117"/>
    </row>
    <row r="5202" spans="1:56" ht="15">
      <c r="A5202" s="114"/>
      <c r="B5202" s="388" t="s">
        <v>1110</v>
      </c>
      <c r="C5202" s="389">
        <v>0.3</v>
      </c>
      <c r="D5202" s="390" t="s">
        <v>10</v>
      </c>
      <c r="E5202" s="196"/>
      <c r="F5202" s="196"/>
      <c r="G5202" s="392"/>
      <c r="H5202" s="393"/>
      <c r="I5202" s="196"/>
      <c r="J5202" s="362"/>
      <c r="AX5202" s="117"/>
      <c r="AY5202" s="117"/>
      <c r="AZ5202" s="117"/>
      <c r="BA5202" s="117"/>
      <c r="BB5202" s="117"/>
      <c r="BC5202" s="117"/>
      <c r="BD5202" s="117"/>
    </row>
    <row r="5203" spans="1:56" ht="15">
      <c r="A5203" s="114"/>
      <c r="B5203" s="388" t="s">
        <v>1111</v>
      </c>
      <c r="C5203" s="391">
        <v>9.11</v>
      </c>
      <c r="D5203" s="390" t="s">
        <v>10</v>
      </c>
      <c r="E5203" s="952"/>
      <c r="F5203" s="908"/>
      <c r="G5203" s="392"/>
      <c r="H5203" s="393"/>
      <c r="I5203" s="196"/>
      <c r="J5203" s="362"/>
      <c r="AX5203" s="117"/>
      <c r="AY5203" s="117"/>
      <c r="AZ5203" s="117"/>
      <c r="BA5203" s="117"/>
      <c r="BB5203" s="117"/>
      <c r="BC5203" s="117"/>
      <c r="BD5203" s="117"/>
    </row>
    <row r="5204" spans="1:56" ht="15">
      <c r="A5204" s="114"/>
      <c r="B5204" s="388" t="s">
        <v>1112</v>
      </c>
      <c r="C5204" s="389">
        <v>0.55000000000000004</v>
      </c>
      <c r="D5204" s="390" t="s">
        <v>10</v>
      </c>
      <c r="E5204" s="196"/>
      <c r="F5204" s="196"/>
      <c r="G5204" s="392"/>
      <c r="H5204" s="393"/>
      <c r="I5204" s="196"/>
      <c r="J5204" s="362"/>
      <c r="AX5204" s="117"/>
      <c r="AY5204" s="117"/>
      <c r="AZ5204" s="117"/>
      <c r="BA5204" s="117"/>
      <c r="BB5204" s="117"/>
      <c r="BC5204" s="117"/>
      <c r="BD5204" s="117"/>
    </row>
    <row r="5205" spans="1:56" ht="15">
      <c r="A5205" s="114"/>
      <c r="B5205" s="388" t="s">
        <v>1113</v>
      </c>
      <c r="C5205" s="389">
        <v>1</v>
      </c>
      <c r="D5205" s="390" t="s">
        <v>10</v>
      </c>
      <c r="E5205" s="196"/>
      <c r="F5205" s="196"/>
      <c r="G5205" s="392"/>
      <c r="H5205" s="394"/>
      <c r="I5205" s="196"/>
      <c r="J5205" s="362"/>
      <c r="AX5205" s="117"/>
      <c r="AY5205" s="117"/>
      <c r="AZ5205" s="117"/>
      <c r="BA5205" s="117"/>
      <c r="BB5205" s="117"/>
      <c r="BC5205" s="117"/>
      <c r="BD5205" s="117"/>
    </row>
    <row r="5206" spans="1:56" ht="15">
      <c r="A5206" s="114"/>
      <c r="B5206" s="388" t="s">
        <v>1117</v>
      </c>
      <c r="C5206" s="389">
        <v>1</v>
      </c>
      <c r="D5206" s="390" t="s">
        <v>1118</v>
      </c>
      <c r="E5206" s="196"/>
      <c r="F5206" s="196"/>
      <c r="G5206" s="392"/>
      <c r="H5206" s="393"/>
      <c r="I5206" s="196"/>
      <c r="J5206" s="362"/>
      <c r="AX5206" s="117"/>
      <c r="AY5206" s="117"/>
      <c r="AZ5206" s="117"/>
      <c r="BA5206" s="117"/>
      <c r="BB5206" s="117"/>
      <c r="BC5206" s="117"/>
      <c r="BD5206" s="117"/>
    </row>
    <row r="5207" spans="1:56" ht="15">
      <c r="A5207" s="114"/>
      <c r="B5207" s="392"/>
      <c r="C5207" s="393"/>
      <c r="D5207" s="196"/>
      <c r="E5207" s="196"/>
      <c r="F5207" s="196"/>
      <c r="G5207" s="392"/>
      <c r="H5207" s="393"/>
      <c r="I5207" s="196"/>
      <c r="J5207" s="362"/>
      <c r="AX5207" s="117"/>
      <c r="AY5207" s="117"/>
      <c r="AZ5207" s="117"/>
      <c r="BA5207" s="117"/>
      <c r="BB5207" s="117"/>
      <c r="BC5207" s="117"/>
      <c r="BD5207" s="117"/>
    </row>
    <row r="5208" spans="1:56" ht="15">
      <c r="A5208" s="114"/>
      <c r="B5208" s="388" t="s">
        <v>1114</v>
      </c>
      <c r="C5208" s="389">
        <v>0.6</v>
      </c>
      <c r="D5208" s="390" t="s">
        <v>10</v>
      </c>
      <c r="E5208" s="288" t="s">
        <v>1120</v>
      </c>
      <c r="F5208" s="288"/>
      <c r="G5208" s="230"/>
      <c r="H5208" s="395"/>
      <c r="I5208" s="196"/>
      <c r="J5208" s="114"/>
      <c r="AW5208" s="117"/>
      <c r="AX5208" s="117"/>
      <c r="AY5208" s="117"/>
      <c r="AZ5208" s="117"/>
      <c r="BA5208" s="117"/>
      <c r="BB5208" s="117"/>
      <c r="BC5208" s="117"/>
      <c r="BD5208" s="117"/>
    </row>
    <row r="5209" spans="1:56" ht="15">
      <c r="A5209" s="114"/>
      <c r="B5209" s="388" t="s">
        <v>1114</v>
      </c>
      <c r="C5209" s="389">
        <v>0.2</v>
      </c>
      <c r="D5209" s="390" t="s">
        <v>10</v>
      </c>
      <c r="E5209" s="288" t="s">
        <v>1121</v>
      </c>
      <c r="F5209" s="288"/>
      <c r="G5209" s="230"/>
      <c r="H5209" s="395"/>
      <c r="I5209" s="196"/>
      <c r="J5209" s="114"/>
      <c r="AW5209" s="117"/>
      <c r="AX5209" s="117"/>
      <c r="AY5209" s="117"/>
      <c r="AZ5209" s="117"/>
      <c r="BA5209" s="117"/>
      <c r="BB5209" s="117"/>
      <c r="BC5209" s="117"/>
      <c r="BD5209" s="117"/>
    </row>
    <row r="5210" spans="1:56" ht="15">
      <c r="A5210" s="114"/>
      <c r="B5210" s="196"/>
      <c r="C5210" s="196"/>
      <c r="D5210" s="196"/>
      <c r="E5210" s="196"/>
      <c r="F5210" s="196"/>
      <c r="G5210" s="196"/>
      <c r="H5210" s="196"/>
      <c r="I5210" s="196"/>
      <c r="J5210" s="114"/>
      <c r="AW5210" s="117"/>
      <c r="AX5210" s="117"/>
      <c r="AY5210" s="117"/>
      <c r="AZ5210" s="117"/>
      <c r="BA5210" s="117"/>
      <c r="BB5210" s="117"/>
      <c r="BC5210" s="117"/>
      <c r="BD5210" s="117"/>
    </row>
    <row r="5211" spans="1:56" customFormat="1" ht="15">
      <c r="A5211" s="114"/>
      <c r="B5211" s="303" t="s">
        <v>1122</v>
      </c>
      <c r="C5211" s="362"/>
      <c r="D5211" s="362"/>
      <c r="E5211" s="196"/>
      <c r="F5211" s="196"/>
      <c r="G5211" s="196"/>
      <c r="H5211" s="196"/>
      <c r="I5211" s="196"/>
      <c r="J5211" s="362"/>
    </row>
    <row r="5212" spans="1:56" ht="18">
      <c r="A5212" s="114"/>
      <c r="B5212" s="396" t="s">
        <v>1123</v>
      </c>
      <c r="C5212" s="289"/>
      <c r="D5212" s="290"/>
      <c r="E5212" s="397">
        <f>C5206*(C5208*2*(0.05+C5205+C5204)*C5203)</f>
        <v>17.491199999999999</v>
      </c>
      <c r="F5212" s="390" t="s">
        <v>1124</v>
      </c>
      <c r="G5212" s="196"/>
      <c r="H5212" s="196"/>
      <c r="I5212" s="196"/>
      <c r="J5212" s="404"/>
      <c r="AX5212" s="117"/>
      <c r="AY5212" s="117"/>
      <c r="AZ5212" s="117"/>
      <c r="BA5212" s="117"/>
      <c r="BB5212" s="117"/>
      <c r="BC5212" s="117"/>
      <c r="BD5212" s="117"/>
    </row>
    <row r="5213" spans="1:56" ht="18">
      <c r="A5213" s="114"/>
      <c r="B5213" s="398" t="s">
        <v>1125</v>
      </c>
      <c r="C5213" s="172"/>
      <c r="D5213" s="173"/>
      <c r="E5213" s="397">
        <f>E5212-((C5202*0.05+C5202*C5205)*C5203)</f>
        <v>14.621549999999999</v>
      </c>
      <c r="F5213" s="390" t="s">
        <v>1124</v>
      </c>
      <c r="G5213" s="196"/>
      <c r="H5213" s="196"/>
      <c r="I5213" s="196"/>
      <c r="J5213" s="405"/>
      <c r="AX5213" s="117"/>
      <c r="AY5213" s="117"/>
      <c r="AZ5213" s="117"/>
      <c r="BA5213" s="117"/>
      <c r="BB5213" s="117"/>
      <c r="BC5213" s="117"/>
      <c r="BD5213" s="117"/>
    </row>
    <row r="5214" spans="1:56" ht="15">
      <c r="A5214" s="114"/>
      <c r="B5214" s="399" t="s">
        <v>1126</v>
      </c>
      <c r="C5214" s="317"/>
      <c r="D5214" s="318"/>
      <c r="E5214" s="400">
        <f>(2*C5209)*C5203</f>
        <v>3.6440000000000001</v>
      </c>
      <c r="F5214" s="390" t="s">
        <v>13</v>
      </c>
      <c r="G5214" s="196"/>
      <c r="H5214" s="196"/>
      <c r="I5214" s="196"/>
      <c r="J5214" s="405"/>
      <c r="AX5214" s="117"/>
      <c r="AY5214" s="117"/>
      <c r="AZ5214" s="117"/>
      <c r="BA5214" s="117"/>
      <c r="BB5214" s="117"/>
      <c r="BC5214" s="117"/>
      <c r="BD5214" s="117"/>
    </row>
    <row r="5215" spans="1:56" ht="15">
      <c r="A5215" s="114"/>
      <c r="B5215" s="196"/>
      <c r="C5215" s="196"/>
      <c r="D5215" s="196"/>
      <c r="E5215" s="401"/>
      <c r="F5215" s="196"/>
      <c r="G5215" s="196"/>
      <c r="H5215" s="196"/>
      <c r="I5215" s="196"/>
      <c r="J5215" s="405"/>
      <c r="AX5215" s="117"/>
      <c r="AY5215" s="117"/>
      <c r="AZ5215" s="117"/>
      <c r="BA5215" s="117"/>
      <c r="BB5215" s="117"/>
      <c r="BC5215" s="117"/>
      <c r="BD5215" s="117"/>
    </row>
    <row r="5216" spans="1:56" ht="15">
      <c r="A5216" s="114"/>
      <c r="B5216" s="303" t="s">
        <v>1127</v>
      </c>
      <c r="C5216" s="196"/>
      <c r="D5216" s="196"/>
      <c r="E5216" s="401"/>
      <c r="F5216" s="196"/>
      <c r="G5216" s="196"/>
      <c r="H5216" s="196"/>
      <c r="I5216" s="196"/>
      <c r="J5216" s="405"/>
      <c r="AX5216" s="117"/>
      <c r="AY5216" s="117"/>
      <c r="AZ5216" s="117"/>
      <c r="BA5216" s="117"/>
      <c r="BB5216" s="117"/>
      <c r="BC5216" s="117"/>
      <c r="BD5216" s="117"/>
    </row>
    <row r="5217" spans="1:56" ht="18">
      <c r="A5217" s="114"/>
      <c r="B5217" s="398" t="s">
        <v>1128</v>
      </c>
      <c r="C5217" s="172"/>
      <c r="D5217" s="173"/>
      <c r="E5217" s="402">
        <f>E5214*0.05</f>
        <v>0.18220000000000003</v>
      </c>
      <c r="F5217" s="390" t="s">
        <v>1124</v>
      </c>
      <c r="G5217" s="196"/>
      <c r="H5217" s="196"/>
      <c r="I5217" s="196"/>
      <c r="J5217" s="405"/>
      <c r="AX5217" s="117"/>
      <c r="AY5217" s="117"/>
      <c r="AZ5217" s="117"/>
      <c r="BA5217" s="117"/>
      <c r="BB5217" s="117"/>
      <c r="BC5217" s="117"/>
      <c r="BD5217" s="117"/>
    </row>
    <row r="5218" spans="1:56" ht="15">
      <c r="A5218" s="114"/>
      <c r="B5218" s="398" t="s">
        <v>1129</v>
      </c>
      <c r="C5218" s="172"/>
      <c r="D5218" s="173"/>
      <c r="E5218" s="397">
        <f>C5205*2*C5203</f>
        <v>18.22</v>
      </c>
      <c r="F5218" s="390" t="s">
        <v>13</v>
      </c>
      <c r="G5218" s="393" t="s">
        <v>1108</v>
      </c>
      <c r="H5218" s="196" t="s">
        <v>1131</v>
      </c>
      <c r="I5218" s="393"/>
      <c r="J5218" s="405"/>
      <c r="AX5218" s="117"/>
      <c r="AY5218" s="117"/>
      <c r="AZ5218" s="117"/>
      <c r="BA5218" s="117"/>
      <c r="BB5218" s="117"/>
      <c r="BC5218" s="117"/>
      <c r="BD5218" s="117"/>
    </row>
    <row r="5219" spans="1:56" ht="18">
      <c r="A5219" s="114"/>
      <c r="B5219" s="398" t="s">
        <v>1130</v>
      </c>
      <c r="C5219" s="172"/>
      <c r="D5219" s="173"/>
      <c r="E5219" s="402">
        <f>C5202*C5203*C5205</f>
        <v>2.7329999999999997</v>
      </c>
      <c r="F5219" s="390" t="s">
        <v>1124</v>
      </c>
      <c r="G5219" s="196"/>
      <c r="H5219" s="196"/>
      <c r="I5219" s="196"/>
      <c r="J5219" s="405"/>
      <c r="AX5219" s="117"/>
      <c r="AY5219" s="117"/>
      <c r="AZ5219" s="117"/>
      <c r="BA5219" s="117"/>
      <c r="BB5219" s="117"/>
      <c r="BC5219" s="117"/>
      <c r="BD5219" s="117"/>
    </row>
    <row r="5220" spans="1:56" ht="15">
      <c r="A5220" s="114"/>
      <c r="B5220" s="288"/>
      <c r="C5220" s="230"/>
      <c r="D5220" s="230"/>
      <c r="E5220" s="384"/>
      <c r="F5220" s="196"/>
      <c r="G5220" s="196"/>
      <c r="H5220" s="196"/>
      <c r="I5220" s="196"/>
      <c r="J5220" s="405"/>
      <c r="AX5220" s="117"/>
      <c r="AY5220" s="117"/>
      <c r="AZ5220" s="117"/>
      <c r="BA5220" s="117"/>
      <c r="BB5220" s="117"/>
      <c r="BC5220" s="117"/>
      <c r="BD5220" s="117"/>
    </row>
    <row r="5221" spans="1:56" ht="15">
      <c r="A5221" s="114"/>
      <c r="B5221" s="293"/>
      <c r="C5221" s="387"/>
      <c r="D5221" s="387"/>
      <c r="E5221" s="387"/>
      <c r="F5221" s="387"/>
      <c r="G5221" s="387"/>
      <c r="H5221" s="386"/>
      <c r="I5221" s="386"/>
      <c r="J5221" s="196"/>
      <c r="AX5221" s="117"/>
      <c r="AY5221" s="117"/>
      <c r="AZ5221" s="117"/>
      <c r="BA5221" s="117"/>
      <c r="BB5221" s="117"/>
      <c r="BC5221" s="117"/>
      <c r="BD5221" s="117"/>
    </row>
    <row r="5222" spans="1:56" ht="15">
      <c r="A5222" s="114"/>
      <c r="B5222" s="293"/>
      <c r="C5222" s="387"/>
      <c r="D5222" s="387"/>
      <c r="E5222" s="387"/>
      <c r="F5222" s="387"/>
      <c r="G5222" s="387"/>
      <c r="H5222" s="386"/>
      <c r="I5222" s="386"/>
      <c r="J5222" s="196"/>
      <c r="AX5222" s="117"/>
      <c r="AY5222" s="117"/>
      <c r="AZ5222" s="117"/>
      <c r="BA5222" s="117"/>
      <c r="BB5222" s="117"/>
      <c r="BC5222" s="117"/>
      <c r="BD5222" s="117"/>
    </row>
    <row r="5223" spans="1:56">
      <c r="A5223" s="114"/>
      <c r="B5223" s="385" t="s">
        <v>1308</v>
      </c>
      <c r="C5223" s="196"/>
      <c r="D5223" s="196"/>
      <c r="E5223" s="196"/>
      <c r="F5223" s="196"/>
      <c r="G5223" s="196"/>
      <c r="H5223" s="196"/>
      <c r="I5223" s="196"/>
      <c r="J5223" s="196"/>
      <c r="AX5223" s="117"/>
      <c r="AY5223" s="117"/>
      <c r="AZ5223" s="117"/>
      <c r="BA5223" s="117"/>
      <c r="BB5223" s="117"/>
      <c r="BC5223" s="117"/>
      <c r="BD5223" s="117"/>
    </row>
    <row r="5224" spans="1:56" ht="15">
      <c r="A5224" s="114"/>
      <c r="B5224" s="196"/>
      <c r="C5224" s="196"/>
      <c r="D5224" s="196"/>
      <c r="E5224" s="196"/>
      <c r="F5224" s="196"/>
      <c r="G5224" s="196"/>
      <c r="H5224" s="196"/>
      <c r="I5224" s="196"/>
      <c r="J5224" s="196"/>
      <c r="AX5224" s="117"/>
      <c r="AY5224" s="117"/>
      <c r="AZ5224" s="117"/>
      <c r="BA5224" s="117"/>
      <c r="BB5224" s="117"/>
      <c r="BC5224" s="117"/>
      <c r="BD5224" s="117"/>
    </row>
    <row r="5225" spans="1:56" ht="15">
      <c r="A5225" s="114"/>
      <c r="B5225" s="388" t="s">
        <v>1110</v>
      </c>
      <c r="C5225" s="389">
        <v>0.3</v>
      </c>
      <c r="D5225" s="390" t="s">
        <v>10</v>
      </c>
      <c r="E5225" s="196"/>
      <c r="F5225" s="196"/>
      <c r="G5225" s="392"/>
      <c r="H5225" s="393"/>
      <c r="I5225" s="196"/>
      <c r="J5225" s="196"/>
      <c r="AX5225" s="117"/>
      <c r="AY5225" s="117"/>
      <c r="AZ5225" s="117"/>
      <c r="BA5225" s="117"/>
      <c r="BB5225" s="117"/>
      <c r="BC5225" s="117"/>
      <c r="BD5225" s="117"/>
    </row>
    <row r="5226" spans="1:56" ht="15">
      <c r="A5226" s="114"/>
      <c r="B5226" s="388" t="s">
        <v>1111</v>
      </c>
      <c r="C5226" s="942">
        <v>38.33</v>
      </c>
      <c r="D5226" s="390" t="s">
        <v>10</v>
      </c>
      <c r="E5226" s="196"/>
      <c r="F5226" s="908"/>
      <c r="G5226" s="392"/>
      <c r="H5226" s="393"/>
      <c r="I5226" s="196"/>
      <c r="J5226" s="196"/>
      <c r="AX5226" s="117"/>
      <c r="AY5226" s="117"/>
      <c r="AZ5226" s="117"/>
      <c r="BA5226" s="117"/>
      <c r="BB5226" s="117"/>
      <c r="BC5226" s="117"/>
      <c r="BD5226" s="117"/>
    </row>
    <row r="5227" spans="1:56" ht="15">
      <c r="A5227" s="114"/>
      <c r="B5227" s="388" t="s">
        <v>1112</v>
      </c>
      <c r="C5227" s="389">
        <v>-0.95</v>
      </c>
      <c r="D5227" s="390" t="s">
        <v>10</v>
      </c>
      <c r="E5227" s="196"/>
      <c r="F5227" s="196"/>
      <c r="G5227" s="392"/>
      <c r="H5227" s="393"/>
      <c r="I5227" s="196"/>
      <c r="J5227" s="362"/>
      <c r="AX5227" s="117"/>
      <c r="AY5227" s="117"/>
      <c r="AZ5227" s="117"/>
      <c r="BA5227" s="117"/>
      <c r="BB5227" s="117"/>
      <c r="BC5227" s="117"/>
      <c r="BD5227" s="117"/>
    </row>
    <row r="5228" spans="1:56" ht="15">
      <c r="A5228" s="114"/>
      <c r="B5228" s="388" t="s">
        <v>1113</v>
      </c>
      <c r="C5228" s="389">
        <v>1.8</v>
      </c>
      <c r="D5228" s="390" t="s">
        <v>10</v>
      </c>
      <c r="E5228" s="196"/>
      <c r="F5228" s="196"/>
      <c r="G5228" s="392"/>
      <c r="H5228" s="394"/>
      <c r="I5228" s="196"/>
      <c r="J5228" s="196"/>
      <c r="AX5228" s="117"/>
      <c r="AY5228" s="117"/>
      <c r="AZ5228" s="117"/>
      <c r="BA5228" s="117"/>
      <c r="BB5228" s="117"/>
      <c r="BC5228" s="117"/>
      <c r="BD5228" s="117"/>
    </row>
    <row r="5229" spans="1:56" ht="15">
      <c r="A5229" s="114"/>
      <c r="B5229" s="388" t="s">
        <v>1117</v>
      </c>
      <c r="C5229" s="389">
        <v>1</v>
      </c>
      <c r="D5229" s="390" t="s">
        <v>1118</v>
      </c>
      <c r="E5229" s="196"/>
      <c r="F5229" s="196"/>
      <c r="G5229" s="392"/>
      <c r="H5229" s="393"/>
      <c r="I5229" s="196"/>
      <c r="J5229" s="362"/>
      <c r="AX5229" s="117"/>
      <c r="AY5229" s="117"/>
      <c r="AZ5229" s="117"/>
      <c r="BA5229" s="117"/>
      <c r="BB5229" s="117"/>
      <c r="BC5229" s="117"/>
      <c r="BD5229" s="117"/>
    </row>
    <row r="5230" spans="1:56" ht="15">
      <c r="A5230" s="114"/>
      <c r="B5230" s="392"/>
      <c r="C5230" s="393"/>
      <c r="D5230" s="196"/>
      <c r="E5230" s="196"/>
      <c r="F5230" s="196"/>
      <c r="G5230" s="392"/>
      <c r="H5230" s="393"/>
      <c r="I5230" s="196"/>
      <c r="J5230" s="362"/>
      <c r="AX5230" s="117"/>
      <c r="AY5230" s="117"/>
      <c r="AZ5230" s="117"/>
      <c r="BA5230" s="117"/>
      <c r="BB5230" s="117"/>
      <c r="BC5230" s="117"/>
      <c r="BD5230" s="117"/>
    </row>
    <row r="5231" spans="1:56" ht="15">
      <c r="A5231" s="114"/>
      <c r="B5231" s="388" t="s">
        <v>1114</v>
      </c>
      <c r="C5231" s="389">
        <v>0.6</v>
      </c>
      <c r="D5231" s="390" t="s">
        <v>10</v>
      </c>
      <c r="E5231" s="288" t="s">
        <v>1120</v>
      </c>
      <c r="F5231" s="288"/>
      <c r="G5231" s="230"/>
      <c r="H5231" s="395"/>
      <c r="I5231" s="196"/>
      <c r="J5231" s="362"/>
      <c r="AX5231" s="117"/>
      <c r="AY5231" s="117"/>
      <c r="AZ5231" s="117"/>
      <c r="BA5231" s="117"/>
      <c r="BB5231" s="117"/>
      <c r="BC5231" s="117"/>
      <c r="BD5231" s="117"/>
    </row>
    <row r="5232" spans="1:56" ht="15">
      <c r="A5232" s="114"/>
      <c r="B5232" s="388" t="s">
        <v>1114</v>
      </c>
      <c r="C5232" s="389">
        <v>0.2</v>
      </c>
      <c r="D5232" s="390" t="s">
        <v>10</v>
      </c>
      <c r="E5232" s="288" t="s">
        <v>1121</v>
      </c>
      <c r="F5232" s="288"/>
      <c r="G5232" s="230"/>
      <c r="H5232" s="395"/>
      <c r="I5232" s="196"/>
      <c r="J5232" s="362"/>
      <c r="AX5232" s="117"/>
      <c r="AY5232" s="117"/>
      <c r="AZ5232" s="117"/>
      <c r="BA5232" s="117"/>
      <c r="BB5232" s="117"/>
      <c r="BC5232" s="117"/>
      <c r="BD5232" s="117"/>
    </row>
    <row r="5233" spans="1:56" ht="15">
      <c r="A5233" s="114"/>
      <c r="B5233" s="196"/>
      <c r="C5233" s="196"/>
      <c r="D5233" s="196"/>
      <c r="E5233" s="196"/>
      <c r="F5233" s="196"/>
      <c r="G5233" s="196"/>
      <c r="H5233" s="196"/>
      <c r="I5233" s="196"/>
      <c r="J5233" s="362"/>
      <c r="AX5233" s="117"/>
      <c r="AY5233" s="117"/>
      <c r="AZ5233" s="117"/>
      <c r="BA5233" s="117"/>
      <c r="BB5233" s="117"/>
      <c r="BC5233" s="117"/>
      <c r="BD5233" s="117"/>
    </row>
    <row r="5234" spans="1:56" ht="15">
      <c r="A5234" s="114"/>
      <c r="B5234" s="303" t="s">
        <v>1122</v>
      </c>
      <c r="C5234" s="362"/>
      <c r="D5234" s="362"/>
      <c r="E5234" s="196"/>
      <c r="F5234" s="196"/>
      <c r="G5234" s="196"/>
      <c r="H5234" s="196"/>
      <c r="I5234" s="196"/>
      <c r="J5234" s="415"/>
      <c r="AX5234" s="117"/>
      <c r="AY5234" s="117"/>
      <c r="AZ5234" s="117"/>
      <c r="BA5234" s="117"/>
      <c r="BB5234" s="117"/>
      <c r="BC5234" s="117"/>
      <c r="BD5234" s="117"/>
    </row>
    <row r="5235" spans="1:56" ht="18">
      <c r="A5235" s="114"/>
      <c r="B5235" s="396" t="s">
        <v>1123</v>
      </c>
      <c r="C5235" s="289"/>
      <c r="D5235" s="290"/>
      <c r="E5235" s="397">
        <f>C5229*(C5231*2*(0.05+C5228+C5227)*C5226)</f>
        <v>41.3964</v>
      </c>
      <c r="F5235" s="390" t="s">
        <v>1124</v>
      </c>
      <c r="G5235" s="196"/>
      <c r="H5235" s="196"/>
      <c r="I5235" s="196"/>
      <c r="J5235" s="362"/>
      <c r="AX5235" s="117"/>
      <c r="AY5235" s="117"/>
      <c r="AZ5235" s="117"/>
      <c r="BA5235" s="117"/>
      <c r="BB5235" s="117"/>
      <c r="BC5235" s="117"/>
      <c r="BD5235" s="117"/>
    </row>
    <row r="5236" spans="1:56" ht="18">
      <c r="A5236" s="114"/>
      <c r="B5236" s="398" t="s">
        <v>1125</v>
      </c>
      <c r="C5236" s="172"/>
      <c r="D5236" s="173"/>
      <c r="E5236" s="397">
        <f>E5235-((C5225*0.05+C5225*C5228)*C5226)</f>
        <v>20.123249999999999</v>
      </c>
      <c r="F5236" s="390" t="s">
        <v>1124</v>
      </c>
      <c r="G5236" s="196"/>
      <c r="H5236" s="196"/>
      <c r="I5236" s="196"/>
      <c r="J5236" s="362"/>
      <c r="AX5236" s="117"/>
      <c r="AY5236" s="117"/>
      <c r="AZ5236" s="117"/>
      <c r="BA5236" s="117"/>
      <c r="BB5236" s="117"/>
      <c r="BC5236" s="117"/>
      <c r="BD5236" s="117"/>
    </row>
    <row r="5237" spans="1:56" ht="15">
      <c r="A5237" s="114"/>
      <c r="B5237" s="399" t="s">
        <v>1126</v>
      </c>
      <c r="C5237" s="317"/>
      <c r="D5237" s="318"/>
      <c r="E5237" s="400">
        <f>(2*C5232)*C5226</f>
        <v>15.332000000000001</v>
      </c>
      <c r="F5237" s="390" t="s">
        <v>13</v>
      </c>
      <c r="G5237" s="196"/>
      <c r="H5237" s="196"/>
      <c r="I5237" s="196"/>
      <c r="J5237" s="362"/>
      <c r="AX5237" s="117"/>
      <c r="AY5237" s="117"/>
      <c r="AZ5237" s="117"/>
      <c r="BA5237" s="117"/>
      <c r="BB5237" s="117"/>
      <c r="BC5237" s="117"/>
      <c r="BD5237" s="117"/>
    </row>
    <row r="5238" spans="1:56" ht="15">
      <c r="A5238" s="114"/>
      <c r="B5238" s="196"/>
      <c r="C5238" s="196"/>
      <c r="D5238" s="196"/>
      <c r="E5238" s="401"/>
      <c r="F5238" s="196"/>
      <c r="G5238" s="196"/>
      <c r="H5238" s="196"/>
      <c r="I5238" s="196"/>
      <c r="J5238" s="362"/>
      <c r="AX5238" s="117"/>
      <c r="AY5238" s="117"/>
      <c r="AZ5238" s="117"/>
      <c r="BA5238" s="117"/>
      <c r="BB5238" s="117"/>
      <c r="BC5238" s="117"/>
      <c r="BD5238" s="117"/>
    </row>
    <row r="5239" spans="1:56" ht="15">
      <c r="A5239" s="114"/>
      <c r="B5239" s="303" t="s">
        <v>1127</v>
      </c>
      <c r="C5239" s="196"/>
      <c r="D5239" s="196"/>
      <c r="E5239" s="401"/>
      <c r="F5239" s="196"/>
      <c r="G5239" s="196"/>
      <c r="H5239" s="196"/>
      <c r="I5239" s="196"/>
      <c r="J5239" s="362"/>
      <c r="AX5239" s="117"/>
      <c r="AY5239" s="117"/>
      <c r="AZ5239" s="117"/>
      <c r="BA5239" s="117"/>
      <c r="BB5239" s="117"/>
      <c r="BC5239" s="117"/>
      <c r="BD5239" s="117"/>
    </row>
    <row r="5240" spans="1:56" ht="18">
      <c r="A5240" s="114"/>
      <c r="B5240" s="398" t="s">
        <v>1128</v>
      </c>
      <c r="C5240" s="172"/>
      <c r="D5240" s="173"/>
      <c r="E5240" s="402">
        <f>E5237*0.05</f>
        <v>0.76660000000000006</v>
      </c>
      <c r="F5240" s="390" t="s">
        <v>1124</v>
      </c>
      <c r="G5240" s="196"/>
      <c r="H5240" s="196"/>
      <c r="I5240" s="196"/>
      <c r="J5240" s="362"/>
      <c r="AX5240" s="117"/>
      <c r="AY5240" s="117"/>
      <c r="AZ5240" s="117"/>
      <c r="BA5240" s="117"/>
      <c r="BB5240" s="117"/>
      <c r="BC5240" s="117"/>
      <c r="BD5240" s="117"/>
    </row>
    <row r="5241" spans="1:56" ht="15">
      <c r="A5241" s="114"/>
      <c r="B5241" s="398" t="s">
        <v>1129</v>
      </c>
      <c r="C5241" s="172"/>
      <c r="D5241" s="173"/>
      <c r="E5241" s="397">
        <f>C5228*2*C5226</f>
        <v>137.988</v>
      </c>
      <c r="F5241" s="390" t="s">
        <v>13</v>
      </c>
      <c r="G5241" s="393" t="s">
        <v>1108</v>
      </c>
      <c r="H5241" s="196" t="s">
        <v>1131</v>
      </c>
      <c r="I5241" s="393"/>
      <c r="J5241" s="362"/>
      <c r="AX5241" s="117"/>
      <c r="AY5241" s="117"/>
      <c r="AZ5241" s="117"/>
      <c r="BA5241" s="117"/>
      <c r="BB5241" s="117"/>
      <c r="BC5241" s="117"/>
      <c r="BD5241" s="117"/>
    </row>
    <row r="5242" spans="1:56" ht="18">
      <c r="A5242" s="114"/>
      <c r="B5242" s="398" t="s">
        <v>1130</v>
      </c>
      <c r="C5242" s="172"/>
      <c r="D5242" s="173"/>
      <c r="E5242" s="402">
        <f>C5225*C5226*C5228</f>
        <v>20.6982</v>
      </c>
      <c r="F5242" s="390" t="s">
        <v>1124</v>
      </c>
      <c r="G5242" s="196"/>
      <c r="H5242" s="196"/>
      <c r="I5242" s="196"/>
      <c r="J5242" s="114"/>
      <c r="AW5242" s="117"/>
      <c r="AX5242" s="117"/>
      <c r="AY5242" s="117"/>
      <c r="AZ5242" s="117"/>
      <c r="BA5242" s="117"/>
      <c r="BB5242" s="117"/>
      <c r="BC5242" s="117"/>
      <c r="BD5242" s="117"/>
    </row>
    <row r="5243" spans="1:56" ht="15">
      <c r="A5243" s="114"/>
      <c r="B5243" s="288"/>
      <c r="C5243" s="230"/>
      <c r="D5243" s="230"/>
      <c r="E5243" s="384"/>
      <c r="F5243" s="196"/>
      <c r="G5243" s="196"/>
      <c r="H5243" s="196"/>
      <c r="I5243" s="196"/>
      <c r="J5243" s="114"/>
      <c r="AW5243" s="117"/>
      <c r="AX5243" s="117"/>
      <c r="AY5243" s="117"/>
      <c r="AZ5243" s="117"/>
      <c r="BA5243" s="117"/>
      <c r="BB5243" s="117"/>
      <c r="BC5243" s="117"/>
      <c r="BD5243" s="117"/>
    </row>
    <row r="5244" spans="1:56" ht="15.75" customHeight="1">
      <c r="A5244" s="114"/>
      <c r="B5244" s="293"/>
      <c r="C5244" s="387"/>
      <c r="D5244" s="387"/>
      <c r="E5244" s="387"/>
      <c r="F5244" s="387"/>
      <c r="G5244" s="387"/>
      <c r="H5244" s="386"/>
      <c r="I5244" s="386"/>
      <c r="J5244" s="114"/>
      <c r="AW5244" s="117"/>
      <c r="AX5244" s="117"/>
      <c r="AY5244" s="117"/>
      <c r="AZ5244" s="117"/>
      <c r="BA5244" s="117"/>
      <c r="BB5244" s="117"/>
      <c r="BC5244" s="117"/>
      <c r="BD5244" s="117"/>
    </row>
    <row r="5245" spans="1:56" customFormat="1" ht="15">
      <c r="A5245" s="114"/>
      <c r="B5245" s="293"/>
      <c r="C5245" s="387"/>
      <c r="D5245" s="387"/>
      <c r="E5245" s="387"/>
      <c r="F5245" s="387"/>
      <c r="G5245" s="387"/>
      <c r="H5245" s="386"/>
      <c r="I5245" s="386"/>
      <c r="J5245" s="362"/>
    </row>
    <row r="5246" spans="1:56">
      <c r="A5246" s="114"/>
      <c r="B5246" s="385" t="s">
        <v>2229</v>
      </c>
      <c r="C5246" s="196"/>
      <c r="D5246" s="196"/>
      <c r="E5246" s="196"/>
      <c r="F5246" s="196"/>
      <c r="G5246" s="196"/>
      <c r="H5246" s="196"/>
      <c r="I5246" s="196"/>
      <c r="J5246" s="404"/>
      <c r="AX5246" s="117"/>
      <c r="AY5246" s="117"/>
      <c r="AZ5246" s="117"/>
      <c r="BA5246" s="117"/>
      <c r="BB5246" s="117"/>
      <c r="BC5246" s="117"/>
      <c r="BD5246" s="117"/>
    </row>
    <row r="5247" spans="1:56" ht="15">
      <c r="A5247" s="114"/>
      <c r="B5247" s="196"/>
      <c r="C5247" s="196"/>
      <c r="D5247" s="196"/>
      <c r="E5247" s="196"/>
      <c r="F5247" s="196"/>
      <c r="G5247" s="196"/>
      <c r="H5247" s="196"/>
      <c r="I5247" s="196"/>
      <c r="J5247" s="405"/>
      <c r="AX5247" s="117"/>
      <c r="AY5247" s="117"/>
      <c r="AZ5247" s="117"/>
      <c r="BA5247" s="117"/>
      <c r="BB5247" s="117"/>
      <c r="BC5247" s="117"/>
      <c r="BD5247" s="117"/>
    </row>
    <row r="5248" spans="1:56" ht="15">
      <c r="A5248" s="114"/>
      <c r="B5248" s="388" t="s">
        <v>1110</v>
      </c>
      <c r="C5248" s="389">
        <v>0.2</v>
      </c>
      <c r="D5248" s="390" t="s">
        <v>10</v>
      </c>
      <c r="E5248" s="196"/>
      <c r="F5248" s="196"/>
      <c r="G5248" s="392"/>
      <c r="H5248" s="393"/>
      <c r="I5248" s="196"/>
      <c r="J5248" s="405"/>
      <c r="AX5248" s="117"/>
      <c r="AY5248" s="117"/>
      <c r="AZ5248" s="117"/>
      <c r="BA5248" s="117"/>
      <c r="BB5248" s="117"/>
      <c r="BC5248" s="117"/>
      <c r="BD5248" s="117"/>
    </row>
    <row r="5249" spans="1:56" ht="15">
      <c r="A5249" s="114"/>
      <c r="B5249" s="388" t="s">
        <v>1111</v>
      </c>
      <c r="C5249" s="391">
        <v>1.2</v>
      </c>
      <c r="D5249" s="390" t="s">
        <v>10</v>
      </c>
      <c r="E5249" s="196"/>
      <c r="F5249" s="908"/>
      <c r="G5249" s="392"/>
      <c r="H5249" s="393"/>
      <c r="I5249" s="196"/>
      <c r="J5249" s="405"/>
      <c r="AX5249" s="117"/>
      <c r="AY5249" s="117"/>
      <c r="AZ5249" s="117"/>
      <c r="BA5249" s="117"/>
      <c r="BB5249" s="117"/>
      <c r="BC5249" s="117"/>
      <c r="BD5249" s="117"/>
    </row>
    <row r="5250" spans="1:56" ht="15">
      <c r="A5250" s="114"/>
      <c r="B5250" s="388" t="s">
        <v>1112</v>
      </c>
      <c r="C5250" s="389">
        <v>0</v>
      </c>
      <c r="D5250" s="390" t="s">
        <v>10</v>
      </c>
      <c r="E5250" s="196"/>
      <c r="F5250" s="196"/>
      <c r="G5250" s="392"/>
      <c r="H5250" s="393"/>
      <c r="I5250" s="196"/>
      <c r="J5250" s="405"/>
      <c r="AX5250" s="117"/>
      <c r="AY5250" s="117"/>
      <c r="AZ5250" s="117"/>
      <c r="BA5250" s="117"/>
      <c r="BB5250" s="117"/>
      <c r="BC5250" s="117"/>
      <c r="BD5250" s="117"/>
    </row>
    <row r="5251" spans="1:56" ht="15">
      <c r="A5251" s="114"/>
      <c r="B5251" s="388" t="s">
        <v>1113</v>
      </c>
      <c r="C5251" s="389">
        <v>1.226</v>
      </c>
      <c r="D5251" s="390" t="s">
        <v>10</v>
      </c>
      <c r="E5251" s="196"/>
      <c r="F5251" s="196"/>
      <c r="G5251" s="392"/>
      <c r="H5251" s="394"/>
      <c r="I5251" s="196"/>
      <c r="J5251" s="405"/>
      <c r="AX5251" s="117"/>
      <c r="AY5251" s="117"/>
      <c r="AZ5251" s="117"/>
      <c r="BA5251" s="117"/>
      <c r="BB5251" s="117"/>
      <c r="BC5251" s="117"/>
      <c r="BD5251" s="117"/>
    </row>
    <row r="5252" spans="1:56" ht="15">
      <c r="A5252" s="114"/>
      <c r="B5252" s="388" t="s">
        <v>1117</v>
      </c>
      <c r="C5252" s="389">
        <v>1</v>
      </c>
      <c r="D5252" s="390" t="s">
        <v>1118</v>
      </c>
      <c r="E5252" s="196"/>
      <c r="F5252" s="196"/>
      <c r="G5252" s="392"/>
      <c r="H5252" s="393"/>
      <c r="I5252" s="196"/>
      <c r="J5252" s="405"/>
      <c r="AX5252" s="117"/>
      <c r="AY5252" s="117"/>
      <c r="AZ5252" s="117"/>
      <c r="BA5252" s="117"/>
      <c r="BB5252" s="117"/>
      <c r="BC5252" s="117"/>
      <c r="BD5252" s="117"/>
    </row>
    <row r="5253" spans="1:56" ht="15">
      <c r="A5253" s="114"/>
      <c r="B5253" s="392"/>
      <c r="C5253" s="393"/>
      <c r="D5253" s="196"/>
      <c r="E5253" s="196"/>
      <c r="F5253" s="196"/>
      <c r="G5253" s="392"/>
      <c r="H5253" s="393"/>
      <c r="I5253" s="196"/>
      <c r="J5253" s="405"/>
      <c r="AX5253" s="117"/>
      <c r="AY5253" s="117"/>
      <c r="AZ5253" s="117"/>
      <c r="BA5253" s="117"/>
      <c r="BB5253" s="117"/>
      <c r="BC5253" s="117"/>
      <c r="BD5253" s="117"/>
    </row>
    <row r="5254" spans="1:56" ht="15">
      <c r="A5254" s="114"/>
      <c r="B5254" s="388" t="s">
        <v>1114</v>
      </c>
      <c r="C5254" s="389">
        <v>0.6</v>
      </c>
      <c r="D5254" s="390" t="s">
        <v>10</v>
      </c>
      <c r="E5254" s="288" t="s">
        <v>1120</v>
      </c>
      <c r="F5254" s="288"/>
      <c r="G5254" s="230"/>
      <c r="H5254" s="395"/>
      <c r="I5254" s="196"/>
      <c r="J5254" s="405"/>
      <c r="AX5254" s="117"/>
      <c r="AY5254" s="117"/>
      <c r="AZ5254" s="117"/>
      <c r="BA5254" s="117"/>
      <c r="BB5254" s="117"/>
      <c r="BC5254" s="117"/>
      <c r="BD5254" s="117"/>
    </row>
    <row r="5255" spans="1:56" ht="15">
      <c r="A5255" s="114"/>
      <c r="B5255" s="388" t="s">
        <v>1114</v>
      </c>
      <c r="C5255" s="389">
        <v>0.2</v>
      </c>
      <c r="D5255" s="390" t="s">
        <v>10</v>
      </c>
      <c r="E5255" s="288" t="s">
        <v>1121</v>
      </c>
      <c r="F5255" s="288"/>
      <c r="G5255" s="230"/>
      <c r="H5255" s="395"/>
      <c r="I5255" s="196"/>
      <c r="J5255" s="196"/>
      <c r="AX5255" s="117"/>
      <c r="AY5255" s="117"/>
      <c r="AZ5255" s="117"/>
      <c r="BA5255" s="117"/>
      <c r="BB5255" s="117"/>
      <c r="BC5255" s="117"/>
      <c r="BD5255" s="117"/>
    </row>
    <row r="5256" spans="1:56" ht="15">
      <c r="A5256" s="114"/>
      <c r="B5256" s="196"/>
      <c r="C5256" s="196"/>
      <c r="D5256" s="196"/>
      <c r="E5256" s="196"/>
      <c r="F5256" s="196"/>
      <c r="G5256" s="196"/>
      <c r="H5256" s="196"/>
      <c r="I5256" s="196"/>
      <c r="J5256" s="196"/>
      <c r="AX5256" s="117"/>
      <c r="AY5256" s="117"/>
      <c r="AZ5256" s="117"/>
      <c r="BA5256" s="117"/>
      <c r="BB5256" s="117"/>
      <c r="BC5256" s="117"/>
      <c r="BD5256" s="117"/>
    </row>
    <row r="5257" spans="1:56" ht="15">
      <c r="A5257" s="114"/>
      <c r="B5257" s="303" t="s">
        <v>1122</v>
      </c>
      <c r="C5257" s="362"/>
      <c r="D5257" s="362"/>
      <c r="E5257" s="196"/>
      <c r="F5257" s="196"/>
      <c r="G5257" s="196"/>
      <c r="H5257" s="196"/>
      <c r="I5257" s="196"/>
      <c r="J5257" s="196"/>
      <c r="AX5257" s="117"/>
      <c r="AY5257" s="117"/>
      <c r="AZ5257" s="117"/>
      <c r="BA5257" s="117"/>
      <c r="BB5257" s="117"/>
      <c r="BC5257" s="117"/>
      <c r="BD5257" s="117"/>
    </row>
    <row r="5258" spans="1:56" ht="18">
      <c r="A5258" s="114"/>
      <c r="B5258" s="396" t="s">
        <v>1123</v>
      </c>
      <c r="C5258" s="289"/>
      <c r="D5258" s="290"/>
      <c r="E5258" s="397">
        <f>C5252*(C5254*2*(0.05+C5251+C5250)*C5249)</f>
        <v>1.8374399999999997</v>
      </c>
      <c r="F5258" s="390" t="s">
        <v>1124</v>
      </c>
      <c r="G5258" s="196"/>
      <c r="H5258" s="196"/>
      <c r="I5258" s="196"/>
      <c r="J5258" s="196"/>
      <c r="AX5258" s="117"/>
      <c r="AY5258" s="117"/>
      <c r="AZ5258" s="117"/>
      <c r="BA5258" s="117"/>
      <c r="BB5258" s="117"/>
      <c r="BC5258" s="117"/>
      <c r="BD5258" s="117"/>
    </row>
    <row r="5259" spans="1:56" ht="18">
      <c r="A5259" s="114"/>
      <c r="B5259" s="398" t="s">
        <v>1125</v>
      </c>
      <c r="C5259" s="172"/>
      <c r="D5259" s="173"/>
      <c r="E5259" s="397">
        <f>E5258-((C5248*0.05+C5248*C5251)*C5249)</f>
        <v>1.5311999999999997</v>
      </c>
      <c r="F5259" s="390" t="s">
        <v>1124</v>
      </c>
      <c r="G5259" s="196"/>
      <c r="H5259" s="196"/>
      <c r="I5259" s="196"/>
      <c r="J5259" s="196"/>
      <c r="AX5259" s="117"/>
      <c r="AY5259" s="117"/>
      <c r="AZ5259" s="117"/>
      <c r="BA5259" s="117"/>
      <c r="BB5259" s="117"/>
      <c r="BC5259" s="117"/>
      <c r="BD5259" s="117"/>
    </row>
    <row r="5260" spans="1:56" ht="15">
      <c r="A5260" s="114"/>
      <c r="B5260" s="399" t="s">
        <v>1126</v>
      </c>
      <c r="C5260" s="317"/>
      <c r="D5260" s="318"/>
      <c r="E5260" s="400">
        <f>(2*C5255)*C5249</f>
        <v>0.48</v>
      </c>
      <c r="F5260" s="390" t="s">
        <v>13</v>
      </c>
      <c r="G5260" s="196"/>
      <c r="H5260" s="196"/>
      <c r="I5260" s="196"/>
      <c r="J5260" s="196"/>
      <c r="AX5260" s="117"/>
      <c r="AY5260" s="117"/>
      <c r="AZ5260" s="117"/>
      <c r="BA5260" s="117"/>
      <c r="BB5260" s="117"/>
      <c r="BC5260" s="117"/>
      <c r="BD5260" s="117"/>
    </row>
    <row r="5261" spans="1:56" ht="15">
      <c r="A5261" s="114"/>
      <c r="B5261" s="196"/>
      <c r="C5261" s="196"/>
      <c r="D5261" s="196"/>
      <c r="E5261" s="401"/>
      <c r="F5261" s="196"/>
      <c r="G5261" s="196"/>
      <c r="H5261" s="196"/>
      <c r="I5261" s="196"/>
      <c r="J5261" s="362"/>
      <c r="AX5261" s="117"/>
      <c r="AY5261" s="117"/>
      <c r="AZ5261" s="117"/>
      <c r="BA5261" s="117"/>
      <c r="BB5261" s="117"/>
      <c r="BC5261" s="117"/>
      <c r="BD5261" s="117"/>
    </row>
    <row r="5262" spans="1:56" ht="15">
      <c r="A5262" s="114"/>
      <c r="B5262" s="303" t="s">
        <v>1127</v>
      </c>
      <c r="C5262" s="196"/>
      <c r="D5262" s="196"/>
      <c r="E5262" s="401"/>
      <c r="F5262" s="196"/>
      <c r="G5262" s="196"/>
      <c r="H5262" s="196"/>
      <c r="I5262" s="196"/>
      <c r="J5262" s="196"/>
      <c r="AX5262" s="117"/>
      <c r="AY5262" s="117"/>
      <c r="AZ5262" s="117"/>
      <c r="BA5262" s="117"/>
      <c r="BB5262" s="117"/>
      <c r="BC5262" s="117"/>
      <c r="BD5262" s="117"/>
    </row>
    <row r="5263" spans="1:56" ht="18">
      <c r="A5263" s="114"/>
      <c r="B5263" s="398" t="s">
        <v>1128</v>
      </c>
      <c r="C5263" s="172"/>
      <c r="D5263" s="173"/>
      <c r="E5263" s="402">
        <f>E5260*0.05</f>
        <v>2.4E-2</v>
      </c>
      <c r="F5263" s="390" t="s">
        <v>1124</v>
      </c>
      <c r="G5263" s="196"/>
      <c r="H5263" s="196"/>
      <c r="I5263" s="196"/>
      <c r="J5263" s="362"/>
      <c r="AX5263" s="117"/>
      <c r="AY5263" s="117"/>
      <c r="AZ5263" s="117"/>
      <c r="BA5263" s="117"/>
      <c r="BB5263" s="117"/>
      <c r="BC5263" s="117"/>
      <c r="BD5263" s="117"/>
    </row>
    <row r="5264" spans="1:56" ht="15">
      <c r="A5264" s="114"/>
      <c r="B5264" s="398" t="s">
        <v>1129</v>
      </c>
      <c r="C5264" s="172"/>
      <c r="D5264" s="173"/>
      <c r="E5264" s="397">
        <f>C5251*2*C5249</f>
        <v>2.9423999999999997</v>
      </c>
      <c r="F5264" s="390" t="s">
        <v>13</v>
      </c>
      <c r="G5264" s="393" t="s">
        <v>1108</v>
      </c>
      <c r="H5264" s="196" t="s">
        <v>1131</v>
      </c>
      <c r="I5264" s="393"/>
      <c r="J5264" s="362"/>
      <c r="AX5264" s="117"/>
      <c r="AY5264" s="117"/>
      <c r="AZ5264" s="117"/>
      <c r="BA5264" s="117"/>
      <c r="BB5264" s="117"/>
      <c r="BC5264" s="117"/>
      <c r="BD5264" s="117"/>
    </row>
    <row r="5265" spans="1:56" ht="18">
      <c r="A5265" s="114"/>
      <c r="B5265" s="398" t="s">
        <v>1130</v>
      </c>
      <c r="C5265" s="172"/>
      <c r="D5265" s="173"/>
      <c r="E5265" s="402">
        <f>C5248*C5249*C5251</f>
        <v>0.29424</v>
      </c>
      <c r="F5265" s="390" t="s">
        <v>1124</v>
      </c>
      <c r="G5265" s="196"/>
      <c r="H5265" s="196"/>
      <c r="I5265" s="196"/>
      <c r="J5265" s="362"/>
      <c r="AX5265" s="117"/>
      <c r="AY5265" s="117"/>
      <c r="AZ5265" s="117"/>
      <c r="BA5265" s="117"/>
      <c r="BB5265" s="117"/>
      <c r="BC5265" s="117"/>
      <c r="BD5265" s="117"/>
    </row>
    <row r="5266" spans="1:56" ht="15">
      <c r="A5266" s="114"/>
      <c r="B5266" s="288"/>
      <c r="C5266" s="230"/>
      <c r="D5266" s="230"/>
      <c r="E5266" s="384"/>
      <c r="F5266" s="196"/>
      <c r="G5266" s="196"/>
      <c r="H5266" s="196"/>
      <c r="I5266" s="196"/>
      <c r="J5266" s="362"/>
      <c r="AX5266" s="117"/>
      <c r="AY5266" s="117"/>
      <c r="AZ5266" s="117"/>
      <c r="BA5266" s="117"/>
      <c r="BB5266" s="117"/>
      <c r="BC5266" s="117"/>
      <c r="BD5266" s="117"/>
    </row>
    <row r="5267" spans="1:56" customFormat="1" ht="15">
      <c r="A5267" s="114"/>
      <c r="B5267" s="293"/>
      <c r="C5267" s="387"/>
      <c r="D5267" s="387"/>
      <c r="E5267" s="387"/>
      <c r="F5267" s="387"/>
      <c r="G5267" s="387"/>
      <c r="H5267" s="386"/>
      <c r="I5267" s="386"/>
      <c r="J5267" s="948"/>
    </row>
    <row r="5268" spans="1:56">
      <c r="A5268" s="114"/>
      <c r="B5268" s="385" t="s">
        <v>1309</v>
      </c>
      <c r="C5268" s="196"/>
      <c r="D5268" s="196"/>
      <c r="E5268" s="196"/>
      <c r="F5268" s="196"/>
      <c r="G5268" s="196"/>
      <c r="H5268" s="196"/>
      <c r="I5268" s="196"/>
      <c r="J5268" s="404"/>
      <c r="AX5268" s="117"/>
      <c r="AY5268" s="117"/>
      <c r="AZ5268" s="117"/>
      <c r="BA5268" s="117"/>
      <c r="BB5268" s="117"/>
      <c r="BC5268" s="117"/>
      <c r="BD5268" s="117"/>
    </row>
    <row r="5269" spans="1:56" ht="15">
      <c r="A5269" s="114"/>
      <c r="B5269" s="196"/>
      <c r="C5269" s="196"/>
      <c r="D5269" s="196"/>
      <c r="E5269" s="196"/>
      <c r="F5269" s="196"/>
      <c r="G5269" s="196"/>
      <c r="H5269" s="196"/>
      <c r="I5269" s="196"/>
      <c r="J5269" s="405"/>
      <c r="AX5269" s="117"/>
      <c r="AY5269" s="117"/>
      <c r="AZ5269" s="117"/>
      <c r="BA5269" s="117"/>
      <c r="BB5269" s="117"/>
      <c r="BC5269" s="117"/>
      <c r="BD5269" s="117"/>
    </row>
    <row r="5270" spans="1:56" ht="15">
      <c r="A5270" s="114"/>
      <c r="B5270" s="388" t="s">
        <v>1110</v>
      </c>
      <c r="C5270" s="389">
        <v>0.47499999999999998</v>
      </c>
      <c r="D5270" s="390" t="s">
        <v>10</v>
      </c>
      <c r="E5270" s="196"/>
      <c r="F5270" s="196"/>
      <c r="G5270" s="392"/>
      <c r="H5270" s="949"/>
      <c r="I5270" s="196"/>
      <c r="J5270" s="405"/>
      <c r="AX5270" s="117"/>
      <c r="AY5270" s="117"/>
      <c r="AZ5270" s="117"/>
      <c r="BA5270" s="117"/>
      <c r="BB5270" s="117"/>
      <c r="BC5270" s="117"/>
      <c r="BD5270" s="117"/>
    </row>
    <row r="5271" spans="1:56" ht="15">
      <c r="A5271" s="114"/>
      <c r="B5271" s="388" t="s">
        <v>1111</v>
      </c>
      <c r="C5271" s="391">
        <v>26.1</v>
      </c>
      <c r="D5271" s="390" t="s">
        <v>10</v>
      </c>
      <c r="E5271" s="196"/>
      <c r="F5271" s="949"/>
      <c r="G5271" s="392"/>
      <c r="H5271" s="949"/>
      <c r="I5271" s="196"/>
      <c r="J5271" s="405"/>
      <c r="AX5271" s="117"/>
      <c r="AY5271" s="117"/>
      <c r="AZ5271" s="117"/>
      <c r="BA5271" s="117"/>
      <c r="BB5271" s="117"/>
      <c r="BC5271" s="117"/>
      <c r="BD5271" s="117"/>
    </row>
    <row r="5272" spans="1:56" ht="15">
      <c r="A5272" s="114"/>
      <c r="B5272" s="388" t="s">
        <v>1112</v>
      </c>
      <c r="C5272" s="389">
        <v>0.55000000000000004</v>
      </c>
      <c r="D5272" s="390" t="s">
        <v>10</v>
      </c>
      <c r="E5272" s="196"/>
      <c r="F5272" s="196"/>
      <c r="G5272" s="392"/>
      <c r="H5272" s="949"/>
      <c r="I5272" s="196"/>
      <c r="J5272" s="405"/>
      <c r="AX5272" s="117"/>
      <c r="AY5272" s="117"/>
      <c r="AZ5272" s="117"/>
      <c r="BA5272" s="117"/>
      <c r="BB5272" s="117"/>
      <c r="BC5272" s="117"/>
      <c r="BD5272" s="117"/>
    </row>
    <row r="5273" spans="1:56" ht="15">
      <c r="A5273" s="114"/>
      <c r="B5273" s="388" t="s">
        <v>1113</v>
      </c>
      <c r="C5273" s="389">
        <v>0.6</v>
      </c>
      <c r="D5273" s="390" t="s">
        <v>10</v>
      </c>
      <c r="E5273" s="196"/>
      <c r="F5273" s="196"/>
      <c r="G5273" s="392"/>
      <c r="H5273" s="394"/>
      <c r="I5273" s="196"/>
      <c r="J5273" s="405"/>
      <c r="AX5273" s="117"/>
      <c r="AY5273" s="117"/>
      <c r="AZ5273" s="117"/>
      <c r="BA5273" s="117"/>
      <c r="BB5273" s="117"/>
      <c r="BC5273" s="117"/>
      <c r="BD5273" s="117"/>
    </row>
    <row r="5274" spans="1:56" ht="15">
      <c r="A5274" s="114"/>
      <c r="B5274" s="388" t="s">
        <v>1117</v>
      </c>
      <c r="C5274" s="389">
        <v>1</v>
      </c>
      <c r="D5274" s="390" t="s">
        <v>1118</v>
      </c>
      <c r="E5274" s="196"/>
      <c r="F5274" s="196"/>
      <c r="G5274" s="392"/>
      <c r="H5274" s="949"/>
      <c r="I5274" s="196"/>
      <c r="J5274" s="405"/>
      <c r="AX5274" s="117"/>
      <c r="AY5274" s="117"/>
      <c r="AZ5274" s="117"/>
      <c r="BA5274" s="117"/>
      <c r="BB5274" s="117"/>
      <c r="BC5274" s="117"/>
      <c r="BD5274" s="117"/>
    </row>
    <row r="5275" spans="1:56" ht="15">
      <c r="A5275" s="114"/>
      <c r="B5275" s="392"/>
      <c r="C5275" s="949"/>
      <c r="D5275" s="196"/>
      <c r="E5275" s="196"/>
      <c r="F5275" s="196"/>
      <c r="G5275" s="392"/>
      <c r="H5275" s="949"/>
      <c r="I5275" s="196"/>
      <c r="J5275" s="405"/>
      <c r="AX5275" s="117"/>
      <c r="AY5275" s="117"/>
      <c r="AZ5275" s="117"/>
      <c r="BA5275" s="117"/>
      <c r="BB5275" s="117"/>
      <c r="BC5275" s="117"/>
      <c r="BD5275" s="117"/>
    </row>
    <row r="5276" spans="1:56" ht="15">
      <c r="A5276" s="114"/>
      <c r="B5276" s="388" t="s">
        <v>1114</v>
      </c>
      <c r="C5276" s="389">
        <v>0.6</v>
      </c>
      <c r="D5276" s="390" t="s">
        <v>10</v>
      </c>
      <c r="E5276" s="288" t="s">
        <v>1120</v>
      </c>
      <c r="F5276" s="288"/>
      <c r="G5276" s="230"/>
      <c r="H5276" s="395"/>
      <c r="I5276" s="196"/>
      <c r="J5276" s="405"/>
      <c r="AX5276" s="117"/>
      <c r="AY5276" s="117"/>
      <c r="AZ5276" s="117"/>
      <c r="BA5276" s="117"/>
      <c r="BB5276" s="117"/>
      <c r="BC5276" s="117"/>
      <c r="BD5276" s="117"/>
    </row>
    <row r="5277" spans="1:56" ht="15">
      <c r="A5277" s="114"/>
      <c r="B5277" s="388" t="s">
        <v>1114</v>
      </c>
      <c r="C5277" s="389">
        <v>0.2</v>
      </c>
      <c r="D5277" s="390" t="s">
        <v>10</v>
      </c>
      <c r="E5277" s="288" t="s">
        <v>1121</v>
      </c>
      <c r="F5277" s="288"/>
      <c r="G5277" s="230"/>
      <c r="H5277" s="395"/>
      <c r="I5277" s="196"/>
      <c r="J5277" s="196"/>
      <c r="AX5277" s="117"/>
      <c r="AY5277" s="117"/>
      <c r="AZ5277" s="117"/>
      <c r="BA5277" s="117"/>
      <c r="BB5277" s="117"/>
      <c r="BC5277" s="117"/>
      <c r="BD5277" s="117"/>
    </row>
    <row r="5278" spans="1:56" ht="15">
      <c r="A5278" s="114"/>
      <c r="B5278" s="196"/>
      <c r="C5278" s="196"/>
      <c r="D5278" s="196"/>
      <c r="E5278" s="196"/>
      <c r="F5278" s="196"/>
      <c r="G5278" s="196"/>
      <c r="H5278" s="196"/>
      <c r="I5278" s="196"/>
      <c r="J5278" s="196"/>
      <c r="AX5278" s="117"/>
      <c r="AY5278" s="117"/>
      <c r="AZ5278" s="117"/>
      <c r="BA5278" s="117"/>
      <c r="BB5278" s="117"/>
      <c r="BC5278" s="117"/>
      <c r="BD5278" s="117"/>
    </row>
    <row r="5279" spans="1:56" ht="15">
      <c r="A5279" s="114"/>
      <c r="B5279" s="303" t="s">
        <v>1122</v>
      </c>
      <c r="C5279" s="948"/>
      <c r="D5279" s="948"/>
      <c r="E5279" s="196"/>
      <c r="F5279" s="196"/>
      <c r="G5279" s="196"/>
      <c r="H5279" s="196"/>
      <c r="I5279" s="196"/>
      <c r="J5279" s="196"/>
      <c r="AX5279" s="117"/>
      <c r="AY5279" s="117"/>
      <c r="AZ5279" s="117"/>
      <c r="BA5279" s="117"/>
      <c r="BB5279" s="117"/>
      <c r="BC5279" s="117"/>
      <c r="BD5279" s="117"/>
    </row>
    <row r="5280" spans="1:56" ht="18">
      <c r="A5280" s="114"/>
      <c r="B5280" s="396" t="s">
        <v>1123</v>
      </c>
      <c r="C5280" s="289"/>
      <c r="D5280" s="290"/>
      <c r="E5280" s="397">
        <f>C5274*(C5276*2*(0.05+C5273+C5272)*C5271)</f>
        <v>37.584000000000003</v>
      </c>
      <c r="F5280" s="390" t="s">
        <v>1124</v>
      </c>
      <c r="G5280" s="196"/>
      <c r="H5280" s="196"/>
      <c r="I5280" s="196"/>
      <c r="J5280" s="196"/>
      <c r="AX5280" s="117"/>
      <c r="AY5280" s="117"/>
      <c r="AZ5280" s="117"/>
      <c r="BA5280" s="117"/>
      <c r="BB5280" s="117"/>
      <c r="BC5280" s="117"/>
      <c r="BD5280" s="117"/>
    </row>
    <row r="5281" spans="1:56" ht="18">
      <c r="A5281" s="114"/>
      <c r="B5281" s="950" t="s">
        <v>1125</v>
      </c>
      <c r="C5281" s="172"/>
      <c r="D5281" s="173"/>
      <c r="E5281" s="397">
        <f>E5280-((C5270*0.05+C5270*C5273)*C5271)</f>
        <v>29.525625000000005</v>
      </c>
      <c r="F5281" s="390" t="s">
        <v>1124</v>
      </c>
      <c r="G5281" s="196"/>
      <c r="H5281" s="196"/>
      <c r="I5281" s="196"/>
      <c r="J5281" s="196"/>
      <c r="AX5281" s="117"/>
      <c r="AY5281" s="117"/>
      <c r="AZ5281" s="117"/>
      <c r="BA5281" s="117"/>
      <c r="BB5281" s="117"/>
      <c r="BC5281" s="117"/>
      <c r="BD5281" s="117"/>
    </row>
    <row r="5282" spans="1:56" ht="15">
      <c r="A5282" s="114"/>
      <c r="B5282" s="399" t="s">
        <v>1126</v>
      </c>
      <c r="C5282" s="317"/>
      <c r="D5282" s="318"/>
      <c r="E5282" s="400">
        <f>(2*C5277)*C5271</f>
        <v>10.440000000000001</v>
      </c>
      <c r="F5282" s="390" t="s">
        <v>13</v>
      </c>
      <c r="G5282" s="196"/>
      <c r="H5282" s="196"/>
      <c r="I5282" s="196"/>
      <c r="J5282" s="196"/>
      <c r="AX5282" s="117"/>
      <c r="AY5282" s="117"/>
      <c r="AZ5282" s="117"/>
      <c r="BA5282" s="117"/>
      <c r="BB5282" s="117"/>
      <c r="BC5282" s="117"/>
      <c r="BD5282" s="117"/>
    </row>
    <row r="5283" spans="1:56" ht="15">
      <c r="A5283" s="114"/>
      <c r="B5283" s="196"/>
      <c r="C5283" s="196"/>
      <c r="D5283" s="196"/>
      <c r="E5283" s="401"/>
      <c r="F5283" s="196"/>
      <c r="G5283" s="196"/>
      <c r="H5283" s="196"/>
      <c r="I5283" s="196"/>
      <c r="J5283" s="948"/>
      <c r="AX5283" s="117"/>
      <c r="AY5283" s="117"/>
      <c r="AZ5283" s="117"/>
      <c r="BA5283" s="117"/>
      <c r="BB5283" s="117"/>
      <c r="BC5283" s="117"/>
      <c r="BD5283" s="117"/>
    </row>
    <row r="5284" spans="1:56" ht="15">
      <c r="A5284" s="114"/>
      <c r="B5284" s="303" t="s">
        <v>1127</v>
      </c>
      <c r="C5284" s="196"/>
      <c r="D5284" s="196"/>
      <c r="E5284" s="401"/>
      <c r="F5284" s="196"/>
      <c r="G5284" s="196"/>
      <c r="H5284" s="196"/>
      <c r="I5284" s="196"/>
      <c r="J5284" s="196"/>
      <c r="AX5284" s="117"/>
      <c r="AY5284" s="117"/>
      <c r="AZ5284" s="117"/>
      <c r="BA5284" s="117"/>
      <c r="BB5284" s="117"/>
      <c r="BC5284" s="117"/>
      <c r="BD5284" s="117"/>
    </row>
    <row r="5285" spans="1:56" ht="18">
      <c r="A5285" s="114"/>
      <c r="B5285" s="950" t="s">
        <v>1128</v>
      </c>
      <c r="C5285" s="172"/>
      <c r="D5285" s="173"/>
      <c r="E5285" s="402">
        <f>E5282*0.05</f>
        <v>0.52200000000000013</v>
      </c>
      <c r="F5285" s="390" t="s">
        <v>1124</v>
      </c>
      <c r="G5285" s="196"/>
      <c r="H5285" s="196"/>
      <c r="I5285" s="196"/>
      <c r="J5285" s="948"/>
      <c r="AX5285" s="117"/>
      <c r="AY5285" s="117"/>
      <c r="AZ5285" s="117"/>
      <c r="BA5285" s="117"/>
      <c r="BB5285" s="117"/>
      <c r="BC5285" s="117"/>
      <c r="BD5285" s="117"/>
    </row>
    <row r="5286" spans="1:56" ht="15">
      <c r="A5286" s="114"/>
      <c r="B5286" s="950" t="s">
        <v>1129</v>
      </c>
      <c r="C5286" s="172"/>
      <c r="D5286" s="173"/>
      <c r="E5286" s="397">
        <f>C5273*2*C5271</f>
        <v>31.32</v>
      </c>
      <c r="F5286" s="390" t="s">
        <v>13</v>
      </c>
      <c r="G5286" s="949" t="s">
        <v>1108</v>
      </c>
      <c r="H5286" s="196" t="s">
        <v>1131</v>
      </c>
      <c r="I5286" s="949"/>
      <c r="J5286" s="948"/>
      <c r="AX5286" s="117"/>
      <c r="AY5286" s="117"/>
      <c r="AZ5286" s="117"/>
      <c r="BA5286" s="117"/>
      <c r="BB5286" s="117"/>
      <c r="BC5286" s="117"/>
      <c r="BD5286" s="117"/>
    </row>
    <row r="5287" spans="1:56" ht="18">
      <c r="A5287" s="114"/>
      <c r="B5287" s="950" t="s">
        <v>1130</v>
      </c>
      <c r="C5287" s="172"/>
      <c r="D5287" s="173"/>
      <c r="E5287" s="402">
        <f>C5270*C5271*C5273</f>
        <v>7.4385000000000003</v>
      </c>
      <c r="F5287" s="390" t="s">
        <v>1124</v>
      </c>
      <c r="G5287" s="196"/>
      <c r="H5287" s="196"/>
      <c r="I5287" s="196"/>
      <c r="J5287" s="948"/>
      <c r="AX5287" s="117"/>
      <c r="AY5287" s="117"/>
      <c r="AZ5287" s="117"/>
      <c r="BA5287" s="117"/>
      <c r="BB5287" s="117"/>
      <c r="BC5287" s="117"/>
      <c r="BD5287" s="117"/>
    </row>
    <row r="5288" spans="1:56" ht="15">
      <c r="A5288" s="114"/>
      <c r="B5288" s="288"/>
      <c r="C5288" s="230"/>
      <c r="D5288" s="230"/>
      <c r="E5288" s="384"/>
      <c r="F5288" s="196"/>
      <c r="G5288" s="196"/>
      <c r="H5288" s="196"/>
      <c r="I5288" s="196"/>
      <c r="J5288" s="948"/>
      <c r="AX5288" s="117"/>
      <c r="AY5288" s="117"/>
      <c r="AZ5288" s="117"/>
      <c r="BA5288" s="117"/>
      <c r="BB5288" s="117"/>
      <c r="BC5288" s="117"/>
      <c r="BD5288" s="117"/>
    </row>
    <row r="5289" spans="1:56">
      <c r="A5289" s="114"/>
      <c r="B5289" s="115"/>
      <c r="C5289" s="115"/>
      <c r="D5289" s="115"/>
      <c r="E5289" s="115"/>
      <c r="F5289" s="115"/>
      <c r="G5289" s="115"/>
      <c r="H5289" s="115"/>
      <c r="I5289" s="115"/>
      <c r="J5289" s="362"/>
      <c r="AX5289" s="117"/>
      <c r="AY5289" s="117"/>
      <c r="AZ5289" s="117"/>
      <c r="BA5289" s="117"/>
      <c r="BB5289" s="117"/>
      <c r="BC5289" s="117"/>
      <c r="BD5289" s="117"/>
    </row>
    <row r="5290" spans="1:56">
      <c r="A5290" s="114"/>
      <c r="B5290" s="115"/>
      <c r="C5290" s="115"/>
      <c r="D5290" s="115"/>
      <c r="E5290" s="115"/>
      <c r="F5290" s="115"/>
      <c r="G5290" s="115"/>
      <c r="H5290" s="115"/>
      <c r="I5290" s="115"/>
      <c r="J5290" s="415"/>
      <c r="AX5290" s="117"/>
      <c r="AY5290" s="117"/>
      <c r="AZ5290" s="117"/>
      <c r="BA5290" s="117"/>
      <c r="BB5290" s="117"/>
      <c r="BC5290" s="117"/>
      <c r="BD5290" s="117"/>
    </row>
    <row r="5291" spans="1:56">
      <c r="A5291"/>
      <c r="B5291" s="385" t="s">
        <v>1310</v>
      </c>
      <c r="C5291" s="362"/>
      <c r="D5291" s="362"/>
      <c r="E5291" s="362"/>
      <c r="F5291" s="362"/>
      <c r="G5291" s="115"/>
      <c r="H5291" s="115"/>
      <c r="I5291" s="362"/>
      <c r="J5291" s="362"/>
      <c r="AX5291" s="117"/>
      <c r="AY5291" s="117"/>
      <c r="AZ5291" s="117"/>
      <c r="BA5291" s="117"/>
      <c r="BB5291" s="117"/>
      <c r="BC5291" s="117"/>
      <c r="BD5291" s="117"/>
    </row>
    <row r="5292" spans="1:56" ht="15">
      <c r="A5292" s="114"/>
      <c r="B5292" s="362"/>
      <c r="C5292" s="362"/>
      <c r="D5292" s="362"/>
      <c r="E5292" s="362"/>
      <c r="F5292" s="404"/>
      <c r="G5292" s="196"/>
      <c r="H5292" s="196"/>
      <c r="I5292" s="404"/>
      <c r="J5292" s="362"/>
      <c r="AX5292" s="117"/>
      <c r="AY5292" s="117"/>
      <c r="AZ5292" s="117"/>
      <c r="BA5292" s="117"/>
      <c r="BB5292" s="117"/>
      <c r="BC5292" s="117"/>
      <c r="BD5292" s="117"/>
    </row>
    <row r="5293" spans="1:56" ht="18">
      <c r="A5293" s="114"/>
      <c r="B5293" s="388" t="s">
        <v>1141</v>
      </c>
      <c r="C5293" s="389">
        <v>0</v>
      </c>
      <c r="D5293" s="390" t="s">
        <v>10</v>
      </c>
      <c r="E5293" s="196"/>
      <c r="F5293" s="405"/>
      <c r="G5293" s="196"/>
      <c r="H5293" s="196"/>
      <c r="I5293" s="405" t="s">
        <v>1143</v>
      </c>
      <c r="J5293" s="362"/>
      <c r="AX5293" s="117"/>
      <c r="AY5293" s="117"/>
      <c r="AZ5293" s="117"/>
      <c r="BA5293" s="117"/>
      <c r="BB5293" s="117"/>
      <c r="BC5293" s="117"/>
      <c r="BD5293" s="117"/>
    </row>
    <row r="5294" spans="1:56" ht="15">
      <c r="A5294" s="114"/>
      <c r="B5294" s="388" t="s">
        <v>1144</v>
      </c>
      <c r="C5294" s="389">
        <v>0</v>
      </c>
      <c r="D5294" s="390" t="s">
        <v>10</v>
      </c>
      <c r="E5294" s="196"/>
      <c r="F5294" s="405"/>
      <c r="G5294" s="362"/>
      <c r="H5294" s="362"/>
      <c r="I5294" s="405"/>
      <c r="J5294" s="362"/>
      <c r="AX5294" s="117"/>
      <c r="AY5294" s="117"/>
      <c r="AZ5294" s="117"/>
      <c r="BA5294" s="117"/>
      <c r="BB5294" s="117"/>
      <c r="BC5294" s="117"/>
      <c r="BD5294" s="117"/>
    </row>
    <row r="5295" spans="1:56" ht="15">
      <c r="A5295" s="114"/>
      <c r="B5295" s="388" t="s">
        <v>1145</v>
      </c>
      <c r="C5295" s="389">
        <v>1.2</v>
      </c>
      <c r="D5295" s="390" t="s">
        <v>10</v>
      </c>
      <c r="E5295" s="196"/>
      <c r="F5295" s="405"/>
      <c r="G5295" s="404"/>
      <c r="H5295" s="404"/>
      <c r="I5295" s="405"/>
      <c r="J5295" s="362"/>
      <c r="AX5295" s="117"/>
      <c r="AY5295" s="117"/>
      <c r="AZ5295" s="117"/>
      <c r="BA5295" s="117"/>
      <c r="BB5295" s="117"/>
      <c r="BC5295" s="117"/>
      <c r="BD5295" s="117"/>
    </row>
    <row r="5296" spans="1:56" ht="18">
      <c r="A5296" s="114"/>
      <c r="B5296" s="388" t="s">
        <v>1146</v>
      </c>
      <c r="C5296" s="389">
        <v>1.2</v>
      </c>
      <c r="D5296" s="390" t="s">
        <v>10</v>
      </c>
      <c r="E5296" s="196"/>
      <c r="F5296" s="405"/>
      <c r="G5296" s="406" t="s">
        <v>1142</v>
      </c>
      <c r="H5296" s="407">
        <f>C5293*C5294</f>
        <v>0</v>
      </c>
      <c r="I5296" s="405" t="s">
        <v>1143</v>
      </c>
      <c r="J5296" s="362"/>
      <c r="AX5296" s="117"/>
      <c r="AY5296" s="117"/>
      <c r="AZ5296" s="117"/>
      <c r="BA5296" s="117"/>
      <c r="BB5296" s="117"/>
      <c r="BC5296" s="117"/>
      <c r="BD5296" s="117"/>
    </row>
    <row r="5297" spans="1:56" ht="18">
      <c r="A5297" s="114"/>
      <c r="B5297" s="388" t="s">
        <v>1112</v>
      </c>
      <c r="C5297" s="389">
        <v>0.55000000000000004</v>
      </c>
      <c r="D5297" s="390" t="s">
        <v>10</v>
      </c>
      <c r="E5297" s="196"/>
      <c r="F5297" s="405"/>
      <c r="G5297" s="406" t="e">
        <f>TEXT(C5301,"tg 0°=")</f>
        <v>#VALUE!</v>
      </c>
      <c r="H5297" s="408">
        <f>TAN(3.14159265359*C5301/180)</f>
        <v>1.732050807569153</v>
      </c>
      <c r="I5297" s="405" t="s">
        <v>1143</v>
      </c>
      <c r="J5297" s="362"/>
      <c r="AX5297" s="117"/>
      <c r="AY5297" s="117"/>
      <c r="AZ5297" s="117"/>
      <c r="BA5297" s="117"/>
      <c r="BB5297" s="117"/>
      <c r="BC5297" s="117"/>
      <c r="BD5297" s="117"/>
    </row>
    <row r="5298" spans="1:56" ht="15">
      <c r="A5298" s="114"/>
      <c r="B5298" s="388" t="s">
        <v>1113</v>
      </c>
      <c r="C5298" s="389">
        <v>1.3</v>
      </c>
      <c r="D5298" s="390" t="s">
        <v>10</v>
      </c>
      <c r="E5298" s="196"/>
      <c r="F5298" s="405"/>
      <c r="G5298" s="406"/>
      <c r="H5298" s="407"/>
      <c r="I5298" s="405"/>
      <c r="J5298" s="114"/>
      <c r="AW5298" s="117"/>
      <c r="AX5298" s="117"/>
      <c r="AY5298" s="117"/>
      <c r="AZ5298" s="117"/>
      <c r="BA5298" s="117"/>
      <c r="BB5298" s="117"/>
      <c r="BC5298" s="117"/>
      <c r="BD5298" s="117"/>
    </row>
    <row r="5299" spans="1:56" ht="15">
      <c r="A5299" s="114"/>
      <c r="B5299" s="388" t="s">
        <v>1117</v>
      </c>
      <c r="C5299" s="391">
        <v>44</v>
      </c>
      <c r="D5299" s="390" t="s">
        <v>1118</v>
      </c>
      <c r="E5299" s="196"/>
      <c r="F5299" s="405"/>
      <c r="G5299" s="406" t="s">
        <v>1142</v>
      </c>
      <c r="H5299" s="409">
        <f>(C5295+2*C5303+((C5297+C5298+0.05)/H5297)*2)*(C5296+2*C5303+((C5297+C5298+0.05)/H5297)*2)</f>
        <v>19.306629834180814</v>
      </c>
      <c r="I5299" s="405"/>
      <c r="J5299" s="114"/>
      <c r="AW5299" s="117"/>
      <c r="AX5299" s="117"/>
      <c r="AY5299" s="117"/>
      <c r="AZ5299" s="117"/>
      <c r="BA5299" s="117"/>
      <c r="BB5299" s="117"/>
      <c r="BC5299" s="117"/>
      <c r="BD5299" s="117"/>
    </row>
    <row r="5300" spans="1:56" ht="15">
      <c r="A5300" s="114"/>
      <c r="B5300" s="196" t="s">
        <v>1148</v>
      </c>
      <c r="C5300" s="393"/>
      <c r="D5300" s="196"/>
      <c r="E5300" s="196"/>
      <c r="F5300" s="405"/>
      <c r="G5300" s="406" t="s">
        <v>1147</v>
      </c>
      <c r="H5300" s="409">
        <f>(C5295+2*C5303)*(C5296+2*C5303)</f>
        <v>4.8400000000000007</v>
      </c>
      <c r="I5300" s="405"/>
      <c r="J5300" s="114"/>
      <c r="AW5300" s="117"/>
      <c r="AX5300" s="117"/>
      <c r="AY5300" s="117"/>
      <c r="AZ5300" s="117"/>
      <c r="BA5300" s="117"/>
      <c r="BB5300" s="117"/>
      <c r="BC5300" s="117"/>
      <c r="BD5300" s="117"/>
    </row>
    <row r="5301" spans="1:56" customFormat="1" ht="15">
      <c r="A5301" s="114"/>
      <c r="B5301" s="388" t="s">
        <v>1149</v>
      </c>
      <c r="C5301" s="389">
        <v>60</v>
      </c>
      <c r="D5301" s="390" t="s">
        <v>1150</v>
      </c>
      <c r="E5301" s="196"/>
      <c r="F5301" s="196"/>
      <c r="G5301" s="406"/>
      <c r="H5301" s="407"/>
      <c r="I5301" s="196"/>
      <c r="J5301" s="362"/>
    </row>
    <row r="5302" spans="1:56" ht="15">
      <c r="A5302" s="114"/>
      <c r="B5302" s="362"/>
      <c r="C5302" s="196"/>
      <c r="D5302" s="196"/>
      <c r="E5302" s="196"/>
      <c r="F5302" s="196"/>
      <c r="G5302" s="406"/>
      <c r="H5302" s="407"/>
      <c r="I5302" s="362"/>
      <c r="J5302" s="404"/>
      <c r="AX5302" s="117"/>
      <c r="AY5302" s="117"/>
      <c r="AZ5302" s="117"/>
      <c r="BA5302" s="117"/>
      <c r="BB5302" s="117"/>
      <c r="BC5302" s="117"/>
      <c r="BD5302" s="117"/>
    </row>
    <row r="5303" spans="1:56" ht="15">
      <c r="A5303" s="114"/>
      <c r="B5303" s="388" t="s">
        <v>1114</v>
      </c>
      <c r="C5303" s="389">
        <v>0.5</v>
      </c>
      <c r="D5303" s="390" t="s">
        <v>10</v>
      </c>
      <c r="E5303" s="288" t="s">
        <v>1120</v>
      </c>
      <c r="F5303" s="196"/>
      <c r="G5303" s="406"/>
      <c r="H5303" s="407"/>
      <c r="I5303" s="114"/>
      <c r="J5303" s="405"/>
      <c r="AX5303" s="117"/>
      <c r="AY5303" s="117"/>
      <c r="AZ5303" s="117"/>
      <c r="BA5303" s="117"/>
      <c r="BB5303" s="117"/>
      <c r="BC5303" s="117"/>
      <c r="BD5303" s="117"/>
    </row>
    <row r="5304" spans="1:56" ht="15">
      <c r="A5304" s="114"/>
      <c r="B5304" s="388" t="s">
        <v>1114</v>
      </c>
      <c r="C5304" s="389">
        <v>0.1</v>
      </c>
      <c r="D5304" s="390" t="s">
        <v>10</v>
      </c>
      <c r="E5304" s="288" t="s">
        <v>1121</v>
      </c>
      <c r="F5304" s="196"/>
      <c r="G5304" s="392"/>
      <c r="H5304" s="393"/>
      <c r="I5304" s="196"/>
      <c r="J5304" s="405"/>
      <c r="AX5304" s="117"/>
      <c r="AY5304" s="117"/>
      <c r="AZ5304" s="117"/>
      <c r="BA5304" s="117"/>
      <c r="BB5304" s="117"/>
      <c r="BC5304" s="117"/>
      <c r="BD5304" s="117"/>
    </row>
    <row r="5305" spans="1:56" ht="15">
      <c r="A5305" s="114"/>
      <c r="B5305" s="362"/>
      <c r="C5305" s="362"/>
      <c r="D5305" s="362"/>
      <c r="E5305" s="362"/>
      <c r="F5305" s="362"/>
      <c r="G5305" s="362"/>
      <c r="H5305" s="362"/>
      <c r="I5305" s="196"/>
      <c r="J5305" s="405"/>
      <c r="AX5305" s="117"/>
      <c r="AY5305" s="117"/>
      <c r="AZ5305" s="117"/>
      <c r="BA5305" s="117"/>
      <c r="BB5305" s="117"/>
      <c r="BC5305" s="117"/>
      <c r="BD5305" s="117"/>
    </row>
    <row r="5306" spans="1:56" ht="15">
      <c r="A5306" s="114"/>
      <c r="B5306" s="303" t="s">
        <v>1122</v>
      </c>
      <c r="C5306" s="362"/>
      <c r="D5306" s="362"/>
      <c r="E5306" s="362"/>
      <c r="F5306" s="362"/>
      <c r="G5306" s="196" t="s">
        <v>1131</v>
      </c>
      <c r="H5306" s="114"/>
      <c r="I5306" s="196"/>
      <c r="J5306" s="405"/>
      <c r="AX5306" s="117"/>
      <c r="AY5306" s="117"/>
      <c r="AZ5306" s="117"/>
      <c r="BA5306" s="117"/>
      <c r="BB5306" s="117"/>
      <c r="BC5306" s="117"/>
      <c r="BD5306" s="117"/>
    </row>
    <row r="5307" spans="1:56" ht="18">
      <c r="A5307" s="114"/>
      <c r="B5307" s="398" t="s">
        <v>1123</v>
      </c>
      <c r="C5307" s="172"/>
      <c r="D5307" s="173"/>
      <c r="E5307" s="397">
        <f>C5299*((H5300+H5299)/2)*(C5297+C5298+0.05)</f>
        <v>1009.329127068758</v>
      </c>
      <c r="F5307" s="390" t="s">
        <v>1124</v>
      </c>
      <c r="G5307" s="196"/>
      <c r="H5307" s="196"/>
      <c r="I5307" s="362"/>
      <c r="J5307" s="405"/>
      <c r="AX5307" s="117"/>
      <c r="AY5307" s="117"/>
      <c r="AZ5307" s="117"/>
      <c r="BA5307" s="117"/>
      <c r="BB5307" s="117"/>
      <c r="BC5307" s="117"/>
      <c r="BD5307" s="117"/>
    </row>
    <row r="5308" spans="1:56" ht="18">
      <c r="A5308" s="114"/>
      <c r="B5308" s="398" t="s">
        <v>1125</v>
      </c>
      <c r="C5308" s="172"/>
      <c r="D5308" s="173"/>
      <c r="E5308" s="400">
        <f>E5307-C5299*(C5295*C5296*C5298+C5295*C5296*0.05+C5293*C5294*C5297)</f>
        <v>923.79312706875794</v>
      </c>
      <c r="F5308" s="390" t="s">
        <v>1124</v>
      </c>
      <c r="G5308" s="196"/>
      <c r="H5308" s="196"/>
      <c r="I5308" s="196"/>
      <c r="J5308" s="405"/>
      <c r="AX5308" s="117"/>
      <c r="AY5308" s="117"/>
      <c r="AZ5308" s="117"/>
      <c r="BA5308" s="117"/>
      <c r="BB5308" s="117"/>
      <c r="BC5308" s="117"/>
      <c r="BD5308" s="117"/>
    </row>
    <row r="5309" spans="1:56" ht="15">
      <c r="A5309" s="114"/>
      <c r="B5309" s="398" t="s">
        <v>1126</v>
      </c>
      <c r="C5309" s="172"/>
      <c r="D5309" s="173"/>
      <c r="E5309" s="400">
        <f>((C5295+2*C5304)*(C5296+2*C5304))*C5299</f>
        <v>86.24</v>
      </c>
      <c r="F5309" s="390" t="s">
        <v>13</v>
      </c>
      <c r="G5309" s="362"/>
      <c r="H5309" s="362"/>
      <c r="I5309" s="362"/>
      <c r="J5309" s="405"/>
      <c r="AX5309" s="117"/>
      <c r="AY5309" s="117"/>
      <c r="AZ5309" s="117"/>
      <c r="BA5309" s="117"/>
      <c r="BB5309" s="117"/>
      <c r="BC5309" s="117"/>
      <c r="BD5309" s="117"/>
    </row>
    <row r="5310" spans="1:56" ht="15">
      <c r="A5310" s="114"/>
      <c r="B5310" s="362"/>
      <c r="C5310" s="362"/>
      <c r="D5310" s="362"/>
      <c r="E5310" s="401"/>
      <c r="F5310" s="196"/>
      <c r="G5310" s="362"/>
      <c r="H5310" s="362"/>
      <c r="I5310" s="362"/>
      <c r="J5310" s="405"/>
      <c r="AX5310" s="117"/>
      <c r="AY5310" s="117"/>
      <c r="AZ5310" s="117"/>
      <c r="BA5310" s="117"/>
      <c r="BB5310" s="117"/>
      <c r="BC5310" s="117"/>
      <c r="BD5310" s="117"/>
    </row>
    <row r="5311" spans="1:56" ht="15">
      <c r="A5311" s="114"/>
      <c r="B5311" s="303" t="s">
        <v>1162</v>
      </c>
      <c r="C5311" s="362"/>
      <c r="D5311" s="362"/>
      <c r="E5311" s="410"/>
      <c r="F5311" s="362"/>
      <c r="G5311" s="362"/>
      <c r="H5311" s="362"/>
      <c r="I5311" s="362"/>
      <c r="J5311" s="196"/>
      <c r="AX5311" s="117"/>
      <c r="AY5311" s="117"/>
      <c r="AZ5311" s="117"/>
      <c r="BA5311" s="117"/>
      <c r="BB5311" s="117"/>
      <c r="BC5311" s="117"/>
      <c r="BD5311" s="117"/>
    </row>
    <row r="5312" spans="1:56" ht="15">
      <c r="A5312" s="114"/>
      <c r="B5312" s="398" t="s">
        <v>1152</v>
      </c>
      <c r="C5312" s="398"/>
      <c r="D5312" s="366"/>
      <c r="E5312" s="411">
        <v>1</v>
      </c>
      <c r="F5312" s="390" t="s">
        <v>1153</v>
      </c>
      <c r="G5312" s="362"/>
      <c r="H5312" s="362"/>
      <c r="I5312" s="362"/>
      <c r="J5312" s="196"/>
      <c r="AX5312" s="117"/>
      <c r="AY5312" s="117"/>
      <c r="AZ5312" s="117"/>
      <c r="BA5312" s="117"/>
      <c r="BB5312" s="117"/>
      <c r="BC5312" s="117"/>
      <c r="BD5312" s="117"/>
    </row>
    <row r="5313" spans="1:56" ht="15">
      <c r="A5313" s="114"/>
      <c r="B5313" s="399" t="s">
        <v>1154</v>
      </c>
      <c r="C5313" s="31"/>
      <c r="D5313" s="32"/>
      <c r="E5313" s="412">
        <v>43</v>
      </c>
      <c r="F5313" s="390" t="s">
        <v>1153</v>
      </c>
      <c r="G5313" s="362"/>
      <c r="H5313" s="362"/>
      <c r="I5313" s="362"/>
      <c r="J5313" s="196"/>
      <c r="AX5313" s="117"/>
      <c r="AY5313" s="117"/>
      <c r="AZ5313" s="117"/>
      <c r="BA5313" s="117"/>
      <c r="BB5313" s="117"/>
      <c r="BC5313" s="117"/>
      <c r="BD5313" s="117"/>
    </row>
    <row r="5314" spans="1:56" ht="15">
      <c r="A5314" s="114"/>
      <c r="B5314" s="398" t="s">
        <v>1155</v>
      </c>
      <c r="C5314" s="21"/>
      <c r="D5314" s="413"/>
      <c r="E5314" s="411">
        <v>350</v>
      </c>
      <c r="F5314" s="390" t="s">
        <v>1156</v>
      </c>
      <c r="G5314" s="362"/>
      <c r="H5314" s="414"/>
      <c r="I5314" s="362"/>
      <c r="J5314" s="196"/>
      <c r="AX5314" s="117"/>
      <c r="AY5314" s="117"/>
      <c r="AZ5314" s="117"/>
      <c r="BA5314" s="117"/>
      <c r="BB5314" s="117"/>
      <c r="BC5314" s="117"/>
      <c r="BD5314" s="117"/>
    </row>
    <row r="5315" spans="1:56" ht="15">
      <c r="A5315" s="114"/>
      <c r="B5315" s="398" t="s">
        <v>1157</v>
      </c>
      <c r="C5315" s="21"/>
      <c r="D5315" s="413"/>
      <c r="E5315" s="418">
        <v>29</v>
      </c>
      <c r="F5315" s="390" t="s">
        <v>10</v>
      </c>
      <c r="G5315" s="362"/>
      <c r="H5315" s="6"/>
      <c r="I5315" s="362"/>
      <c r="J5315" s="196"/>
      <c r="AX5315" s="117"/>
      <c r="AY5315" s="117"/>
      <c r="AZ5315" s="117"/>
      <c r="BA5315" s="117"/>
      <c r="BB5315" s="117"/>
      <c r="BC5315" s="117"/>
      <c r="BD5315" s="117"/>
    </row>
    <row r="5316" spans="1:56" ht="15">
      <c r="A5316" s="114"/>
      <c r="B5316" s="398" t="s">
        <v>1158</v>
      </c>
      <c r="C5316" s="21"/>
      <c r="D5316" s="413"/>
      <c r="E5316" s="412">
        <f>E5313*E5315</f>
        <v>1247</v>
      </c>
      <c r="F5316" s="390" t="s">
        <v>10</v>
      </c>
      <c r="G5316" s="362"/>
      <c r="H5316" s="362"/>
      <c r="I5316" s="362"/>
      <c r="J5316" s="196"/>
      <c r="AX5316" s="117"/>
      <c r="AY5316" s="117"/>
      <c r="AZ5316" s="117"/>
      <c r="BA5316" s="117"/>
      <c r="BB5316" s="117"/>
      <c r="BC5316" s="117"/>
      <c r="BD5316" s="117"/>
    </row>
    <row r="5317" spans="1:56" ht="15">
      <c r="A5317" s="114"/>
      <c r="B5317" s="362"/>
      <c r="C5317" s="362"/>
      <c r="D5317" s="362"/>
      <c r="E5317" s="410"/>
      <c r="F5317" s="362"/>
      <c r="G5317" s="362"/>
      <c r="H5317" s="362"/>
      <c r="I5317" s="362"/>
      <c r="J5317" s="362"/>
      <c r="AX5317" s="117"/>
      <c r="AY5317" s="117"/>
      <c r="AZ5317" s="117"/>
      <c r="BA5317" s="117"/>
      <c r="BB5317" s="117"/>
      <c r="BC5317" s="117"/>
      <c r="BD5317" s="117"/>
    </row>
    <row r="5318" spans="1:56" ht="15">
      <c r="A5318" s="114"/>
      <c r="B5318" s="303" t="s">
        <v>1162</v>
      </c>
      <c r="C5318" s="962"/>
      <c r="D5318" s="962"/>
      <c r="E5318" s="410"/>
      <c r="F5318" s="962"/>
      <c r="G5318" s="962"/>
      <c r="H5318" s="962"/>
      <c r="I5318" s="962"/>
      <c r="J5318" s="196"/>
      <c r="AX5318" s="117"/>
      <c r="AY5318" s="117"/>
      <c r="AZ5318" s="117"/>
      <c r="BA5318" s="117"/>
      <c r="BB5318" s="117"/>
      <c r="BC5318" s="117"/>
      <c r="BD5318" s="117"/>
    </row>
    <row r="5319" spans="1:56" ht="15">
      <c r="A5319" s="114"/>
      <c r="B5319" s="965" t="s">
        <v>1152</v>
      </c>
      <c r="C5319" s="965"/>
      <c r="D5319" s="964"/>
      <c r="E5319" s="411">
        <v>1</v>
      </c>
      <c r="F5319" s="390" t="s">
        <v>1153</v>
      </c>
      <c r="G5319" s="962"/>
      <c r="H5319" s="962"/>
      <c r="I5319" s="962"/>
      <c r="J5319" s="196"/>
      <c r="AX5319" s="117"/>
      <c r="AY5319" s="117"/>
      <c r="AZ5319" s="117"/>
      <c r="BA5319" s="117"/>
      <c r="BB5319" s="117"/>
      <c r="BC5319" s="117"/>
      <c r="BD5319" s="117"/>
    </row>
    <row r="5320" spans="1:56" ht="15">
      <c r="A5320" s="114"/>
      <c r="B5320" s="399" t="s">
        <v>1154</v>
      </c>
      <c r="C5320" s="31"/>
      <c r="D5320" s="32"/>
      <c r="E5320" s="412">
        <v>1</v>
      </c>
      <c r="F5320" s="390" t="s">
        <v>1153</v>
      </c>
      <c r="G5320" s="962"/>
      <c r="H5320" s="962"/>
      <c r="I5320" s="962"/>
      <c r="J5320" s="196"/>
      <c r="AX5320" s="117"/>
      <c r="AY5320" s="117"/>
      <c r="AZ5320" s="117"/>
      <c r="BA5320" s="117"/>
      <c r="BB5320" s="117"/>
      <c r="BC5320" s="117"/>
      <c r="BD5320" s="117"/>
    </row>
    <row r="5321" spans="1:56" ht="15">
      <c r="A5321" s="114"/>
      <c r="B5321" s="965" t="s">
        <v>1155</v>
      </c>
      <c r="C5321" s="21"/>
      <c r="D5321" s="413"/>
      <c r="E5321" s="411">
        <v>400</v>
      </c>
      <c r="F5321" s="390" t="s">
        <v>1156</v>
      </c>
      <c r="G5321" s="962"/>
      <c r="H5321" s="414"/>
      <c r="I5321" s="962"/>
      <c r="J5321" s="196"/>
      <c r="AX5321" s="117"/>
      <c r="AY5321" s="117"/>
      <c r="AZ5321" s="117"/>
      <c r="BA5321" s="117"/>
      <c r="BB5321" s="117"/>
      <c r="BC5321" s="117"/>
      <c r="BD5321" s="117"/>
    </row>
    <row r="5322" spans="1:56" ht="15">
      <c r="A5322" s="114"/>
      <c r="B5322" s="965" t="s">
        <v>1157</v>
      </c>
      <c r="C5322" s="21"/>
      <c r="D5322" s="413"/>
      <c r="E5322" s="418">
        <v>29</v>
      </c>
      <c r="F5322" s="390" t="s">
        <v>10</v>
      </c>
      <c r="G5322" s="962"/>
      <c r="H5322" s="6"/>
      <c r="I5322" s="962"/>
      <c r="J5322" s="196"/>
      <c r="AX5322" s="117"/>
      <c r="AY5322" s="117"/>
      <c r="AZ5322" s="117"/>
      <c r="BA5322" s="117"/>
      <c r="BB5322" s="117"/>
      <c r="BC5322" s="117"/>
      <c r="BD5322" s="117"/>
    </row>
    <row r="5323" spans="1:56" ht="15">
      <c r="A5323" s="114"/>
      <c r="B5323" s="965" t="s">
        <v>1158</v>
      </c>
      <c r="C5323" s="21"/>
      <c r="D5323" s="413"/>
      <c r="E5323" s="412">
        <f>E5320*E5322</f>
        <v>29</v>
      </c>
      <c r="F5323" s="390" t="s">
        <v>10</v>
      </c>
      <c r="G5323" s="962"/>
      <c r="H5323" s="962"/>
      <c r="I5323" s="962"/>
      <c r="J5323" s="196"/>
      <c r="AX5323" s="117"/>
      <c r="AY5323" s="117"/>
      <c r="AZ5323" s="117"/>
      <c r="BA5323" s="117"/>
      <c r="BB5323" s="117"/>
      <c r="BC5323" s="117"/>
      <c r="BD5323" s="117"/>
    </row>
    <row r="5324" spans="1:56" ht="15">
      <c r="A5324" s="114"/>
      <c r="B5324" s="962"/>
      <c r="C5324" s="962"/>
      <c r="D5324" s="962"/>
      <c r="E5324" s="410"/>
      <c r="F5324" s="962"/>
      <c r="G5324" s="962"/>
      <c r="H5324" s="962"/>
      <c r="I5324" s="962"/>
      <c r="J5324" s="962"/>
      <c r="AX5324" s="117"/>
      <c r="AY5324" s="117"/>
      <c r="AZ5324" s="117"/>
      <c r="BA5324" s="117"/>
      <c r="BB5324" s="117"/>
      <c r="BC5324" s="117"/>
      <c r="BD5324" s="117"/>
    </row>
    <row r="5325" spans="1:56" ht="15">
      <c r="A5325" s="114"/>
      <c r="B5325" s="303" t="s">
        <v>1160</v>
      </c>
      <c r="C5325" s="362"/>
      <c r="D5325" s="362"/>
      <c r="E5325" s="410"/>
      <c r="F5325" s="362"/>
      <c r="G5325" s="362"/>
      <c r="H5325" s="362"/>
      <c r="I5325" s="362"/>
      <c r="J5325" s="196"/>
      <c r="AX5325" s="117"/>
      <c r="AY5325" s="117"/>
      <c r="AZ5325" s="117"/>
      <c r="BA5325" s="117"/>
      <c r="BB5325" s="117"/>
      <c r="BC5325" s="117"/>
      <c r="BD5325" s="117"/>
    </row>
    <row r="5326" spans="1:56" ht="18">
      <c r="A5326" s="114"/>
      <c r="B5326" s="398" t="s">
        <v>1128</v>
      </c>
      <c r="C5326" s="172"/>
      <c r="D5326" s="173"/>
      <c r="E5326" s="402">
        <f>E5309*0.05</f>
        <v>4.3120000000000003</v>
      </c>
      <c r="F5326" s="390" t="s">
        <v>1124</v>
      </c>
      <c r="G5326" s="362"/>
      <c r="H5326" s="362"/>
      <c r="I5326" s="362"/>
      <c r="J5326" s="362"/>
      <c r="AX5326" s="117"/>
      <c r="AY5326" s="117"/>
      <c r="AZ5326" s="117"/>
      <c r="BA5326" s="117"/>
      <c r="BB5326" s="117"/>
      <c r="BC5326" s="117"/>
      <c r="BD5326" s="117"/>
    </row>
    <row r="5327" spans="1:56" ht="15">
      <c r="A5327" s="114"/>
      <c r="B5327" s="398" t="s">
        <v>1129</v>
      </c>
      <c r="C5327" s="172"/>
      <c r="D5327" s="173"/>
      <c r="E5327" s="397">
        <f>(2*(C5295+C5296)*C5298)*C5299</f>
        <v>274.56</v>
      </c>
      <c r="F5327" s="390" t="s">
        <v>13</v>
      </c>
      <c r="G5327" s="362"/>
      <c r="H5327" s="362"/>
      <c r="I5327" s="362"/>
      <c r="J5327" s="362"/>
      <c r="AX5327" s="117"/>
      <c r="AY5327" s="117"/>
      <c r="AZ5327" s="117"/>
      <c r="BA5327" s="117"/>
      <c r="BB5327" s="117"/>
      <c r="BC5327" s="117"/>
      <c r="BD5327" s="117"/>
    </row>
    <row r="5328" spans="1:56" ht="18">
      <c r="A5328" s="114"/>
      <c r="B5328" s="398" t="s">
        <v>1130</v>
      </c>
      <c r="C5328" s="172"/>
      <c r="D5328" s="173"/>
      <c r="E5328" s="402">
        <f>(C5295*C5296*C5298)*C5299</f>
        <v>82.367999999999995</v>
      </c>
      <c r="F5328" s="390" t="s">
        <v>1124</v>
      </c>
      <c r="G5328" s="362"/>
      <c r="H5328" s="362"/>
      <c r="I5328" s="362"/>
      <c r="J5328" s="362"/>
      <c r="AX5328" s="117"/>
      <c r="AY5328" s="117"/>
      <c r="AZ5328" s="117"/>
      <c r="BA5328" s="117"/>
      <c r="BB5328" s="117"/>
      <c r="BC5328" s="117"/>
      <c r="BD5328" s="117"/>
    </row>
    <row r="5329" spans="1:56">
      <c r="A5329" s="114"/>
      <c r="B5329" s="115"/>
      <c r="C5329" s="115"/>
      <c r="D5329" s="115"/>
      <c r="E5329" s="115"/>
      <c r="F5329" s="115"/>
      <c r="G5329" s="115"/>
      <c r="H5329" s="115"/>
      <c r="I5329" s="115"/>
      <c r="J5329" s="362"/>
      <c r="AX5329" s="117"/>
      <c r="AY5329" s="117"/>
      <c r="AZ5329" s="117"/>
      <c r="BA5329" s="117"/>
      <c r="BB5329" s="117"/>
      <c r="BC5329" s="117"/>
      <c r="BD5329" s="117"/>
    </row>
    <row r="5330" spans="1:56">
      <c r="A5330" s="114"/>
      <c r="B5330" s="115"/>
      <c r="C5330" s="115"/>
      <c r="D5330" s="115"/>
      <c r="E5330" s="115"/>
      <c r="F5330" s="115"/>
      <c r="G5330" s="115"/>
      <c r="H5330" s="115"/>
      <c r="I5330" s="115"/>
      <c r="J5330" s="362"/>
      <c r="AX5330" s="117"/>
      <c r="AY5330" s="117"/>
      <c r="AZ5330" s="117"/>
      <c r="BA5330" s="117"/>
      <c r="BB5330" s="117"/>
      <c r="BC5330" s="117"/>
      <c r="BD5330" s="117"/>
    </row>
    <row r="5331" spans="1:56">
      <c r="A5331" s="114"/>
      <c r="B5331" s="115"/>
      <c r="C5331" s="115"/>
      <c r="D5331" s="115"/>
      <c r="E5331" s="115"/>
      <c r="F5331" s="115"/>
      <c r="G5331" s="115"/>
      <c r="H5331" s="115"/>
      <c r="I5331" s="115"/>
      <c r="J5331" s="415"/>
      <c r="AX5331" s="117"/>
      <c r="AY5331" s="117"/>
      <c r="AZ5331" s="117"/>
      <c r="BA5331" s="117"/>
      <c r="BB5331" s="117"/>
      <c r="BC5331" s="117"/>
      <c r="BD5331" s="117"/>
    </row>
    <row r="5332" spans="1:56">
      <c r="A5332" s="114"/>
      <c r="B5332" s="115"/>
      <c r="C5332" s="115"/>
      <c r="D5332" s="115"/>
      <c r="E5332" s="115"/>
      <c r="F5332" s="115"/>
      <c r="G5332" s="115"/>
      <c r="H5332" s="115"/>
      <c r="I5332" s="115"/>
      <c r="J5332" s="362"/>
      <c r="AX5332" s="117"/>
      <c r="AY5332" s="117"/>
      <c r="AZ5332" s="117"/>
      <c r="BA5332" s="117"/>
      <c r="BB5332" s="117"/>
      <c r="BC5332" s="117"/>
      <c r="BD5332" s="117"/>
    </row>
    <row r="5333" spans="1:56">
      <c r="A5333"/>
      <c r="B5333" s="385" t="s">
        <v>1311</v>
      </c>
      <c r="C5333" s="362"/>
      <c r="D5333" s="362"/>
      <c r="E5333" s="362"/>
      <c r="F5333" s="362"/>
      <c r="G5333" s="115"/>
      <c r="H5333" s="115"/>
      <c r="I5333" s="362"/>
      <c r="J5333" s="362"/>
      <c r="AX5333" s="117"/>
      <c r="AY5333" s="117"/>
      <c r="AZ5333" s="117"/>
      <c r="BA5333" s="117"/>
      <c r="BB5333" s="117"/>
      <c r="BC5333" s="117"/>
      <c r="BD5333" s="117"/>
    </row>
    <row r="5334" spans="1:56" ht="15">
      <c r="A5334" s="114"/>
      <c r="B5334" s="362"/>
      <c r="C5334" s="362"/>
      <c r="D5334" s="362"/>
      <c r="E5334" s="362"/>
      <c r="F5334" s="404"/>
      <c r="G5334" s="196"/>
      <c r="H5334" s="196"/>
      <c r="I5334" s="404"/>
      <c r="J5334" s="362"/>
      <c r="AX5334" s="117"/>
      <c r="AY5334" s="117"/>
      <c r="AZ5334" s="117"/>
      <c r="BA5334" s="117"/>
      <c r="BB5334" s="117"/>
      <c r="BC5334" s="117"/>
      <c r="BD5334" s="117"/>
    </row>
    <row r="5335" spans="1:56" ht="18">
      <c r="A5335" s="114"/>
      <c r="B5335" s="388" t="s">
        <v>1141</v>
      </c>
      <c r="C5335" s="389">
        <v>0.3</v>
      </c>
      <c r="D5335" s="390" t="s">
        <v>10</v>
      </c>
      <c r="E5335" s="196"/>
      <c r="F5335" s="405"/>
      <c r="G5335" s="196"/>
      <c r="H5335" s="196"/>
      <c r="I5335" s="405" t="s">
        <v>1143</v>
      </c>
      <c r="J5335" s="362"/>
      <c r="AX5335" s="117"/>
      <c r="AY5335" s="117"/>
      <c r="AZ5335" s="117"/>
      <c r="BA5335" s="117"/>
      <c r="BB5335" s="117"/>
      <c r="BC5335" s="117"/>
      <c r="BD5335" s="117"/>
    </row>
    <row r="5336" spans="1:56" ht="15">
      <c r="A5336" s="114"/>
      <c r="B5336" s="388" t="s">
        <v>1144</v>
      </c>
      <c r="C5336" s="389">
        <v>0.3</v>
      </c>
      <c r="D5336" s="390" t="s">
        <v>10</v>
      </c>
      <c r="E5336" s="196"/>
      <c r="F5336" s="405"/>
      <c r="G5336" s="362"/>
      <c r="H5336" s="362"/>
      <c r="I5336" s="405"/>
      <c r="J5336" s="362"/>
      <c r="AX5336" s="117"/>
      <c r="AY5336" s="117"/>
      <c r="AZ5336" s="117"/>
      <c r="BA5336" s="117"/>
      <c r="BB5336" s="117"/>
      <c r="BC5336" s="117"/>
      <c r="BD5336" s="117"/>
    </row>
    <row r="5337" spans="1:56" ht="15">
      <c r="A5337" s="114"/>
      <c r="B5337" s="388" t="s">
        <v>1145</v>
      </c>
      <c r="C5337" s="389">
        <v>1.2</v>
      </c>
      <c r="D5337" s="390" t="s">
        <v>10</v>
      </c>
      <c r="E5337" s="196"/>
      <c r="F5337" s="405"/>
      <c r="G5337" s="404"/>
      <c r="H5337" s="404"/>
      <c r="I5337" s="405"/>
      <c r="J5337" s="362"/>
      <c r="AX5337" s="117"/>
      <c r="AY5337" s="117"/>
      <c r="AZ5337" s="117"/>
      <c r="BA5337" s="117"/>
      <c r="BB5337" s="117"/>
      <c r="BC5337" s="117"/>
      <c r="BD5337" s="117"/>
    </row>
    <row r="5338" spans="1:56" ht="18">
      <c r="A5338" s="114"/>
      <c r="B5338" s="388" t="s">
        <v>1146</v>
      </c>
      <c r="C5338" s="389">
        <v>1.2</v>
      </c>
      <c r="D5338" s="390" t="s">
        <v>10</v>
      </c>
      <c r="E5338" s="196"/>
      <c r="F5338" s="405"/>
      <c r="G5338" s="406" t="s">
        <v>1142</v>
      </c>
      <c r="H5338" s="407">
        <f>C5335*C5336</f>
        <v>0.09</v>
      </c>
      <c r="I5338" s="405" t="s">
        <v>1143</v>
      </c>
      <c r="J5338" s="362"/>
      <c r="AX5338" s="117"/>
      <c r="AY5338" s="117"/>
      <c r="AZ5338" s="117"/>
      <c r="BA5338" s="117"/>
      <c r="BB5338" s="117"/>
      <c r="BC5338" s="117"/>
      <c r="BD5338" s="117"/>
    </row>
    <row r="5339" spans="1:56" ht="18">
      <c r="A5339" s="114"/>
      <c r="B5339" s="388" t="s">
        <v>1112</v>
      </c>
      <c r="C5339" s="389">
        <v>0.55000000000000004</v>
      </c>
      <c r="D5339" s="390" t="s">
        <v>10</v>
      </c>
      <c r="E5339" s="196"/>
      <c r="F5339" s="405"/>
      <c r="G5339" s="406" t="e">
        <f>TEXT(C5343,"tg 0°=")</f>
        <v>#VALUE!</v>
      </c>
      <c r="H5339" s="408">
        <f>TAN(3.14159265359*C5343/180)</f>
        <v>1.732050807569153</v>
      </c>
      <c r="I5339" s="405" t="s">
        <v>1143</v>
      </c>
      <c r="J5339" s="114"/>
      <c r="AW5339" s="117"/>
      <c r="AX5339" s="117"/>
      <c r="AY5339" s="117"/>
      <c r="AZ5339" s="117"/>
      <c r="BA5339" s="117"/>
      <c r="BB5339" s="117"/>
      <c r="BC5339" s="117"/>
      <c r="BD5339" s="117"/>
    </row>
    <row r="5340" spans="1:56" ht="15">
      <c r="A5340" s="114"/>
      <c r="B5340" s="388" t="s">
        <v>1113</v>
      </c>
      <c r="C5340" s="389">
        <v>1.3</v>
      </c>
      <c r="D5340" s="390" t="s">
        <v>10</v>
      </c>
      <c r="E5340" s="196"/>
      <c r="F5340" s="405"/>
      <c r="G5340" s="406"/>
      <c r="H5340" s="407"/>
      <c r="I5340" s="405"/>
      <c r="J5340" s="114"/>
      <c r="AW5340" s="117"/>
      <c r="AX5340" s="117"/>
      <c r="AY5340" s="117"/>
      <c r="AZ5340" s="117"/>
      <c r="BA5340" s="117"/>
      <c r="BB5340" s="117"/>
      <c r="BC5340" s="117"/>
      <c r="BD5340" s="117"/>
    </row>
    <row r="5341" spans="1:56" ht="15">
      <c r="A5341" s="114"/>
      <c r="B5341" s="388" t="s">
        <v>1117</v>
      </c>
      <c r="C5341" s="391">
        <v>4</v>
      </c>
      <c r="D5341" s="390" t="s">
        <v>1118</v>
      </c>
      <c r="E5341" s="196"/>
      <c r="F5341" s="405"/>
      <c r="G5341" s="406" t="s">
        <v>1142</v>
      </c>
      <c r="H5341" s="409">
        <f>(C5337+2*C5345+((C5339+C5340+0.05)/H5339)*2)*(C5338+2*C5345+((C5339+C5340+0.05)/H5339)*2)</f>
        <v>19.306629834180814</v>
      </c>
      <c r="I5341" s="405"/>
      <c r="J5341" s="114"/>
      <c r="AW5341" s="117"/>
      <c r="AX5341" s="117"/>
      <c r="AY5341" s="117"/>
      <c r="AZ5341" s="117"/>
      <c r="BA5341" s="117"/>
      <c r="BB5341" s="117"/>
      <c r="BC5341" s="117"/>
      <c r="BD5341" s="117"/>
    </row>
    <row r="5342" spans="1:56" customFormat="1" ht="15">
      <c r="A5342" s="114"/>
      <c r="B5342" s="196" t="s">
        <v>1148</v>
      </c>
      <c r="C5342" s="393"/>
      <c r="D5342" s="196"/>
      <c r="E5342" s="196"/>
      <c r="F5342" s="405"/>
      <c r="G5342" s="406" t="s">
        <v>1147</v>
      </c>
      <c r="H5342" s="409">
        <f>(C5337+2*C5345)*(C5338+2*C5345)</f>
        <v>4.8400000000000007</v>
      </c>
      <c r="I5342" s="405"/>
      <c r="J5342" s="362"/>
    </row>
    <row r="5343" spans="1:56" ht="15">
      <c r="A5343" s="114"/>
      <c r="B5343" s="388" t="s">
        <v>1149</v>
      </c>
      <c r="C5343" s="389">
        <v>60</v>
      </c>
      <c r="D5343" s="390" t="s">
        <v>1150</v>
      </c>
      <c r="E5343" s="196"/>
      <c r="F5343" s="196"/>
      <c r="G5343" s="406"/>
      <c r="H5343" s="407"/>
      <c r="I5343" s="196"/>
      <c r="J5343" s="404"/>
      <c r="AX5343" s="117"/>
      <c r="AY5343" s="117"/>
      <c r="AZ5343" s="117"/>
      <c r="BA5343" s="117"/>
      <c r="BB5343" s="117"/>
      <c r="BC5343" s="117"/>
      <c r="BD5343" s="117"/>
    </row>
    <row r="5344" spans="1:56" ht="15">
      <c r="A5344" s="114"/>
      <c r="B5344" s="362"/>
      <c r="C5344" s="196"/>
      <c r="D5344" s="196"/>
      <c r="E5344" s="196"/>
      <c r="F5344" s="196"/>
      <c r="G5344" s="406"/>
      <c r="H5344" s="407"/>
      <c r="I5344" s="362"/>
      <c r="J5344" s="405"/>
      <c r="AX5344" s="117"/>
      <c r="AY5344" s="117"/>
      <c r="AZ5344" s="117"/>
      <c r="BA5344" s="117"/>
      <c r="BB5344" s="117"/>
      <c r="BC5344" s="117"/>
      <c r="BD5344" s="117"/>
    </row>
    <row r="5345" spans="1:56" ht="15">
      <c r="A5345" s="114"/>
      <c r="B5345" s="388" t="s">
        <v>1114</v>
      </c>
      <c r="C5345" s="389">
        <v>0.5</v>
      </c>
      <c r="D5345" s="390" t="s">
        <v>10</v>
      </c>
      <c r="E5345" s="288" t="s">
        <v>1120</v>
      </c>
      <c r="F5345" s="196"/>
      <c r="G5345" s="406"/>
      <c r="H5345" s="407"/>
      <c r="I5345" s="114"/>
      <c r="J5345" s="405"/>
      <c r="AX5345" s="117"/>
      <c r="AY5345" s="117"/>
      <c r="AZ5345" s="117"/>
      <c r="BA5345" s="117"/>
      <c r="BB5345" s="117"/>
      <c r="BC5345" s="117"/>
      <c r="BD5345" s="117"/>
    </row>
    <row r="5346" spans="1:56" ht="15">
      <c r="A5346" s="114"/>
      <c r="B5346" s="388" t="s">
        <v>1114</v>
      </c>
      <c r="C5346" s="389">
        <v>0.1</v>
      </c>
      <c r="D5346" s="390" t="s">
        <v>10</v>
      </c>
      <c r="E5346" s="288" t="s">
        <v>1121</v>
      </c>
      <c r="F5346" s="196"/>
      <c r="G5346" s="392"/>
      <c r="H5346" s="393"/>
      <c r="I5346" s="196"/>
      <c r="J5346" s="405"/>
      <c r="AX5346" s="117"/>
      <c r="AY5346" s="117"/>
      <c r="AZ5346" s="117"/>
      <c r="BA5346" s="117"/>
      <c r="BB5346" s="117"/>
      <c r="BC5346" s="117"/>
      <c r="BD5346" s="117"/>
    </row>
    <row r="5347" spans="1:56" ht="15">
      <c r="A5347" s="114"/>
      <c r="B5347" s="362"/>
      <c r="C5347" s="362"/>
      <c r="D5347" s="362"/>
      <c r="E5347" s="362"/>
      <c r="F5347" s="362"/>
      <c r="G5347" s="362"/>
      <c r="H5347" s="362"/>
      <c r="I5347" s="196"/>
      <c r="J5347" s="405"/>
      <c r="AX5347" s="117"/>
      <c r="AY5347" s="117"/>
      <c r="AZ5347" s="117"/>
      <c r="BA5347" s="117"/>
      <c r="BB5347" s="117"/>
      <c r="BC5347" s="117"/>
      <c r="BD5347" s="117"/>
    </row>
    <row r="5348" spans="1:56" ht="15">
      <c r="A5348" s="114"/>
      <c r="B5348" s="303" t="s">
        <v>1122</v>
      </c>
      <c r="C5348" s="362"/>
      <c r="D5348" s="362"/>
      <c r="E5348" s="362"/>
      <c r="F5348" s="362"/>
      <c r="G5348" s="196" t="s">
        <v>1131</v>
      </c>
      <c r="H5348" s="114"/>
      <c r="I5348" s="196"/>
      <c r="J5348" s="405"/>
      <c r="AX5348" s="117"/>
      <c r="AY5348" s="117"/>
      <c r="AZ5348" s="117"/>
      <c r="BA5348" s="117"/>
      <c r="BB5348" s="117"/>
      <c r="BC5348" s="117"/>
      <c r="BD5348" s="117"/>
    </row>
    <row r="5349" spans="1:56" ht="18">
      <c r="A5349" s="114"/>
      <c r="B5349" s="398" t="s">
        <v>1123</v>
      </c>
      <c r="C5349" s="172"/>
      <c r="D5349" s="173"/>
      <c r="E5349" s="397">
        <f>C5341*((H5342+H5341)/2)*(C5339+C5340+0.05)</f>
        <v>91.757193369887105</v>
      </c>
      <c r="F5349" s="390" t="s">
        <v>1124</v>
      </c>
      <c r="G5349" s="196"/>
      <c r="H5349" s="196"/>
      <c r="I5349" s="362"/>
      <c r="J5349" s="405"/>
      <c r="AX5349" s="117"/>
      <c r="AY5349" s="117"/>
      <c r="AZ5349" s="117"/>
      <c r="BA5349" s="117"/>
      <c r="BB5349" s="117"/>
      <c r="BC5349" s="117"/>
      <c r="BD5349" s="117"/>
    </row>
    <row r="5350" spans="1:56" ht="18">
      <c r="A5350" s="114"/>
      <c r="B5350" s="398" t="s">
        <v>1125</v>
      </c>
      <c r="C5350" s="172"/>
      <c r="D5350" s="173"/>
      <c r="E5350" s="400">
        <f>E5349-C5341*(C5337*C5338*C5340+C5337*C5338*0.05+C5335*C5336*C5339)</f>
        <v>83.783193369887101</v>
      </c>
      <c r="F5350" s="390" t="s">
        <v>1124</v>
      </c>
      <c r="G5350" s="196"/>
      <c r="H5350" s="196"/>
      <c r="I5350" s="196"/>
      <c r="J5350" s="405"/>
      <c r="AX5350" s="117"/>
      <c r="AY5350" s="117"/>
      <c r="AZ5350" s="117"/>
      <c r="BA5350" s="117"/>
      <c r="BB5350" s="117"/>
      <c r="BC5350" s="117"/>
      <c r="BD5350" s="117"/>
    </row>
    <row r="5351" spans="1:56" ht="15">
      <c r="A5351" s="114"/>
      <c r="B5351" s="398" t="s">
        <v>1126</v>
      </c>
      <c r="C5351" s="172"/>
      <c r="D5351" s="173"/>
      <c r="E5351" s="400">
        <f>((C5337+2*C5346)*(C5338+2*C5346))*C5341</f>
        <v>7.839999999999999</v>
      </c>
      <c r="F5351" s="390" t="s">
        <v>13</v>
      </c>
      <c r="G5351" s="362"/>
      <c r="H5351" s="362"/>
      <c r="I5351" s="362"/>
      <c r="J5351" s="405"/>
      <c r="AX5351" s="117"/>
      <c r="AY5351" s="117"/>
      <c r="AZ5351" s="117"/>
      <c r="BA5351" s="117"/>
      <c r="BB5351" s="117"/>
      <c r="BC5351" s="117"/>
      <c r="BD5351" s="117"/>
    </row>
    <row r="5352" spans="1:56" ht="15">
      <c r="A5352" s="114"/>
      <c r="B5352" s="362"/>
      <c r="C5352" s="362"/>
      <c r="D5352" s="362"/>
      <c r="E5352" s="401"/>
      <c r="F5352" s="196"/>
      <c r="G5352" s="362"/>
      <c r="H5352" s="362"/>
      <c r="I5352" s="362"/>
      <c r="J5352" s="196"/>
      <c r="AX5352" s="117"/>
      <c r="AY5352" s="117"/>
      <c r="AZ5352" s="117"/>
      <c r="BA5352" s="117"/>
      <c r="BB5352" s="117"/>
      <c r="BC5352" s="117"/>
      <c r="BD5352" s="117"/>
    </row>
    <row r="5353" spans="1:56" ht="15">
      <c r="A5353" s="114"/>
      <c r="B5353" s="303" t="s">
        <v>1162</v>
      </c>
      <c r="C5353" s="362"/>
      <c r="D5353" s="362"/>
      <c r="E5353" s="410"/>
      <c r="F5353" s="362"/>
      <c r="G5353" s="362"/>
      <c r="H5353" s="362"/>
      <c r="I5353" s="362"/>
      <c r="J5353" s="196"/>
      <c r="AX5353" s="117"/>
      <c r="AY5353" s="117"/>
      <c r="AZ5353" s="117"/>
      <c r="BA5353" s="117"/>
      <c r="BB5353" s="117"/>
      <c r="BC5353" s="117"/>
      <c r="BD5353" s="117"/>
    </row>
    <row r="5354" spans="1:56" ht="15">
      <c r="A5354" s="114"/>
      <c r="B5354" s="398" t="s">
        <v>1152</v>
      </c>
      <c r="C5354" s="398"/>
      <c r="D5354" s="366"/>
      <c r="E5354" s="411">
        <v>1</v>
      </c>
      <c r="F5354" s="390" t="s">
        <v>1153</v>
      </c>
      <c r="G5354" s="362"/>
      <c r="H5354" s="362"/>
      <c r="I5354" s="362"/>
      <c r="J5354" s="196"/>
      <c r="AX5354" s="117"/>
      <c r="AY5354" s="117"/>
      <c r="AZ5354" s="117"/>
      <c r="BA5354" s="117"/>
      <c r="BB5354" s="117"/>
      <c r="BC5354" s="117"/>
      <c r="BD5354" s="117"/>
    </row>
    <row r="5355" spans="1:56" ht="15">
      <c r="A5355" s="114"/>
      <c r="B5355" s="399" t="s">
        <v>1154</v>
      </c>
      <c r="C5355" s="31"/>
      <c r="D5355" s="32"/>
      <c r="E5355" s="412">
        <v>3</v>
      </c>
      <c r="F5355" s="390" t="s">
        <v>1153</v>
      </c>
      <c r="G5355" s="362"/>
      <c r="H5355" s="362"/>
      <c r="I5355" s="362"/>
      <c r="J5355" s="196"/>
      <c r="AX5355" s="117"/>
      <c r="AY5355" s="117"/>
      <c r="AZ5355" s="117"/>
      <c r="BA5355" s="117"/>
      <c r="BB5355" s="117"/>
      <c r="BC5355" s="117"/>
      <c r="BD5355" s="117"/>
    </row>
    <row r="5356" spans="1:56" ht="15">
      <c r="A5356" s="114"/>
      <c r="B5356" s="398" t="s">
        <v>1155</v>
      </c>
      <c r="C5356" s="21"/>
      <c r="D5356" s="413"/>
      <c r="E5356" s="411">
        <v>350</v>
      </c>
      <c r="F5356" s="390" t="s">
        <v>1156</v>
      </c>
      <c r="G5356" s="362"/>
      <c r="H5356" s="414"/>
      <c r="I5356" s="362"/>
      <c r="J5356" s="196"/>
      <c r="AX5356" s="117"/>
      <c r="AY5356" s="117"/>
      <c r="AZ5356" s="117"/>
      <c r="BA5356" s="117"/>
      <c r="BB5356" s="117"/>
      <c r="BC5356" s="117"/>
      <c r="BD5356" s="117"/>
    </row>
    <row r="5357" spans="1:56" ht="15">
      <c r="A5357" s="114"/>
      <c r="B5357" s="398" t="s">
        <v>1157</v>
      </c>
      <c r="C5357" s="21"/>
      <c r="D5357" s="413"/>
      <c r="E5357" s="418">
        <v>29</v>
      </c>
      <c r="F5357" s="390" t="s">
        <v>10</v>
      </c>
      <c r="G5357" s="362"/>
      <c r="H5357" s="6"/>
      <c r="I5357" s="362"/>
      <c r="J5357" s="196"/>
      <c r="AX5357" s="117"/>
      <c r="AY5357" s="117"/>
      <c r="AZ5357" s="117"/>
      <c r="BA5357" s="117"/>
      <c r="BB5357" s="117"/>
      <c r="BC5357" s="117"/>
      <c r="BD5357" s="117"/>
    </row>
    <row r="5358" spans="1:56" ht="15">
      <c r="A5358" s="114"/>
      <c r="B5358" s="398" t="s">
        <v>1158</v>
      </c>
      <c r="C5358" s="21"/>
      <c r="D5358" s="413"/>
      <c r="E5358" s="412">
        <f>E5355*E5357</f>
        <v>87</v>
      </c>
      <c r="F5358" s="390" t="s">
        <v>10</v>
      </c>
      <c r="G5358" s="362"/>
      <c r="H5358" s="362"/>
      <c r="I5358" s="362"/>
      <c r="J5358" s="362"/>
      <c r="AX5358" s="117"/>
      <c r="AY5358" s="117"/>
      <c r="AZ5358" s="117"/>
      <c r="BA5358" s="117"/>
      <c r="BB5358" s="117"/>
      <c r="BC5358" s="117"/>
      <c r="BD5358" s="117"/>
    </row>
    <row r="5359" spans="1:56" ht="15">
      <c r="A5359" s="114"/>
      <c r="B5359" s="362"/>
      <c r="C5359" s="362"/>
      <c r="D5359" s="362"/>
      <c r="E5359" s="410"/>
      <c r="F5359" s="362"/>
      <c r="G5359" s="362"/>
      <c r="H5359" s="362"/>
      <c r="I5359" s="362"/>
      <c r="J5359" s="196"/>
      <c r="AX5359" s="117"/>
      <c r="AY5359" s="117"/>
      <c r="AZ5359" s="117"/>
      <c r="BA5359" s="117"/>
      <c r="BB5359" s="117"/>
      <c r="BC5359" s="117"/>
      <c r="BD5359" s="117"/>
    </row>
    <row r="5360" spans="1:56" ht="15">
      <c r="A5360" s="114"/>
      <c r="B5360" s="303" t="s">
        <v>1162</v>
      </c>
      <c r="C5360" s="962"/>
      <c r="D5360" s="962"/>
      <c r="E5360" s="410"/>
      <c r="F5360" s="962"/>
      <c r="G5360" s="962"/>
      <c r="H5360" s="962"/>
      <c r="I5360" s="962"/>
      <c r="J5360" s="196"/>
      <c r="AX5360" s="117"/>
      <c r="AY5360" s="117"/>
      <c r="AZ5360" s="117"/>
      <c r="BA5360" s="117"/>
      <c r="BB5360" s="117"/>
      <c r="BC5360" s="117"/>
      <c r="BD5360" s="117"/>
    </row>
    <row r="5361" spans="1:56" ht="15">
      <c r="A5361" s="114"/>
      <c r="B5361" s="965" t="s">
        <v>1152</v>
      </c>
      <c r="C5361" s="965"/>
      <c r="D5361" s="964"/>
      <c r="E5361" s="411">
        <v>1</v>
      </c>
      <c r="F5361" s="390" t="s">
        <v>1153</v>
      </c>
      <c r="G5361" s="962"/>
      <c r="H5361" s="962"/>
      <c r="I5361" s="962"/>
      <c r="J5361" s="196"/>
      <c r="AX5361" s="117"/>
      <c r="AY5361" s="117"/>
      <c r="AZ5361" s="117"/>
      <c r="BA5361" s="117"/>
      <c r="BB5361" s="117"/>
      <c r="BC5361" s="117"/>
      <c r="BD5361" s="117"/>
    </row>
    <row r="5362" spans="1:56" ht="15">
      <c r="A5362" s="114"/>
      <c r="B5362" s="399" t="s">
        <v>1154</v>
      </c>
      <c r="C5362" s="31"/>
      <c r="D5362" s="32"/>
      <c r="E5362" s="412">
        <v>1</v>
      </c>
      <c r="F5362" s="390" t="s">
        <v>1153</v>
      </c>
      <c r="G5362" s="962"/>
      <c r="H5362" s="962"/>
      <c r="I5362" s="962"/>
      <c r="J5362" s="196"/>
      <c r="AX5362" s="117"/>
      <c r="AY5362" s="117"/>
      <c r="AZ5362" s="117"/>
      <c r="BA5362" s="117"/>
      <c r="BB5362" s="117"/>
      <c r="BC5362" s="117"/>
      <c r="BD5362" s="117"/>
    </row>
    <row r="5363" spans="1:56" ht="15">
      <c r="A5363" s="114"/>
      <c r="B5363" s="965" t="s">
        <v>1155</v>
      </c>
      <c r="C5363" s="21"/>
      <c r="D5363" s="413"/>
      <c r="E5363" s="411">
        <v>400</v>
      </c>
      <c r="F5363" s="390" t="s">
        <v>1156</v>
      </c>
      <c r="G5363" s="962"/>
      <c r="H5363" s="414"/>
      <c r="I5363" s="962"/>
      <c r="J5363" s="196"/>
      <c r="AX5363" s="117"/>
      <c r="AY5363" s="117"/>
      <c r="AZ5363" s="117"/>
      <c r="BA5363" s="117"/>
      <c r="BB5363" s="117"/>
      <c r="BC5363" s="117"/>
      <c r="BD5363" s="117"/>
    </row>
    <row r="5364" spans="1:56" ht="15">
      <c r="A5364" s="114"/>
      <c r="B5364" s="965" t="s">
        <v>1157</v>
      </c>
      <c r="C5364" s="21"/>
      <c r="D5364" s="413"/>
      <c r="E5364" s="418">
        <v>29</v>
      </c>
      <c r="F5364" s="390" t="s">
        <v>10</v>
      </c>
      <c r="G5364" s="962"/>
      <c r="H5364" s="6"/>
      <c r="I5364" s="962"/>
      <c r="J5364" s="196"/>
      <c r="AX5364" s="117"/>
      <c r="AY5364" s="117"/>
      <c r="AZ5364" s="117"/>
      <c r="BA5364" s="117"/>
      <c r="BB5364" s="117"/>
      <c r="BC5364" s="117"/>
      <c r="BD5364" s="117"/>
    </row>
    <row r="5365" spans="1:56" ht="15">
      <c r="A5365" s="114"/>
      <c r="B5365" s="965" t="s">
        <v>1158</v>
      </c>
      <c r="C5365" s="21"/>
      <c r="D5365" s="413"/>
      <c r="E5365" s="412">
        <f>E5362*E5364</f>
        <v>29</v>
      </c>
      <c r="F5365" s="390" t="s">
        <v>10</v>
      </c>
      <c r="G5365" s="962"/>
      <c r="H5365" s="962"/>
      <c r="I5365" s="962"/>
      <c r="J5365" s="962"/>
      <c r="AX5365" s="117"/>
      <c r="AY5365" s="117"/>
      <c r="AZ5365" s="117"/>
      <c r="BA5365" s="117"/>
      <c r="BB5365" s="117"/>
      <c r="BC5365" s="117"/>
      <c r="BD5365" s="117"/>
    </row>
    <row r="5366" spans="1:56" ht="15">
      <c r="A5366" s="114"/>
      <c r="B5366" s="962"/>
      <c r="C5366" s="962"/>
      <c r="D5366" s="962"/>
      <c r="E5366" s="410"/>
      <c r="F5366" s="962"/>
      <c r="G5366" s="962"/>
      <c r="H5366" s="962"/>
      <c r="I5366" s="962"/>
      <c r="J5366" s="196"/>
      <c r="AX5366" s="117"/>
      <c r="AY5366" s="117"/>
      <c r="AZ5366" s="117"/>
      <c r="BA5366" s="117"/>
      <c r="BB5366" s="117"/>
      <c r="BC5366" s="117"/>
      <c r="BD5366" s="117"/>
    </row>
    <row r="5367" spans="1:56" ht="15">
      <c r="A5367" s="114"/>
      <c r="B5367" s="303" t="s">
        <v>1160</v>
      </c>
      <c r="C5367" s="362"/>
      <c r="D5367" s="362"/>
      <c r="E5367" s="410"/>
      <c r="F5367" s="362"/>
      <c r="G5367" s="362"/>
      <c r="H5367" s="362"/>
      <c r="I5367" s="362"/>
      <c r="J5367" s="362"/>
      <c r="AX5367" s="117"/>
      <c r="AY5367" s="117"/>
      <c r="AZ5367" s="117"/>
      <c r="BA5367" s="117"/>
      <c r="BB5367" s="117"/>
      <c r="BC5367" s="117"/>
      <c r="BD5367" s="117"/>
    </row>
    <row r="5368" spans="1:56" ht="18">
      <c r="A5368" s="114"/>
      <c r="B5368" s="398" t="s">
        <v>1128</v>
      </c>
      <c r="C5368" s="172"/>
      <c r="D5368" s="173"/>
      <c r="E5368" s="402">
        <f>E5351*0.05</f>
        <v>0.39199999999999996</v>
      </c>
      <c r="F5368" s="390" t="s">
        <v>1124</v>
      </c>
      <c r="G5368" s="362"/>
      <c r="H5368" s="362"/>
      <c r="I5368" s="362"/>
      <c r="J5368" s="362"/>
      <c r="AX5368" s="117"/>
      <c r="AY5368" s="117"/>
      <c r="AZ5368" s="117"/>
      <c r="BA5368" s="117"/>
      <c r="BB5368" s="117"/>
      <c r="BC5368" s="117"/>
      <c r="BD5368" s="117"/>
    </row>
    <row r="5369" spans="1:56" ht="15">
      <c r="A5369" s="114"/>
      <c r="B5369" s="398" t="s">
        <v>1129</v>
      </c>
      <c r="C5369" s="172"/>
      <c r="D5369" s="173"/>
      <c r="E5369" s="397">
        <f>(2*(C5337+C5338)*C5340)*C5341</f>
        <v>24.96</v>
      </c>
      <c r="F5369" s="390" t="s">
        <v>13</v>
      </c>
      <c r="G5369" s="362"/>
      <c r="H5369" s="362"/>
      <c r="I5369" s="362"/>
      <c r="J5369" s="362"/>
      <c r="AX5369" s="117"/>
      <c r="AY5369" s="117"/>
      <c r="AZ5369" s="117"/>
      <c r="BA5369" s="117"/>
      <c r="BB5369" s="117"/>
      <c r="BC5369" s="117"/>
      <c r="BD5369" s="117"/>
    </row>
    <row r="5370" spans="1:56" ht="18">
      <c r="A5370" s="114"/>
      <c r="B5370" s="398" t="s">
        <v>1130</v>
      </c>
      <c r="C5370" s="172"/>
      <c r="D5370" s="173"/>
      <c r="E5370" s="402">
        <f>(C5337*C5338*C5340)*C5341</f>
        <v>7.4879999999999995</v>
      </c>
      <c r="F5370" s="390" t="s">
        <v>1124</v>
      </c>
      <c r="G5370" s="362"/>
      <c r="H5370" s="362"/>
      <c r="I5370" s="362"/>
      <c r="J5370" s="362"/>
      <c r="AX5370" s="117"/>
      <c r="AY5370" s="117"/>
      <c r="AZ5370" s="117"/>
      <c r="BA5370" s="117"/>
      <c r="BB5370" s="117"/>
      <c r="BC5370" s="117"/>
      <c r="BD5370" s="117"/>
    </row>
    <row r="5371" spans="1:56">
      <c r="A5371" s="114"/>
      <c r="B5371" s="115"/>
      <c r="C5371" s="115"/>
      <c r="D5371" s="115"/>
      <c r="E5371" s="115"/>
      <c r="F5371" s="115"/>
      <c r="G5371" s="115"/>
      <c r="H5371" s="115"/>
      <c r="I5371" s="115"/>
      <c r="J5371" s="362"/>
      <c r="AX5371" s="117"/>
      <c r="AY5371" s="117"/>
      <c r="AZ5371" s="117"/>
      <c r="BA5371" s="117"/>
      <c r="BB5371" s="117"/>
      <c r="BC5371" s="117"/>
      <c r="BD5371" s="117"/>
    </row>
    <row r="5372" spans="1:56">
      <c r="A5372" s="114"/>
      <c r="B5372" s="115"/>
      <c r="C5372" s="115"/>
      <c r="D5372" s="115"/>
      <c r="E5372" s="115"/>
      <c r="F5372" s="115"/>
      <c r="G5372" s="115"/>
      <c r="H5372" s="115"/>
      <c r="I5372" s="115"/>
      <c r="J5372" s="415"/>
      <c r="AX5372" s="117"/>
      <c r="AY5372" s="117"/>
      <c r="AZ5372" s="117"/>
      <c r="BA5372" s="117"/>
      <c r="BB5372" s="117"/>
      <c r="BC5372" s="117"/>
      <c r="BD5372" s="117"/>
    </row>
    <row r="5373" spans="1:56">
      <c r="A5373" s="114"/>
      <c r="B5373" s="115"/>
      <c r="C5373" s="115"/>
      <c r="D5373" s="115"/>
      <c r="E5373" s="115"/>
      <c r="F5373" s="115"/>
      <c r="G5373" s="115"/>
      <c r="H5373" s="115"/>
      <c r="I5373" s="115"/>
      <c r="J5373" s="362"/>
      <c r="AX5373" s="117"/>
      <c r="AY5373" s="117"/>
      <c r="AZ5373" s="117"/>
      <c r="BA5373" s="117"/>
      <c r="BB5373" s="117"/>
      <c r="BC5373" s="117"/>
      <c r="BD5373" s="117"/>
    </row>
    <row r="5374" spans="1:56">
      <c r="A5374"/>
      <c r="B5374" s="385" t="s">
        <v>1312</v>
      </c>
      <c r="C5374" s="362"/>
      <c r="D5374" s="362"/>
      <c r="E5374" s="362"/>
      <c r="F5374" s="362"/>
      <c r="G5374" s="115"/>
      <c r="H5374" s="115"/>
      <c r="I5374" s="362"/>
      <c r="J5374" s="362"/>
      <c r="AX5374" s="117"/>
      <c r="AY5374" s="117"/>
      <c r="AZ5374" s="117"/>
      <c r="BA5374" s="117"/>
      <c r="BB5374" s="117"/>
      <c r="BC5374" s="117"/>
      <c r="BD5374" s="117"/>
    </row>
    <row r="5375" spans="1:56" ht="15">
      <c r="A5375" s="114"/>
      <c r="B5375" s="362"/>
      <c r="C5375" s="362"/>
      <c r="D5375" s="362"/>
      <c r="E5375" s="362"/>
      <c r="F5375" s="404"/>
      <c r="G5375" s="196"/>
      <c r="H5375" s="196"/>
      <c r="I5375" s="404"/>
      <c r="J5375" s="362"/>
      <c r="AX5375" s="117"/>
      <c r="AY5375" s="117"/>
      <c r="AZ5375" s="117"/>
      <c r="BA5375" s="117"/>
      <c r="BB5375" s="117"/>
      <c r="BC5375" s="117"/>
      <c r="BD5375" s="117"/>
    </row>
    <row r="5376" spans="1:56" ht="18">
      <c r="A5376" s="114"/>
      <c r="B5376" s="388" t="s">
        <v>1141</v>
      </c>
      <c r="C5376" s="389">
        <v>0.25</v>
      </c>
      <c r="D5376" s="390" t="s">
        <v>10</v>
      </c>
      <c r="E5376" s="196"/>
      <c r="F5376" s="405"/>
      <c r="G5376" s="196"/>
      <c r="H5376" s="196"/>
      <c r="I5376" s="405" t="s">
        <v>1143</v>
      </c>
      <c r="J5376" s="362"/>
      <c r="AX5376" s="117"/>
      <c r="AY5376" s="117"/>
      <c r="AZ5376" s="117"/>
      <c r="BA5376" s="117"/>
      <c r="BB5376" s="117"/>
      <c r="BC5376" s="117"/>
      <c r="BD5376" s="117"/>
    </row>
    <row r="5377" spans="1:56" ht="15">
      <c r="A5377" s="114"/>
      <c r="B5377" s="388" t="s">
        <v>1144</v>
      </c>
      <c r="C5377" s="389">
        <v>0.2</v>
      </c>
      <c r="D5377" s="390" t="s">
        <v>10</v>
      </c>
      <c r="E5377" s="196"/>
      <c r="F5377" s="405"/>
      <c r="G5377" s="362"/>
      <c r="H5377" s="362"/>
      <c r="I5377" s="405"/>
      <c r="J5377" s="362"/>
      <c r="AX5377" s="117"/>
      <c r="AY5377" s="117"/>
      <c r="AZ5377" s="117"/>
      <c r="BA5377" s="117"/>
      <c r="BB5377" s="117"/>
      <c r="BC5377" s="117"/>
      <c r="BD5377" s="117"/>
    </row>
    <row r="5378" spans="1:56" ht="15">
      <c r="A5378" s="114"/>
      <c r="B5378" s="388" t="s">
        <v>1145</v>
      </c>
      <c r="C5378" s="389">
        <v>1.2</v>
      </c>
      <c r="D5378" s="390" t="s">
        <v>10</v>
      </c>
      <c r="E5378" s="196"/>
      <c r="F5378" s="405"/>
      <c r="G5378" s="404"/>
      <c r="H5378" s="404"/>
      <c r="I5378" s="405"/>
      <c r="J5378" s="362"/>
      <c r="AX5378" s="117"/>
      <c r="AY5378" s="117"/>
      <c r="AZ5378" s="117"/>
      <c r="BA5378" s="117"/>
      <c r="BB5378" s="117"/>
      <c r="BC5378" s="117"/>
      <c r="BD5378" s="117"/>
    </row>
    <row r="5379" spans="1:56" ht="18">
      <c r="A5379" s="114"/>
      <c r="B5379" s="388" t="s">
        <v>1146</v>
      </c>
      <c r="C5379" s="389">
        <v>1.2</v>
      </c>
      <c r="D5379" s="390" t="s">
        <v>10</v>
      </c>
      <c r="E5379" s="196"/>
      <c r="F5379" s="405"/>
      <c r="G5379" s="406" t="s">
        <v>1142</v>
      </c>
      <c r="H5379" s="407">
        <f>C5376*C5377</f>
        <v>0.05</v>
      </c>
      <c r="I5379" s="405" t="s">
        <v>1143</v>
      </c>
      <c r="J5379" s="362"/>
      <c r="AX5379" s="117"/>
      <c r="AY5379" s="117"/>
      <c r="AZ5379" s="117"/>
      <c r="BA5379" s="117"/>
      <c r="BB5379" s="117"/>
      <c r="BC5379" s="117"/>
      <c r="BD5379" s="117"/>
    </row>
    <row r="5380" spans="1:56" ht="18">
      <c r="A5380" s="114"/>
      <c r="B5380" s="388" t="s">
        <v>1112</v>
      </c>
      <c r="C5380" s="389">
        <v>0.55000000000000004</v>
      </c>
      <c r="D5380" s="390" t="s">
        <v>10</v>
      </c>
      <c r="E5380" s="196"/>
      <c r="F5380" s="405"/>
      <c r="G5380" s="406" t="e">
        <f>TEXT(C5384,"tg 0°=")</f>
        <v>#VALUE!</v>
      </c>
      <c r="H5380" s="408">
        <f>TAN(3.14159265359*C5384/180)</f>
        <v>1.732050807569153</v>
      </c>
      <c r="I5380" s="405" t="s">
        <v>1143</v>
      </c>
      <c r="J5380" s="114"/>
      <c r="AW5380" s="117"/>
      <c r="AX5380" s="117"/>
      <c r="AY5380" s="117"/>
      <c r="AZ5380" s="117"/>
      <c r="BA5380" s="117"/>
      <c r="BB5380" s="117"/>
      <c r="BC5380" s="117"/>
      <c r="BD5380" s="117"/>
    </row>
    <row r="5381" spans="1:56" ht="15">
      <c r="A5381" s="114"/>
      <c r="B5381" s="388" t="s">
        <v>1113</v>
      </c>
      <c r="C5381" s="389">
        <v>1.3</v>
      </c>
      <c r="D5381" s="390" t="s">
        <v>10</v>
      </c>
      <c r="E5381" s="196"/>
      <c r="F5381" s="405"/>
      <c r="G5381" s="406"/>
      <c r="H5381" s="407"/>
      <c r="I5381" s="405"/>
      <c r="J5381" s="114"/>
      <c r="AW5381" s="117"/>
      <c r="AX5381" s="117"/>
      <c r="AY5381" s="117"/>
      <c r="AZ5381" s="117"/>
      <c r="BA5381" s="117"/>
      <c r="BB5381" s="117"/>
      <c r="BC5381" s="117"/>
      <c r="BD5381" s="117"/>
    </row>
    <row r="5382" spans="1:56" ht="15">
      <c r="A5382" s="114"/>
      <c r="B5382" s="388" t="s">
        <v>1117</v>
      </c>
      <c r="C5382" s="391">
        <v>1</v>
      </c>
      <c r="D5382" s="390" t="s">
        <v>1118</v>
      </c>
      <c r="E5382" s="196"/>
      <c r="F5382" s="405"/>
      <c r="G5382" s="406" t="s">
        <v>1142</v>
      </c>
      <c r="H5382" s="409">
        <f>(C5378+2*C5386+((C5380+C5381+0.05)/H5380)*2)*(C5379+2*C5386+((C5380+C5381+0.05)/H5380)*2)</f>
        <v>19.306629834180814</v>
      </c>
      <c r="I5382" s="405"/>
      <c r="J5382" s="114"/>
      <c r="AW5382" s="117"/>
      <c r="AX5382" s="117"/>
      <c r="AY5382" s="117"/>
      <c r="AZ5382" s="117"/>
      <c r="BA5382" s="117"/>
      <c r="BB5382" s="117"/>
      <c r="BC5382" s="117"/>
      <c r="BD5382" s="117"/>
    </row>
    <row r="5383" spans="1:56" customFormat="1" ht="15">
      <c r="A5383" s="114"/>
      <c r="B5383" s="196" t="s">
        <v>1148</v>
      </c>
      <c r="C5383" s="393"/>
      <c r="D5383" s="196"/>
      <c r="E5383" s="196"/>
      <c r="F5383" s="405"/>
      <c r="G5383" s="406" t="s">
        <v>1147</v>
      </c>
      <c r="H5383" s="409">
        <f>(C5378+2*C5386)*(C5379+2*C5386)</f>
        <v>4.8400000000000007</v>
      </c>
      <c r="I5383" s="405"/>
      <c r="J5383" s="362"/>
    </row>
    <row r="5384" spans="1:56" ht="15">
      <c r="A5384" s="114"/>
      <c r="B5384" s="388" t="s">
        <v>1149</v>
      </c>
      <c r="C5384" s="389">
        <v>60</v>
      </c>
      <c r="D5384" s="390" t="s">
        <v>1150</v>
      </c>
      <c r="E5384" s="196"/>
      <c r="F5384" s="196"/>
      <c r="G5384" s="406"/>
      <c r="H5384" s="407"/>
      <c r="I5384" s="196"/>
      <c r="J5384" s="404"/>
      <c r="AX5384" s="117"/>
      <c r="AY5384" s="117"/>
      <c r="AZ5384" s="117"/>
      <c r="BA5384" s="117"/>
      <c r="BB5384" s="117"/>
      <c r="BC5384" s="117"/>
      <c r="BD5384" s="117"/>
    </row>
    <row r="5385" spans="1:56" ht="15">
      <c r="A5385" s="114"/>
      <c r="B5385" s="362"/>
      <c r="C5385" s="196"/>
      <c r="D5385" s="196"/>
      <c r="E5385" s="196"/>
      <c r="F5385" s="196"/>
      <c r="G5385" s="406"/>
      <c r="H5385" s="407"/>
      <c r="I5385" s="362"/>
      <c r="J5385" s="405"/>
      <c r="AX5385" s="117"/>
      <c r="AY5385" s="117"/>
      <c r="AZ5385" s="117"/>
      <c r="BA5385" s="117"/>
      <c r="BB5385" s="117"/>
      <c r="BC5385" s="117"/>
      <c r="BD5385" s="117"/>
    </row>
    <row r="5386" spans="1:56" ht="15">
      <c r="A5386" s="114"/>
      <c r="B5386" s="388" t="s">
        <v>1114</v>
      </c>
      <c r="C5386" s="389">
        <v>0.5</v>
      </c>
      <c r="D5386" s="390" t="s">
        <v>10</v>
      </c>
      <c r="E5386" s="288" t="s">
        <v>1120</v>
      </c>
      <c r="F5386" s="196"/>
      <c r="G5386" s="406"/>
      <c r="H5386" s="407"/>
      <c r="I5386" s="114"/>
      <c r="J5386" s="405"/>
      <c r="AX5386" s="117"/>
      <c r="AY5386" s="117"/>
      <c r="AZ5386" s="117"/>
      <c r="BA5386" s="117"/>
      <c r="BB5386" s="117"/>
      <c r="BC5386" s="117"/>
      <c r="BD5386" s="117"/>
    </row>
    <row r="5387" spans="1:56" ht="15">
      <c r="A5387" s="114"/>
      <c r="B5387" s="388" t="s">
        <v>1114</v>
      </c>
      <c r="C5387" s="389">
        <v>0.1</v>
      </c>
      <c r="D5387" s="390" t="s">
        <v>10</v>
      </c>
      <c r="E5387" s="288" t="s">
        <v>1121</v>
      </c>
      <c r="F5387" s="196"/>
      <c r="G5387" s="392"/>
      <c r="H5387" s="393"/>
      <c r="I5387" s="196"/>
      <c r="J5387" s="405"/>
      <c r="AX5387" s="117"/>
      <c r="AY5387" s="117"/>
      <c r="AZ5387" s="117"/>
      <c r="BA5387" s="117"/>
      <c r="BB5387" s="117"/>
      <c r="BC5387" s="117"/>
      <c r="BD5387" s="117"/>
    </row>
    <row r="5388" spans="1:56" ht="15">
      <c r="A5388" s="114"/>
      <c r="B5388" s="362"/>
      <c r="C5388" s="362"/>
      <c r="D5388" s="362"/>
      <c r="E5388" s="362"/>
      <c r="F5388" s="362"/>
      <c r="G5388" s="362"/>
      <c r="H5388" s="362"/>
      <c r="I5388" s="196"/>
      <c r="J5388" s="405"/>
      <c r="AX5388" s="117"/>
      <c r="AY5388" s="117"/>
      <c r="AZ5388" s="117"/>
      <c r="BA5388" s="117"/>
      <c r="BB5388" s="117"/>
      <c r="BC5388" s="117"/>
      <c r="BD5388" s="117"/>
    </row>
    <row r="5389" spans="1:56" ht="15">
      <c r="A5389" s="114"/>
      <c r="B5389" s="303" t="s">
        <v>1122</v>
      </c>
      <c r="C5389" s="362"/>
      <c r="D5389" s="362"/>
      <c r="E5389" s="362"/>
      <c r="F5389" s="362"/>
      <c r="G5389" s="196" t="s">
        <v>1131</v>
      </c>
      <c r="H5389" s="114"/>
      <c r="I5389" s="196"/>
      <c r="J5389" s="405"/>
      <c r="AX5389" s="117"/>
      <c r="AY5389" s="117"/>
      <c r="AZ5389" s="117"/>
      <c r="BA5389" s="117"/>
      <c r="BB5389" s="117"/>
      <c r="BC5389" s="117"/>
      <c r="BD5389" s="117"/>
    </row>
    <row r="5390" spans="1:56" ht="18">
      <c r="A5390" s="114"/>
      <c r="B5390" s="398" t="s">
        <v>1123</v>
      </c>
      <c r="C5390" s="172"/>
      <c r="D5390" s="173"/>
      <c r="E5390" s="397">
        <f>C5382*((H5383+H5382)/2)*(C5380+C5381+0.05)</f>
        <v>22.939298342471776</v>
      </c>
      <c r="F5390" s="390" t="s">
        <v>1124</v>
      </c>
      <c r="G5390" s="196"/>
      <c r="H5390" s="196"/>
      <c r="I5390" s="362"/>
      <c r="J5390" s="405"/>
      <c r="AX5390" s="117"/>
      <c r="AY5390" s="117"/>
      <c r="AZ5390" s="117"/>
      <c r="BA5390" s="117"/>
      <c r="BB5390" s="117"/>
      <c r="BC5390" s="117"/>
      <c r="BD5390" s="117"/>
    </row>
    <row r="5391" spans="1:56" ht="18">
      <c r="A5391" s="114"/>
      <c r="B5391" s="398" t="s">
        <v>1125</v>
      </c>
      <c r="C5391" s="172"/>
      <c r="D5391" s="173"/>
      <c r="E5391" s="400">
        <f>E5390-C5382*(C5378*C5379*C5381+C5378*C5379*0.05+C5376*C5377*C5380)</f>
        <v>20.967798342471777</v>
      </c>
      <c r="F5391" s="390" t="s">
        <v>1124</v>
      </c>
      <c r="G5391" s="196"/>
      <c r="H5391" s="196"/>
      <c r="I5391" s="196"/>
      <c r="J5391" s="405"/>
      <c r="AX5391" s="117"/>
      <c r="AY5391" s="117"/>
      <c r="AZ5391" s="117"/>
      <c r="BA5391" s="117"/>
      <c r="BB5391" s="117"/>
      <c r="BC5391" s="117"/>
      <c r="BD5391" s="117"/>
    </row>
    <row r="5392" spans="1:56" ht="15">
      <c r="A5392" s="114"/>
      <c r="B5392" s="398" t="s">
        <v>1126</v>
      </c>
      <c r="C5392" s="172"/>
      <c r="D5392" s="173"/>
      <c r="E5392" s="400">
        <f>((C5378+2*C5387)*(C5379+2*C5387))*C5382</f>
        <v>1.9599999999999997</v>
      </c>
      <c r="F5392" s="390" t="s">
        <v>13</v>
      </c>
      <c r="G5392" s="362"/>
      <c r="H5392" s="362"/>
      <c r="I5392" s="362"/>
      <c r="J5392" s="405"/>
      <c r="AX5392" s="117"/>
      <c r="AY5392" s="117"/>
      <c r="AZ5392" s="117"/>
      <c r="BA5392" s="117"/>
      <c r="BB5392" s="117"/>
      <c r="BC5392" s="117"/>
      <c r="BD5392" s="117"/>
    </row>
    <row r="5393" spans="1:56" ht="15">
      <c r="A5393" s="114"/>
      <c r="B5393" s="362"/>
      <c r="C5393" s="362"/>
      <c r="D5393" s="362"/>
      <c r="E5393" s="401"/>
      <c r="F5393" s="196"/>
      <c r="G5393" s="362"/>
      <c r="H5393" s="362"/>
      <c r="I5393" s="362"/>
      <c r="J5393" s="196"/>
      <c r="AX5393" s="117"/>
      <c r="AY5393" s="117"/>
      <c r="AZ5393" s="117"/>
      <c r="BA5393" s="117"/>
      <c r="BB5393" s="117"/>
      <c r="BC5393" s="117"/>
      <c r="BD5393" s="117"/>
    </row>
    <row r="5394" spans="1:56" ht="15">
      <c r="A5394" s="114"/>
      <c r="B5394" s="303" t="s">
        <v>1162</v>
      </c>
      <c r="C5394" s="362"/>
      <c r="D5394" s="362"/>
      <c r="E5394" s="410"/>
      <c r="F5394" s="362"/>
      <c r="G5394" s="362"/>
      <c r="H5394" s="362"/>
      <c r="I5394" s="362"/>
      <c r="J5394" s="196"/>
      <c r="AX5394" s="117"/>
      <c r="AY5394" s="117"/>
      <c r="AZ5394" s="117"/>
      <c r="BA5394" s="117"/>
      <c r="BB5394" s="117"/>
      <c r="BC5394" s="117"/>
      <c r="BD5394" s="117"/>
    </row>
    <row r="5395" spans="1:56" ht="15">
      <c r="A5395" s="114"/>
      <c r="B5395" s="398" t="s">
        <v>1152</v>
      </c>
      <c r="C5395" s="398"/>
      <c r="D5395" s="366"/>
      <c r="E5395" s="411">
        <v>1</v>
      </c>
      <c r="F5395" s="390" t="s">
        <v>1153</v>
      </c>
      <c r="G5395" s="362"/>
      <c r="H5395" s="362"/>
      <c r="I5395" s="362"/>
      <c r="J5395" s="196"/>
      <c r="AX5395" s="117"/>
      <c r="AY5395" s="117"/>
      <c r="AZ5395" s="117"/>
      <c r="BA5395" s="117"/>
      <c r="BB5395" s="117"/>
      <c r="BC5395" s="117"/>
      <c r="BD5395" s="117"/>
    </row>
    <row r="5396" spans="1:56" ht="15">
      <c r="A5396" s="114"/>
      <c r="B5396" s="399" t="s">
        <v>1154</v>
      </c>
      <c r="C5396" s="31"/>
      <c r="D5396" s="32"/>
      <c r="E5396" s="412">
        <f>C5382*E5395</f>
        <v>1</v>
      </c>
      <c r="F5396" s="390" t="s">
        <v>1153</v>
      </c>
      <c r="G5396" s="362"/>
      <c r="H5396" s="362"/>
      <c r="I5396" s="362"/>
      <c r="J5396" s="196"/>
      <c r="AX5396" s="117"/>
      <c r="AY5396" s="117"/>
      <c r="AZ5396" s="117"/>
      <c r="BA5396" s="117"/>
      <c r="BB5396" s="117"/>
      <c r="BC5396" s="117"/>
      <c r="BD5396" s="117"/>
    </row>
    <row r="5397" spans="1:56" ht="15">
      <c r="A5397" s="114"/>
      <c r="B5397" s="398" t="s">
        <v>1155</v>
      </c>
      <c r="C5397" s="21"/>
      <c r="D5397" s="413"/>
      <c r="E5397" s="411">
        <v>350</v>
      </c>
      <c r="F5397" s="390" t="s">
        <v>1156</v>
      </c>
      <c r="G5397" s="362"/>
      <c r="H5397" s="414"/>
      <c r="I5397" s="362"/>
      <c r="J5397" s="196"/>
      <c r="AX5397" s="117"/>
      <c r="AY5397" s="117"/>
      <c r="AZ5397" s="117"/>
      <c r="BA5397" s="117"/>
      <c r="BB5397" s="117"/>
      <c r="BC5397" s="117"/>
      <c r="BD5397" s="117"/>
    </row>
    <row r="5398" spans="1:56" ht="15">
      <c r="A5398" s="114"/>
      <c r="B5398" s="398" t="s">
        <v>1157</v>
      </c>
      <c r="C5398" s="21"/>
      <c r="D5398" s="413"/>
      <c r="E5398" s="418">
        <v>29</v>
      </c>
      <c r="F5398" s="390" t="s">
        <v>10</v>
      </c>
      <c r="G5398" s="362"/>
      <c r="H5398" s="6"/>
      <c r="I5398" s="362"/>
      <c r="J5398" s="196"/>
      <c r="AX5398" s="117"/>
      <c r="AY5398" s="117"/>
      <c r="AZ5398" s="117"/>
      <c r="BA5398" s="117"/>
      <c r="BB5398" s="117"/>
      <c r="BC5398" s="117"/>
      <c r="BD5398" s="117"/>
    </row>
    <row r="5399" spans="1:56" ht="15">
      <c r="A5399" s="114"/>
      <c r="B5399" s="398" t="s">
        <v>1158</v>
      </c>
      <c r="C5399" s="21"/>
      <c r="D5399" s="413"/>
      <c r="E5399" s="412">
        <f>E5396*E5398</f>
        <v>29</v>
      </c>
      <c r="F5399" s="390" t="s">
        <v>10</v>
      </c>
      <c r="G5399" s="362"/>
      <c r="H5399" s="362"/>
      <c r="I5399" s="362"/>
      <c r="J5399" s="362"/>
      <c r="AX5399" s="117"/>
      <c r="AY5399" s="117"/>
      <c r="AZ5399" s="117"/>
      <c r="BA5399" s="117"/>
      <c r="BB5399" s="117"/>
      <c r="BC5399" s="117"/>
      <c r="BD5399" s="117"/>
    </row>
    <row r="5400" spans="1:56" ht="15">
      <c r="A5400" s="114"/>
      <c r="B5400" s="362"/>
      <c r="C5400" s="362"/>
      <c r="D5400" s="362"/>
      <c r="E5400" s="410"/>
      <c r="F5400" s="362"/>
      <c r="G5400" s="362"/>
      <c r="H5400" s="362"/>
      <c r="I5400" s="362"/>
      <c r="J5400" s="196"/>
      <c r="AX5400" s="117"/>
      <c r="AY5400" s="117"/>
      <c r="AZ5400" s="117"/>
      <c r="BA5400" s="117"/>
      <c r="BB5400" s="117"/>
      <c r="BC5400" s="117"/>
      <c r="BD5400" s="117"/>
    </row>
    <row r="5401" spans="1:56" ht="15">
      <c r="A5401" s="114"/>
      <c r="B5401" s="303" t="s">
        <v>1160</v>
      </c>
      <c r="C5401" s="362"/>
      <c r="D5401" s="362"/>
      <c r="E5401" s="410"/>
      <c r="F5401" s="362"/>
      <c r="G5401" s="362"/>
      <c r="H5401" s="362"/>
      <c r="I5401" s="362"/>
      <c r="J5401" s="362"/>
      <c r="AX5401" s="117"/>
      <c r="AY5401" s="117"/>
      <c r="AZ5401" s="117"/>
      <c r="BA5401" s="117"/>
      <c r="BB5401" s="117"/>
      <c r="BC5401" s="117"/>
      <c r="BD5401" s="117"/>
    </row>
    <row r="5402" spans="1:56" ht="18">
      <c r="A5402" s="114"/>
      <c r="B5402" s="398" t="s">
        <v>1128</v>
      </c>
      <c r="C5402" s="172"/>
      <c r="D5402" s="173"/>
      <c r="E5402" s="402">
        <f>E5392*0.05</f>
        <v>9.799999999999999E-2</v>
      </c>
      <c r="F5402" s="390" t="s">
        <v>1124</v>
      </c>
      <c r="G5402" s="362"/>
      <c r="H5402" s="362"/>
      <c r="I5402" s="362"/>
      <c r="J5402" s="362"/>
      <c r="AX5402" s="117"/>
      <c r="AY5402" s="117"/>
      <c r="AZ5402" s="117"/>
      <c r="BA5402" s="117"/>
      <c r="BB5402" s="117"/>
      <c r="BC5402" s="117"/>
      <c r="BD5402" s="117"/>
    </row>
    <row r="5403" spans="1:56" ht="15">
      <c r="A5403" s="114"/>
      <c r="B5403" s="398" t="s">
        <v>1129</v>
      </c>
      <c r="C5403" s="172"/>
      <c r="D5403" s="173"/>
      <c r="E5403" s="397">
        <f>(2*(C5378+C5379)*C5381)*C5382</f>
        <v>6.24</v>
      </c>
      <c r="F5403" s="390" t="s">
        <v>13</v>
      </c>
      <c r="G5403" s="362"/>
      <c r="H5403" s="362"/>
      <c r="I5403" s="362"/>
      <c r="J5403" s="362"/>
      <c r="AX5403" s="117"/>
      <c r="AY5403" s="117"/>
      <c r="AZ5403" s="117"/>
      <c r="BA5403" s="117"/>
      <c r="BB5403" s="117"/>
      <c r="BC5403" s="117"/>
      <c r="BD5403" s="117"/>
    </row>
    <row r="5404" spans="1:56" ht="18">
      <c r="A5404" s="114"/>
      <c r="B5404" s="398" t="s">
        <v>1130</v>
      </c>
      <c r="C5404" s="172"/>
      <c r="D5404" s="173"/>
      <c r="E5404" s="402">
        <f>(C5378*C5379*C5381)*C5382</f>
        <v>1.8719999999999999</v>
      </c>
      <c r="F5404" s="390" t="s">
        <v>1124</v>
      </c>
      <c r="G5404" s="362"/>
      <c r="H5404" s="362"/>
      <c r="I5404" s="362"/>
      <c r="J5404" s="362"/>
      <c r="AX5404" s="117"/>
      <c r="AY5404" s="117"/>
      <c r="AZ5404" s="117"/>
      <c r="BA5404" s="117"/>
      <c r="BB5404" s="117"/>
      <c r="BC5404" s="117"/>
      <c r="BD5404" s="117"/>
    </row>
    <row r="5405" spans="1:56">
      <c r="A5405" s="114"/>
      <c r="B5405" s="115"/>
      <c r="C5405" s="115"/>
      <c r="D5405" s="115"/>
      <c r="E5405" s="115"/>
      <c r="F5405" s="115"/>
      <c r="G5405" s="115"/>
      <c r="H5405" s="115"/>
      <c r="I5405" s="115"/>
      <c r="J5405" s="362"/>
      <c r="AX5405" s="117"/>
      <c r="AY5405" s="117"/>
      <c r="AZ5405" s="117"/>
      <c r="BA5405" s="117"/>
      <c r="BB5405" s="117"/>
      <c r="BC5405" s="117"/>
      <c r="BD5405" s="117"/>
    </row>
    <row r="5406" spans="1:56">
      <c r="A5406" s="114"/>
      <c r="B5406" s="115"/>
      <c r="C5406" s="115"/>
      <c r="D5406" s="115"/>
      <c r="E5406" s="115"/>
      <c r="F5406" s="115"/>
      <c r="G5406" s="115"/>
      <c r="H5406" s="115"/>
      <c r="I5406" s="115"/>
      <c r="J5406" s="415"/>
      <c r="AX5406" s="117"/>
      <c r="AY5406" s="117"/>
      <c r="AZ5406" s="117"/>
      <c r="BA5406" s="117"/>
      <c r="BB5406" s="117"/>
      <c r="BC5406" s="117"/>
      <c r="BD5406" s="117"/>
    </row>
    <row r="5407" spans="1:56">
      <c r="A5407" s="114"/>
      <c r="B5407" s="115"/>
      <c r="C5407" s="115"/>
      <c r="D5407" s="115"/>
      <c r="E5407" s="115"/>
      <c r="F5407" s="115"/>
      <c r="G5407" s="115"/>
      <c r="H5407" s="115"/>
      <c r="I5407" s="115"/>
      <c r="J5407" s="362"/>
      <c r="AX5407" s="117"/>
      <c r="AY5407" s="117"/>
      <c r="AZ5407" s="117"/>
      <c r="BA5407" s="117"/>
      <c r="BB5407" s="117"/>
      <c r="BC5407" s="117"/>
      <c r="BD5407" s="117"/>
    </row>
    <row r="5408" spans="1:56">
      <c r="A5408"/>
      <c r="B5408" s="385" t="s">
        <v>2254</v>
      </c>
      <c r="C5408" s="362"/>
      <c r="D5408" s="362"/>
      <c r="E5408" s="362"/>
      <c r="F5408" s="362"/>
      <c r="G5408" s="115"/>
      <c r="H5408" s="115"/>
      <c r="I5408" s="362"/>
      <c r="J5408" s="362"/>
      <c r="AX5408" s="117"/>
      <c r="AY5408" s="117"/>
      <c r="AZ5408" s="117"/>
      <c r="BA5408" s="117"/>
      <c r="BB5408" s="117"/>
      <c r="BC5408" s="117"/>
      <c r="BD5408" s="117"/>
    </row>
    <row r="5409" spans="1:56" ht="15">
      <c r="A5409" s="114"/>
      <c r="B5409" s="362"/>
      <c r="C5409" s="362"/>
      <c r="D5409" s="362"/>
      <c r="E5409" s="362"/>
      <c r="F5409" s="404"/>
      <c r="G5409" s="196"/>
      <c r="H5409" s="196"/>
      <c r="I5409" s="404"/>
      <c r="J5409" s="362"/>
      <c r="AX5409" s="117"/>
      <c r="AY5409" s="117"/>
      <c r="AZ5409" s="117"/>
      <c r="BA5409" s="117"/>
      <c r="BB5409" s="117"/>
      <c r="BC5409" s="117"/>
      <c r="BD5409" s="117"/>
    </row>
    <row r="5410" spans="1:56" ht="18">
      <c r="A5410" s="114"/>
      <c r="B5410" s="388" t="s">
        <v>1141</v>
      </c>
      <c r="C5410" s="389">
        <v>0.2</v>
      </c>
      <c r="D5410" s="390" t="s">
        <v>10</v>
      </c>
      <c r="E5410" s="196"/>
      <c r="F5410" s="405"/>
      <c r="G5410" s="196"/>
      <c r="H5410" s="196"/>
      <c r="I5410" s="405" t="s">
        <v>1143</v>
      </c>
      <c r="J5410" s="362"/>
      <c r="AX5410" s="117"/>
      <c r="AY5410" s="117"/>
      <c r="AZ5410" s="117"/>
      <c r="BA5410" s="117"/>
      <c r="BB5410" s="117"/>
      <c r="BC5410" s="117"/>
      <c r="BD5410" s="117"/>
    </row>
    <row r="5411" spans="1:56" ht="15">
      <c r="A5411" s="114"/>
      <c r="B5411" s="388" t="s">
        <v>1144</v>
      </c>
      <c r="C5411" s="389">
        <v>0.4</v>
      </c>
      <c r="D5411" s="390" t="s">
        <v>10</v>
      </c>
      <c r="E5411" s="196"/>
      <c r="F5411" s="405"/>
      <c r="G5411" s="362"/>
      <c r="H5411" s="362"/>
      <c r="I5411" s="405"/>
      <c r="J5411" s="362"/>
      <c r="AX5411" s="117"/>
      <c r="AY5411" s="117"/>
      <c r="AZ5411" s="117"/>
      <c r="BA5411" s="117"/>
      <c r="BB5411" s="117"/>
      <c r="BC5411" s="117"/>
      <c r="BD5411" s="117"/>
    </row>
    <row r="5412" spans="1:56" ht="15">
      <c r="A5412" s="114"/>
      <c r="B5412" s="388" t="s">
        <v>1145</v>
      </c>
      <c r="C5412" s="389">
        <v>0.8</v>
      </c>
      <c r="D5412" s="390" t="s">
        <v>10</v>
      </c>
      <c r="E5412" s="196"/>
      <c r="F5412" s="405"/>
      <c r="G5412" s="404"/>
      <c r="H5412" s="404"/>
      <c r="I5412" s="405"/>
      <c r="J5412" s="362"/>
      <c r="AX5412" s="117"/>
      <c r="AY5412" s="117"/>
      <c r="AZ5412" s="117"/>
      <c r="BA5412" s="117"/>
      <c r="BB5412" s="117"/>
      <c r="BC5412" s="117"/>
      <c r="BD5412" s="117"/>
    </row>
    <row r="5413" spans="1:56" ht="18">
      <c r="A5413" s="114"/>
      <c r="B5413" s="388" t="s">
        <v>1146</v>
      </c>
      <c r="C5413" s="389">
        <v>0.8</v>
      </c>
      <c r="D5413" s="390" t="s">
        <v>10</v>
      </c>
      <c r="E5413" s="196"/>
      <c r="F5413" s="405"/>
      <c r="G5413" s="406" t="s">
        <v>1142</v>
      </c>
      <c r="H5413" s="407">
        <f>C5410*C5411</f>
        <v>8.0000000000000016E-2</v>
      </c>
      <c r="I5413" s="405" t="s">
        <v>1143</v>
      </c>
      <c r="J5413" s="362"/>
      <c r="AX5413" s="117"/>
      <c r="AY5413" s="117"/>
      <c r="AZ5413" s="117"/>
      <c r="BA5413" s="117"/>
      <c r="BB5413" s="117"/>
      <c r="BC5413" s="117"/>
      <c r="BD5413" s="117"/>
    </row>
    <row r="5414" spans="1:56" ht="18">
      <c r="A5414" s="114"/>
      <c r="B5414" s="388" t="s">
        <v>1112</v>
      </c>
      <c r="C5414" s="389">
        <v>0.55000000000000004</v>
      </c>
      <c r="D5414" s="390" t="s">
        <v>10</v>
      </c>
      <c r="E5414" s="196"/>
      <c r="F5414" s="405"/>
      <c r="G5414" s="406" t="e">
        <f>TEXT(C5418,"tg 0°=")</f>
        <v>#VALUE!</v>
      </c>
      <c r="H5414" s="408">
        <f>TAN(3.14159265359*C5418/180)</f>
        <v>1.732050807569153</v>
      </c>
      <c r="I5414" s="405" t="s">
        <v>1143</v>
      </c>
      <c r="J5414" s="114"/>
      <c r="AW5414" s="117"/>
      <c r="AX5414" s="117"/>
      <c r="AY5414" s="117"/>
      <c r="AZ5414" s="117"/>
      <c r="BA5414" s="117"/>
      <c r="BB5414" s="117"/>
      <c r="BC5414" s="117"/>
      <c r="BD5414" s="117"/>
    </row>
    <row r="5415" spans="1:56" ht="15">
      <c r="A5415" s="114"/>
      <c r="B5415" s="388" t="s">
        <v>1113</v>
      </c>
      <c r="C5415" s="389">
        <v>1.3</v>
      </c>
      <c r="D5415" s="390" t="s">
        <v>10</v>
      </c>
      <c r="E5415" s="196"/>
      <c r="F5415" s="405"/>
      <c r="G5415" s="406"/>
      <c r="H5415" s="407"/>
      <c r="I5415" s="405"/>
      <c r="J5415" s="114"/>
      <c r="AW5415" s="117"/>
      <c r="AX5415" s="117"/>
      <c r="AY5415" s="117"/>
      <c r="AZ5415" s="117"/>
      <c r="BA5415" s="117"/>
      <c r="BB5415" s="117"/>
      <c r="BC5415" s="117"/>
      <c r="BD5415" s="117"/>
    </row>
    <row r="5416" spans="1:56" ht="15">
      <c r="A5416" s="114"/>
      <c r="B5416" s="388" t="s">
        <v>1117</v>
      </c>
      <c r="C5416" s="391">
        <v>21</v>
      </c>
      <c r="D5416" s="390" t="s">
        <v>1118</v>
      </c>
      <c r="E5416" s="196"/>
      <c r="F5416" s="405"/>
      <c r="G5416" s="406" t="s">
        <v>1142</v>
      </c>
      <c r="H5416" s="409">
        <f>(C5412+2*C5420+((C5414+C5415+0.05)/H5414)*2)*(C5413+2*C5420+((C5414+C5415+0.05)/H5414)*2)</f>
        <v>15.951485015844629</v>
      </c>
      <c r="I5416" s="405"/>
      <c r="J5416" s="114"/>
      <c r="AW5416" s="117"/>
      <c r="AX5416" s="117"/>
      <c r="AY5416" s="117"/>
      <c r="AZ5416" s="117"/>
      <c r="BA5416" s="117"/>
      <c r="BB5416" s="117"/>
      <c r="BC5416" s="117"/>
      <c r="BD5416" s="117"/>
    </row>
    <row r="5417" spans="1:56" customFormat="1" ht="15">
      <c r="A5417" s="114"/>
      <c r="B5417" s="196" t="s">
        <v>1148</v>
      </c>
      <c r="C5417" s="393"/>
      <c r="D5417" s="196"/>
      <c r="E5417" s="196"/>
      <c r="F5417" s="405"/>
      <c r="G5417" s="406" t="s">
        <v>1147</v>
      </c>
      <c r="H5417" s="409">
        <f>(C5412+2*C5420)*(C5413+2*C5420)</f>
        <v>3.24</v>
      </c>
      <c r="I5417" s="405"/>
      <c r="J5417" s="362"/>
    </row>
    <row r="5418" spans="1:56" ht="15">
      <c r="A5418" s="114"/>
      <c r="B5418" s="388" t="s">
        <v>1149</v>
      </c>
      <c r="C5418" s="389">
        <v>60</v>
      </c>
      <c r="D5418" s="390" t="s">
        <v>1150</v>
      </c>
      <c r="E5418" s="196"/>
      <c r="F5418" s="196"/>
      <c r="G5418" s="406"/>
      <c r="H5418" s="407"/>
      <c r="I5418" s="196"/>
      <c r="J5418" s="404"/>
      <c r="AX5418" s="117"/>
      <c r="AY5418" s="117"/>
      <c r="AZ5418" s="117"/>
      <c r="BA5418" s="117"/>
      <c r="BB5418" s="117"/>
      <c r="BC5418" s="117"/>
      <c r="BD5418" s="117"/>
    </row>
    <row r="5419" spans="1:56" ht="15">
      <c r="A5419" s="114"/>
      <c r="B5419" s="362"/>
      <c r="C5419" s="196"/>
      <c r="D5419" s="196"/>
      <c r="E5419" s="196"/>
      <c r="F5419" s="196"/>
      <c r="G5419" s="406"/>
      <c r="H5419" s="407"/>
      <c r="I5419" s="362"/>
      <c r="J5419" s="405"/>
      <c r="AX5419" s="117"/>
      <c r="AY5419" s="117"/>
      <c r="AZ5419" s="117"/>
      <c r="BA5419" s="117"/>
      <c r="BB5419" s="117"/>
      <c r="BC5419" s="117"/>
      <c r="BD5419" s="117"/>
    </row>
    <row r="5420" spans="1:56" ht="15">
      <c r="A5420" s="114"/>
      <c r="B5420" s="388" t="s">
        <v>1114</v>
      </c>
      <c r="C5420" s="389">
        <v>0.5</v>
      </c>
      <c r="D5420" s="390" t="s">
        <v>10</v>
      </c>
      <c r="E5420" s="288" t="s">
        <v>1120</v>
      </c>
      <c r="F5420" s="196"/>
      <c r="G5420" s="406"/>
      <c r="H5420" s="407"/>
      <c r="I5420" s="114"/>
      <c r="J5420" s="405"/>
      <c r="AX5420" s="117"/>
      <c r="AY5420" s="117"/>
      <c r="AZ5420" s="117"/>
      <c r="BA5420" s="117"/>
      <c r="BB5420" s="117"/>
      <c r="BC5420" s="117"/>
      <c r="BD5420" s="117"/>
    </row>
    <row r="5421" spans="1:56" ht="15">
      <c r="A5421" s="114"/>
      <c r="B5421" s="388" t="s">
        <v>1114</v>
      </c>
      <c r="C5421" s="389">
        <v>0.1</v>
      </c>
      <c r="D5421" s="390" t="s">
        <v>10</v>
      </c>
      <c r="E5421" s="288" t="s">
        <v>1121</v>
      </c>
      <c r="F5421" s="196"/>
      <c r="G5421" s="392"/>
      <c r="H5421" s="393"/>
      <c r="I5421" s="196"/>
      <c r="J5421" s="405"/>
      <c r="AX5421" s="117"/>
      <c r="AY5421" s="117"/>
      <c r="AZ5421" s="117"/>
      <c r="BA5421" s="117"/>
      <c r="BB5421" s="117"/>
      <c r="BC5421" s="117"/>
      <c r="BD5421" s="117"/>
    </row>
    <row r="5422" spans="1:56" ht="15">
      <c r="A5422" s="114"/>
      <c r="B5422" s="362"/>
      <c r="C5422" s="362"/>
      <c r="D5422" s="362"/>
      <c r="E5422" s="362"/>
      <c r="F5422" s="362"/>
      <c r="G5422" s="362"/>
      <c r="H5422" s="362"/>
      <c r="I5422" s="196"/>
      <c r="J5422" s="405"/>
      <c r="AX5422" s="117"/>
      <c r="AY5422" s="117"/>
      <c r="AZ5422" s="117"/>
      <c r="BA5422" s="117"/>
      <c r="BB5422" s="117"/>
      <c r="BC5422" s="117"/>
      <c r="BD5422" s="117"/>
    </row>
    <row r="5423" spans="1:56" ht="15">
      <c r="A5423" s="114"/>
      <c r="B5423" s="303" t="s">
        <v>1122</v>
      </c>
      <c r="C5423" s="362"/>
      <c r="D5423" s="362"/>
      <c r="E5423" s="362"/>
      <c r="F5423" s="362"/>
      <c r="G5423" s="196" t="s">
        <v>1131</v>
      </c>
      <c r="H5423" s="114"/>
      <c r="I5423" s="196"/>
      <c r="J5423" s="405"/>
      <c r="AX5423" s="117"/>
      <c r="AY5423" s="117"/>
      <c r="AZ5423" s="117"/>
      <c r="BA5423" s="117"/>
      <c r="BB5423" s="117"/>
      <c r="BC5423" s="117"/>
      <c r="BD5423" s="117"/>
    </row>
    <row r="5424" spans="1:56" ht="18">
      <c r="A5424" s="114"/>
      <c r="B5424" s="398" t="s">
        <v>1123</v>
      </c>
      <c r="C5424" s="172"/>
      <c r="D5424" s="173"/>
      <c r="E5424" s="397">
        <f>C5416*((H5417+H5416)/2)*(C5414+C5415+0.05)</f>
        <v>382.87012606610034</v>
      </c>
      <c r="F5424" s="390" t="s">
        <v>1124</v>
      </c>
      <c r="G5424" s="196"/>
      <c r="H5424" s="196"/>
      <c r="I5424" s="362"/>
      <c r="J5424" s="405"/>
      <c r="AX5424" s="117"/>
      <c r="AY5424" s="117"/>
      <c r="AZ5424" s="117"/>
      <c r="BA5424" s="117"/>
      <c r="BB5424" s="117"/>
      <c r="BC5424" s="117"/>
      <c r="BD5424" s="117"/>
    </row>
    <row r="5425" spans="1:56" ht="18">
      <c r="A5425" s="114"/>
      <c r="B5425" s="398" t="s">
        <v>1125</v>
      </c>
      <c r="C5425" s="172"/>
      <c r="D5425" s="173"/>
      <c r="E5425" s="400">
        <f>E5424-C5416*(C5412*C5413*C5415+C5412*C5413*0.05+C5410*C5411*C5414)</f>
        <v>363.80212606610036</v>
      </c>
      <c r="F5425" s="390" t="s">
        <v>1124</v>
      </c>
      <c r="G5425" s="196"/>
      <c r="H5425" s="196"/>
      <c r="I5425" s="196"/>
      <c r="J5425" s="405"/>
      <c r="AX5425" s="117"/>
      <c r="AY5425" s="117"/>
      <c r="AZ5425" s="117"/>
      <c r="BA5425" s="117"/>
      <c r="BB5425" s="117"/>
      <c r="BC5425" s="117"/>
      <c r="BD5425" s="117"/>
    </row>
    <row r="5426" spans="1:56" ht="15">
      <c r="A5426" s="114"/>
      <c r="B5426" s="398" t="s">
        <v>1126</v>
      </c>
      <c r="C5426" s="172"/>
      <c r="D5426" s="173"/>
      <c r="E5426" s="400">
        <f>((C5412+2*C5421)*(C5413+2*C5421))*C5416</f>
        <v>21</v>
      </c>
      <c r="F5426" s="390" t="s">
        <v>13</v>
      </c>
      <c r="G5426" s="362"/>
      <c r="H5426" s="362"/>
      <c r="I5426" s="362"/>
      <c r="J5426" s="405"/>
      <c r="AX5426" s="117"/>
      <c r="AY5426" s="117"/>
      <c r="AZ5426" s="117"/>
      <c r="BA5426" s="117"/>
      <c r="BB5426" s="117"/>
      <c r="BC5426" s="117"/>
      <c r="BD5426" s="117"/>
    </row>
    <row r="5427" spans="1:56" ht="15">
      <c r="A5427" s="114"/>
      <c r="B5427" s="362"/>
      <c r="C5427" s="362"/>
      <c r="D5427" s="362"/>
      <c r="E5427" s="401"/>
      <c r="F5427" s="196"/>
      <c r="G5427" s="362"/>
      <c r="H5427" s="362"/>
      <c r="I5427" s="362"/>
      <c r="J5427" s="196"/>
      <c r="AX5427" s="117"/>
      <c r="AY5427" s="117"/>
      <c r="AZ5427" s="117"/>
      <c r="BA5427" s="117"/>
      <c r="BB5427" s="117"/>
      <c r="BC5427" s="117"/>
      <c r="BD5427" s="117"/>
    </row>
    <row r="5428" spans="1:56" ht="15">
      <c r="A5428" s="114"/>
      <c r="B5428" s="303" t="s">
        <v>1162</v>
      </c>
      <c r="C5428" s="362"/>
      <c r="D5428" s="362"/>
      <c r="E5428" s="410"/>
      <c r="F5428" s="362"/>
      <c r="G5428" s="362"/>
      <c r="H5428" s="362"/>
      <c r="I5428" s="362"/>
      <c r="J5428" s="196"/>
      <c r="AX5428" s="117"/>
      <c r="AY5428" s="117"/>
      <c r="AZ5428" s="117"/>
      <c r="BA5428" s="117"/>
      <c r="BB5428" s="117"/>
      <c r="BC5428" s="117"/>
      <c r="BD5428" s="117"/>
    </row>
    <row r="5429" spans="1:56" ht="15">
      <c r="A5429" s="114"/>
      <c r="B5429" s="398" t="s">
        <v>1152</v>
      </c>
      <c r="C5429" s="398"/>
      <c r="D5429" s="366"/>
      <c r="E5429" s="411">
        <v>1</v>
      </c>
      <c r="F5429" s="390" t="s">
        <v>1153</v>
      </c>
      <c r="G5429" s="362"/>
      <c r="H5429" s="362"/>
      <c r="I5429" s="362"/>
      <c r="J5429" s="196"/>
      <c r="AX5429" s="117"/>
      <c r="AY5429" s="117"/>
      <c r="AZ5429" s="117"/>
      <c r="BA5429" s="117"/>
      <c r="BB5429" s="117"/>
      <c r="BC5429" s="117"/>
      <c r="BD5429" s="117"/>
    </row>
    <row r="5430" spans="1:56" ht="15">
      <c r="A5430" s="114"/>
      <c r="B5430" s="399" t="s">
        <v>1154</v>
      </c>
      <c r="C5430" s="31"/>
      <c r="D5430" s="32"/>
      <c r="E5430" s="412">
        <f>C5416*E5429</f>
        <v>21</v>
      </c>
      <c r="F5430" s="390" t="s">
        <v>1153</v>
      </c>
      <c r="G5430" s="362"/>
      <c r="H5430" s="362"/>
      <c r="I5430" s="362"/>
      <c r="J5430" s="196"/>
      <c r="AX5430" s="117"/>
      <c r="AY5430" s="117"/>
      <c r="AZ5430" s="117"/>
      <c r="BA5430" s="117"/>
      <c r="BB5430" s="117"/>
      <c r="BC5430" s="117"/>
      <c r="BD5430" s="117"/>
    </row>
    <row r="5431" spans="1:56" ht="15">
      <c r="A5431" s="114"/>
      <c r="B5431" s="398" t="s">
        <v>1155</v>
      </c>
      <c r="C5431" s="21"/>
      <c r="D5431" s="413"/>
      <c r="E5431" s="411">
        <v>350</v>
      </c>
      <c r="F5431" s="390" t="s">
        <v>1156</v>
      </c>
      <c r="G5431" s="362"/>
      <c r="H5431" s="414"/>
      <c r="I5431" s="362"/>
      <c r="J5431" s="196"/>
      <c r="AX5431" s="117"/>
      <c r="AY5431" s="117"/>
      <c r="AZ5431" s="117"/>
      <c r="BA5431" s="117"/>
      <c r="BB5431" s="117"/>
      <c r="BC5431" s="117"/>
      <c r="BD5431" s="117"/>
    </row>
    <row r="5432" spans="1:56" ht="15">
      <c r="A5432" s="114"/>
      <c r="B5432" s="398" t="s">
        <v>1157</v>
      </c>
      <c r="C5432" s="21"/>
      <c r="D5432" s="413"/>
      <c r="E5432" s="418">
        <v>29</v>
      </c>
      <c r="F5432" s="390" t="s">
        <v>10</v>
      </c>
      <c r="G5432" s="362"/>
      <c r="H5432" s="6"/>
      <c r="I5432" s="362"/>
      <c r="J5432" s="196"/>
      <c r="AX5432" s="117"/>
      <c r="AY5432" s="117"/>
      <c r="AZ5432" s="117"/>
      <c r="BA5432" s="117"/>
      <c r="BB5432" s="117"/>
      <c r="BC5432" s="117"/>
      <c r="BD5432" s="117"/>
    </row>
    <row r="5433" spans="1:56" ht="15">
      <c r="A5433" s="114"/>
      <c r="B5433" s="398" t="s">
        <v>1158</v>
      </c>
      <c r="C5433" s="21"/>
      <c r="D5433" s="413"/>
      <c r="E5433" s="412">
        <f>E5430*E5432</f>
        <v>609</v>
      </c>
      <c r="F5433" s="390" t="s">
        <v>10</v>
      </c>
      <c r="G5433" s="362"/>
      <c r="H5433" s="362"/>
      <c r="I5433" s="362"/>
      <c r="J5433" s="362"/>
      <c r="AX5433" s="117"/>
      <c r="AY5433" s="117"/>
      <c r="AZ5433" s="117"/>
      <c r="BA5433" s="117"/>
      <c r="BB5433" s="117"/>
      <c r="BC5433" s="117"/>
      <c r="BD5433" s="117"/>
    </row>
    <row r="5434" spans="1:56" ht="15">
      <c r="A5434" s="114"/>
      <c r="B5434" s="362"/>
      <c r="C5434" s="362"/>
      <c r="D5434" s="362"/>
      <c r="E5434" s="410"/>
      <c r="F5434" s="362"/>
      <c r="G5434" s="362"/>
      <c r="H5434" s="362"/>
      <c r="I5434" s="362"/>
      <c r="J5434" s="196"/>
      <c r="AX5434" s="117"/>
      <c r="AY5434" s="117"/>
      <c r="AZ5434" s="117"/>
      <c r="BA5434" s="117"/>
      <c r="BB5434" s="117"/>
      <c r="BC5434" s="117"/>
      <c r="BD5434" s="117"/>
    </row>
    <row r="5435" spans="1:56" ht="15">
      <c r="A5435" s="114"/>
      <c r="B5435" s="303" t="s">
        <v>1160</v>
      </c>
      <c r="C5435" s="362"/>
      <c r="D5435" s="362"/>
      <c r="E5435" s="410"/>
      <c r="F5435" s="362"/>
      <c r="G5435" s="362"/>
      <c r="H5435" s="362"/>
      <c r="I5435" s="362"/>
      <c r="J5435" s="362"/>
      <c r="AX5435" s="117"/>
      <c r="AY5435" s="117"/>
      <c r="AZ5435" s="117"/>
      <c r="BA5435" s="117"/>
      <c r="BB5435" s="117"/>
      <c r="BC5435" s="117"/>
      <c r="BD5435" s="117"/>
    </row>
    <row r="5436" spans="1:56" ht="18">
      <c r="A5436" s="114"/>
      <c r="B5436" s="398" t="s">
        <v>1128</v>
      </c>
      <c r="C5436" s="172"/>
      <c r="D5436" s="173"/>
      <c r="E5436" s="402">
        <f>E5426*0.05</f>
        <v>1.05</v>
      </c>
      <c r="F5436" s="390" t="s">
        <v>1124</v>
      </c>
      <c r="G5436" s="362"/>
      <c r="H5436" s="362"/>
      <c r="I5436" s="362"/>
      <c r="J5436" s="362"/>
      <c r="AX5436" s="117"/>
      <c r="AY5436" s="117"/>
      <c r="AZ5436" s="117"/>
      <c r="BA5436" s="117"/>
      <c r="BB5436" s="117"/>
      <c r="BC5436" s="117"/>
      <c r="BD5436" s="117"/>
    </row>
    <row r="5437" spans="1:56" ht="15">
      <c r="A5437" s="114"/>
      <c r="B5437" s="398" t="s">
        <v>1129</v>
      </c>
      <c r="C5437" s="172"/>
      <c r="D5437" s="173"/>
      <c r="E5437" s="397">
        <f>(2*(C5412+C5413)*C5415)*C5416</f>
        <v>87.36</v>
      </c>
      <c r="F5437" s="390" t="s">
        <v>13</v>
      </c>
      <c r="G5437" s="362"/>
      <c r="H5437" s="362"/>
      <c r="I5437" s="362"/>
      <c r="J5437" s="362"/>
      <c r="AX5437" s="117"/>
      <c r="AY5437" s="117"/>
      <c r="AZ5437" s="117"/>
      <c r="BA5437" s="117"/>
      <c r="BB5437" s="117"/>
      <c r="BC5437" s="117"/>
      <c r="BD5437" s="117"/>
    </row>
    <row r="5438" spans="1:56" ht="18">
      <c r="A5438" s="114"/>
      <c r="B5438" s="398" t="s">
        <v>1130</v>
      </c>
      <c r="C5438" s="172"/>
      <c r="D5438" s="173"/>
      <c r="E5438" s="402">
        <f>(C5412*C5413*C5415)*C5416</f>
        <v>17.472000000000005</v>
      </c>
      <c r="F5438" s="390" t="s">
        <v>1124</v>
      </c>
      <c r="G5438" s="362"/>
      <c r="H5438" s="362"/>
      <c r="I5438" s="362"/>
      <c r="J5438" s="362"/>
      <c r="AX5438" s="117"/>
      <c r="AY5438" s="117"/>
      <c r="AZ5438" s="117"/>
      <c r="BA5438" s="117"/>
      <c r="BB5438" s="117"/>
      <c r="BC5438" s="117"/>
      <c r="BD5438" s="117"/>
    </row>
    <row r="5439" spans="1:56">
      <c r="A5439" s="114"/>
      <c r="B5439" s="115"/>
      <c r="C5439" s="115"/>
      <c r="D5439" s="115"/>
      <c r="E5439" s="115"/>
      <c r="F5439" s="115"/>
      <c r="G5439" s="115"/>
      <c r="H5439" s="115"/>
      <c r="I5439" s="115"/>
      <c r="J5439" s="362"/>
      <c r="AX5439" s="117"/>
      <c r="AY5439" s="117"/>
      <c r="AZ5439" s="117"/>
      <c r="BA5439" s="117"/>
      <c r="BB5439" s="117"/>
      <c r="BC5439" s="117"/>
      <c r="BD5439" s="117"/>
    </row>
    <row r="5440" spans="1:56">
      <c r="A5440" s="114"/>
      <c r="B5440" s="115"/>
      <c r="C5440" s="115"/>
      <c r="D5440" s="115"/>
      <c r="E5440" s="115"/>
      <c r="F5440" s="115"/>
      <c r="G5440" s="115"/>
      <c r="H5440" s="115"/>
      <c r="I5440" s="115"/>
      <c r="J5440" s="415"/>
      <c r="AX5440" s="117"/>
      <c r="AY5440" s="117"/>
      <c r="AZ5440" s="117"/>
      <c r="BA5440" s="117"/>
      <c r="BB5440" s="117"/>
      <c r="BC5440" s="117"/>
      <c r="BD5440" s="117"/>
    </row>
    <row r="5441" spans="1:56">
      <c r="A5441" s="114"/>
      <c r="B5441" s="115"/>
      <c r="C5441" s="115"/>
      <c r="D5441" s="115"/>
      <c r="E5441" s="115"/>
      <c r="F5441" s="115"/>
      <c r="G5441" s="115"/>
      <c r="H5441" s="115"/>
      <c r="I5441" s="115"/>
      <c r="J5441" s="362"/>
      <c r="AX5441" s="117"/>
      <c r="AY5441" s="117"/>
      <c r="AZ5441" s="117"/>
      <c r="BA5441" s="117"/>
      <c r="BB5441" s="117"/>
      <c r="BC5441" s="117"/>
      <c r="BD5441" s="117"/>
    </row>
    <row r="5442" spans="1:56">
      <c r="A5442"/>
      <c r="B5442" s="385" t="s">
        <v>2255</v>
      </c>
      <c r="C5442" s="362"/>
      <c r="D5442" s="362"/>
      <c r="E5442" s="362"/>
      <c r="F5442" s="362"/>
      <c r="G5442" s="115"/>
      <c r="H5442" s="115"/>
      <c r="I5442" s="362"/>
      <c r="J5442" s="362"/>
      <c r="AX5442" s="117"/>
      <c r="AY5442" s="117"/>
      <c r="AZ5442" s="117"/>
      <c r="BA5442" s="117"/>
      <c r="BB5442" s="117"/>
      <c r="BC5442" s="117"/>
      <c r="BD5442" s="117"/>
    </row>
    <row r="5443" spans="1:56" ht="15">
      <c r="A5443" s="114"/>
      <c r="B5443" s="362"/>
      <c r="C5443" s="362"/>
      <c r="D5443" s="362"/>
      <c r="E5443" s="362"/>
      <c r="F5443" s="404"/>
      <c r="G5443" s="196"/>
      <c r="H5443" s="196"/>
      <c r="I5443" s="404"/>
      <c r="J5443" s="362"/>
      <c r="AX5443" s="117"/>
      <c r="AY5443" s="117"/>
      <c r="AZ5443" s="117"/>
      <c r="BA5443" s="117"/>
      <c r="BB5443" s="117"/>
      <c r="BC5443" s="117"/>
      <c r="BD5443" s="117"/>
    </row>
    <row r="5444" spans="1:56" ht="18">
      <c r="A5444" s="114"/>
      <c r="B5444" s="388" t="s">
        <v>1141</v>
      </c>
      <c r="C5444" s="389">
        <v>0.2</v>
      </c>
      <c r="D5444" s="390" t="s">
        <v>10</v>
      </c>
      <c r="E5444" s="196"/>
      <c r="F5444" s="405"/>
      <c r="G5444" s="196"/>
      <c r="H5444" s="196"/>
      <c r="I5444" s="405" t="s">
        <v>1143</v>
      </c>
      <c r="J5444" s="362"/>
      <c r="AX5444" s="117"/>
      <c r="AY5444" s="117"/>
      <c r="AZ5444" s="117"/>
      <c r="BA5444" s="117"/>
      <c r="BB5444" s="117"/>
      <c r="BC5444" s="117"/>
      <c r="BD5444" s="117"/>
    </row>
    <row r="5445" spans="1:56" ht="15">
      <c r="A5445" s="114"/>
      <c r="B5445" s="388" t="s">
        <v>1144</v>
      </c>
      <c r="C5445" s="389">
        <v>0.75</v>
      </c>
      <c r="D5445" s="390" t="s">
        <v>10</v>
      </c>
      <c r="E5445" s="196"/>
      <c r="F5445" s="405"/>
      <c r="G5445" s="362"/>
      <c r="H5445" s="362"/>
      <c r="I5445" s="405"/>
      <c r="J5445" s="362"/>
      <c r="AX5445" s="117"/>
      <c r="AY5445" s="117"/>
      <c r="AZ5445" s="117"/>
      <c r="BA5445" s="117"/>
      <c r="BB5445" s="117"/>
      <c r="BC5445" s="117"/>
      <c r="BD5445" s="117"/>
    </row>
    <row r="5446" spans="1:56" ht="15">
      <c r="A5446" s="114"/>
      <c r="B5446" s="388" t="s">
        <v>1145</v>
      </c>
      <c r="C5446" s="389">
        <v>0.8</v>
      </c>
      <c r="D5446" s="390" t="s">
        <v>10</v>
      </c>
      <c r="E5446" s="196"/>
      <c r="F5446" s="405"/>
      <c r="G5446" s="404"/>
      <c r="H5446" s="404"/>
      <c r="I5446" s="405"/>
      <c r="J5446" s="362"/>
      <c r="AX5446" s="117"/>
      <c r="AY5446" s="117"/>
      <c r="AZ5446" s="117"/>
      <c r="BA5446" s="117"/>
      <c r="BB5446" s="117"/>
      <c r="BC5446" s="117"/>
      <c r="BD5446" s="117"/>
    </row>
    <row r="5447" spans="1:56" ht="18">
      <c r="A5447" s="114"/>
      <c r="B5447" s="388" t="s">
        <v>1146</v>
      </c>
      <c r="C5447" s="389">
        <v>0.8</v>
      </c>
      <c r="D5447" s="390" t="s">
        <v>10</v>
      </c>
      <c r="E5447" s="196"/>
      <c r="F5447" s="405"/>
      <c r="G5447" s="406" t="s">
        <v>1142</v>
      </c>
      <c r="H5447" s="407">
        <f>C5444*C5445</f>
        <v>0.15000000000000002</v>
      </c>
      <c r="I5447" s="405" t="s">
        <v>1143</v>
      </c>
      <c r="J5447" s="362"/>
      <c r="AX5447" s="117"/>
      <c r="AY5447" s="117"/>
      <c r="AZ5447" s="117"/>
      <c r="BA5447" s="117"/>
      <c r="BB5447" s="117"/>
      <c r="BC5447" s="117"/>
      <c r="BD5447" s="117"/>
    </row>
    <row r="5448" spans="1:56" ht="18">
      <c r="A5448" s="114"/>
      <c r="B5448" s="388" t="s">
        <v>1112</v>
      </c>
      <c r="C5448" s="389">
        <v>0.55000000000000004</v>
      </c>
      <c r="D5448" s="390" t="s">
        <v>10</v>
      </c>
      <c r="E5448" s="196"/>
      <c r="F5448" s="405"/>
      <c r="G5448" s="406" t="e">
        <f>TEXT(C5452,"tg 0°=")</f>
        <v>#VALUE!</v>
      </c>
      <c r="H5448" s="408">
        <f>TAN(3.14159265359*C5452/180)</f>
        <v>1.732050807569153</v>
      </c>
      <c r="I5448" s="405" t="s">
        <v>1143</v>
      </c>
      <c r="J5448" s="114"/>
      <c r="AW5448" s="117"/>
      <c r="AX5448" s="117"/>
      <c r="AY5448" s="117"/>
      <c r="AZ5448" s="117"/>
      <c r="BA5448" s="117"/>
      <c r="BB5448" s="117"/>
      <c r="BC5448" s="117"/>
      <c r="BD5448" s="117"/>
    </row>
    <row r="5449" spans="1:56" ht="15">
      <c r="A5449" s="114"/>
      <c r="B5449" s="388" t="s">
        <v>1113</v>
      </c>
      <c r="C5449" s="389">
        <v>1.3</v>
      </c>
      <c r="D5449" s="390" t="s">
        <v>10</v>
      </c>
      <c r="E5449" s="196"/>
      <c r="F5449" s="405"/>
      <c r="G5449" s="406"/>
      <c r="H5449" s="407"/>
      <c r="I5449" s="405"/>
      <c r="J5449" s="114"/>
      <c r="AW5449" s="117"/>
      <c r="AX5449" s="117"/>
      <c r="AY5449" s="117"/>
      <c r="AZ5449" s="117"/>
      <c r="BA5449" s="117"/>
      <c r="BB5449" s="117"/>
      <c r="BC5449" s="117"/>
      <c r="BD5449" s="117"/>
    </row>
    <row r="5450" spans="1:56" ht="15">
      <c r="A5450" s="114"/>
      <c r="B5450" s="388" t="s">
        <v>1117</v>
      </c>
      <c r="C5450" s="391">
        <v>11</v>
      </c>
      <c r="D5450" s="390" t="s">
        <v>1118</v>
      </c>
      <c r="E5450" s="196"/>
      <c r="F5450" s="405"/>
      <c r="G5450" s="406" t="s">
        <v>1142</v>
      </c>
      <c r="H5450" s="409">
        <f>(C5446+2*C5454+((C5448+C5449+0.05)/H5448)*2)*(C5447+2*C5454+((C5448+C5449+0.05)/H5448)*2)</f>
        <v>15.951485015844629</v>
      </c>
      <c r="I5450" s="405"/>
      <c r="J5450" s="114"/>
      <c r="AW5450" s="117"/>
      <c r="AX5450" s="117"/>
      <c r="AY5450" s="117"/>
      <c r="AZ5450" s="117"/>
      <c r="BA5450" s="117"/>
      <c r="BB5450" s="117"/>
      <c r="BC5450" s="117"/>
      <c r="BD5450" s="117"/>
    </row>
    <row r="5451" spans="1:56" customFormat="1" ht="15">
      <c r="A5451" s="114"/>
      <c r="B5451" s="196" t="s">
        <v>1148</v>
      </c>
      <c r="C5451" s="393"/>
      <c r="D5451" s="196"/>
      <c r="E5451" s="196"/>
      <c r="F5451" s="405"/>
      <c r="G5451" s="406" t="s">
        <v>1147</v>
      </c>
      <c r="H5451" s="409">
        <f>(C5446+2*C5454)*(C5447+2*C5454)</f>
        <v>3.24</v>
      </c>
      <c r="I5451" s="405"/>
      <c r="J5451" s="196"/>
    </row>
    <row r="5452" spans="1:56" ht="15">
      <c r="A5452" s="114"/>
      <c r="B5452" s="388" t="s">
        <v>1149</v>
      </c>
      <c r="C5452" s="389">
        <v>60</v>
      </c>
      <c r="D5452" s="390" t="s">
        <v>1150</v>
      </c>
      <c r="E5452" s="196"/>
      <c r="F5452" s="196"/>
      <c r="G5452" s="406"/>
      <c r="H5452" s="407"/>
      <c r="I5452" s="196"/>
      <c r="J5452" s="114"/>
      <c r="AX5452" s="117"/>
      <c r="AY5452" s="117"/>
      <c r="AZ5452" s="117"/>
      <c r="BA5452" s="117"/>
      <c r="BB5452" s="117"/>
      <c r="BC5452" s="117"/>
      <c r="BD5452" s="117"/>
    </row>
    <row r="5453" spans="1:56" ht="15">
      <c r="A5453" s="114"/>
      <c r="B5453" s="362"/>
      <c r="C5453" s="196"/>
      <c r="D5453" s="196"/>
      <c r="E5453" s="196"/>
      <c r="F5453" s="196"/>
      <c r="G5453" s="406"/>
      <c r="H5453" s="407"/>
      <c r="I5453" s="362"/>
      <c r="J5453" s="114"/>
      <c r="AX5453" s="117"/>
      <c r="AY5453" s="117"/>
      <c r="AZ5453" s="117"/>
      <c r="BA5453" s="117"/>
      <c r="BB5453" s="117"/>
      <c r="BC5453" s="117"/>
      <c r="BD5453" s="117"/>
    </row>
    <row r="5454" spans="1:56" ht="15">
      <c r="A5454" s="114"/>
      <c r="B5454" s="388" t="s">
        <v>1114</v>
      </c>
      <c r="C5454" s="389">
        <v>0.5</v>
      </c>
      <c r="D5454" s="390" t="s">
        <v>10</v>
      </c>
      <c r="E5454" s="288" t="s">
        <v>1120</v>
      </c>
      <c r="F5454" s="196"/>
      <c r="G5454" s="406"/>
      <c r="H5454" s="407"/>
      <c r="I5454" s="114"/>
      <c r="J5454" s="114"/>
      <c r="AX5454" s="117"/>
      <c r="AY5454" s="117"/>
      <c r="AZ5454" s="117"/>
      <c r="BA5454" s="117"/>
      <c r="BB5454" s="117"/>
      <c r="BC5454" s="117"/>
      <c r="BD5454" s="117"/>
    </row>
    <row r="5455" spans="1:56" ht="15">
      <c r="A5455" s="114"/>
      <c r="B5455" s="388" t="s">
        <v>1114</v>
      </c>
      <c r="C5455" s="389">
        <v>0.1</v>
      </c>
      <c r="D5455" s="390" t="s">
        <v>10</v>
      </c>
      <c r="E5455" s="288" t="s">
        <v>1121</v>
      </c>
      <c r="F5455" s="196"/>
      <c r="G5455" s="392"/>
      <c r="H5455" s="393"/>
      <c r="I5455" s="196"/>
      <c r="J5455" s="114"/>
      <c r="AX5455" s="117"/>
      <c r="AY5455" s="117"/>
      <c r="AZ5455" s="117"/>
      <c r="BA5455" s="117"/>
      <c r="BB5455" s="117"/>
      <c r="BC5455" s="117"/>
      <c r="BD5455" s="117"/>
    </row>
    <row r="5456" spans="1:56" ht="15">
      <c r="A5456" s="114"/>
      <c r="B5456" s="362"/>
      <c r="C5456" s="362"/>
      <c r="D5456" s="362"/>
      <c r="E5456" s="362"/>
      <c r="F5456" s="362"/>
      <c r="G5456" s="362"/>
      <c r="H5456" s="362"/>
      <c r="I5456" s="196"/>
      <c r="J5456" s="114"/>
      <c r="AX5456" s="117"/>
      <c r="AY5456" s="117"/>
      <c r="AZ5456" s="117"/>
      <c r="BA5456" s="117"/>
      <c r="BB5456" s="117"/>
      <c r="BC5456" s="117"/>
      <c r="BD5456" s="117"/>
    </row>
    <row r="5457" spans="1:56" ht="15">
      <c r="A5457" s="114"/>
      <c r="B5457" s="303" t="s">
        <v>1122</v>
      </c>
      <c r="C5457" s="362"/>
      <c r="D5457" s="362"/>
      <c r="E5457" s="362"/>
      <c r="F5457" s="362"/>
      <c r="G5457" s="196" t="s">
        <v>1131</v>
      </c>
      <c r="H5457" s="114"/>
      <c r="I5457" s="196"/>
      <c r="J5457" s="114"/>
      <c r="AX5457" s="117"/>
      <c r="AY5457" s="117"/>
      <c r="AZ5457" s="117"/>
      <c r="BA5457" s="117"/>
      <c r="BB5457" s="117"/>
      <c r="BC5457" s="117"/>
      <c r="BD5457" s="117"/>
    </row>
    <row r="5458" spans="1:56" ht="18">
      <c r="A5458" s="114"/>
      <c r="B5458" s="398" t="s">
        <v>1123</v>
      </c>
      <c r="C5458" s="172"/>
      <c r="D5458" s="173"/>
      <c r="E5458" s="397">
        <f>C5450*((H5451+H5450)/2)*(C5448+C5449+0.05)</f>
        <v>200.55101841557638</v>
      </c>
      <c r="F5458" s="390" t="s">
        <v>1124</v>
      </c>
      <c r="G5458" s="196"/>
      <c r="H5458" s="196"/>
      <c r="I5458" s="362"/>
      <c r="J5458" s="114"/>
      <c r="AX5458" s="117"/>
      <c r="AY5458" s="117"/>
      <c r="AZ5458" s="117"/>
      <c r="BA5458" s="117"/>
      <c r="BB5458" s="117"/>
      <c r="BC5458" s="117"/>
      <c r="BD5458" s="117"/>
    </row>
    <row r="5459" spans="1:56" ht="18">
      <c r="A5459" s="114"/>
      <c r="B5459" s="398" t="s">
        <v>1125</v>
      </c>
      <c r="C5459" s="172"/>
      <c r="D5459" s="173"/>
      <c r="E5459" s="400">
        <f>E5458-C5450*(C5446*C5447*C5449+C5446*C5447*0.05+C5444*C5445*C5448)</f>
        <v>190.13951841557639</v>
      </c>
      <c r="F5459" s="390" t="s">
        <v>1124</v>
      </c>
      <c r="G5459" s="196"/>
      <c r="H5459" s="196"/>
      <c r="I5459" s="196"/>
      <c r="J5459" s="114"/>
      <c r="AX5459" s="117"/>
      <c r="AY5459" s="117"/>
      <c r="AZ5459" s="117"/>
      <c r="BA5459" s="117"/>
      <c r="BB5459" s="117"/>
      <c r="BC5459" s="117"/>
      <c r="BD5459" s="117"/>
    </row>
    <row r="5460" spans="1:56" ht="15">
      <c r="A5460" s="114"/>
      <c r="B5460" s="398" t="s">
        <v>1126</v>
      </c>
      <c r="C5460" s="172"/>
      <c r="D5460" s="173"/>
      <c r="E5460" s="400">
        <f>((C5446+2*C5455)*(C5447+2*C5455))*C5450</f>
        <v>11</v>
      </c>
      <c r="F5460" s="390" t="s">
        <v>13</v>
      </c>
      <c r="G5460" s="362"/>
      <c r="H5460" s="362"/>
      <c r="I5460" s="362"/>
      <c r="J5460" s="114"/>
      <c r="AX5460" s="117"/>
      <c r="AY5460" s="117"/>
      <c r="AZ5460" s="117"/>
      <c r="BA5460" s="117"/>
      <c r="BB5460" s="117"/>
      <c r="BC5460" s="117"/>
      <c r="BD5460" s="117"/>
    </row>
    <row r="5461" spans="1:56" ht="15">
      <c r="A5461" s="114"/>
      <c r="B5461" s="362"/>
      <c r="C5461" s="362"/>
      <c r="D5461" s="362"/>
      <c r="E5461" s="401"/>
      <c r="F5461" s="196"/>
      <c r="G5461" s="362"/>
      <c r="H5461" s="362"/>
      <c r="I5461" s="362"/>
      <c r="J5461" s="114"/>
      <c r="AX5461" s="117"/>
      <c r="AY5461" s="117"/>
      <c r="AZ5461" s="117"/>
      <c r="BA5461" s="117"/>
      <c r="BB5461" s="117"/>
      <c r="BC5461" s="117"/>
      <c r="BD5461" s="117"/>
    </row>
    <row r="5462" spans="1:56" ht="15">
      <c r="A5462" s="114"/>
      <c r="B5462" s="303" t="s">
        <v>1162</v>
      </c>
      <c r="C5462" s="362"/>
      <c r="D5462" s="362"/>
      <c r="E5462" s="410"/>
      <c r="F5462" s="362"/>
      <c r="G5462" s="362"/>
      <c r="H5462" s="362"/>
      <c r="I5462" s="362"/>
      <c r="J5462" s="114"/>
      <c r="AX5462" s="117"/>
      <c r="AY5462" s="117"/>
      <c r="AZ5462" s="117"/>
      <c r="BA5462" s="117"/>
      <c r="BB5462" s="117"/>
      <c r="BC5462" s="117"/>
      <c r="BD5462" s="117"/>
    </row>
    <row r="5463" spans="1:56" ht="15">
      <c r="A5463" s="114"/>
      <c r="B5463" s="398" t="s">
        <v>1152</v>
      </c>
      <c r="C5463" s="398"/>
      <c r="D5463" s="366"/>
      <c r="E5463" s="411">
        <v>1</v>
      </c>
      <c r="F5463" s="390" t="s">
        <v>1153</v>
      </c>
      <c r="G5463" s="362"/>
      <c r="H5463" s="362"/>
      <c r="I5463" s="362"/>
      <c r="J5463" s="196"/>
      <c r="AX5463" s="117"/>
      <c r="AY5463" s="117"/>
      <c r="AZ5463" s="117"/>
      <c r="BA5463" s="117"/>
      <c r="BB5463" s="117"/>
      <c r="BC5463" s="117"/>
      <c r="BD5463" s="117"/>
    </row>
    <row r="5464" spans="1:56" ht="15">
      <c r="A5464" s="114"/>
      <c r="B5464" s="399" t="s">
        <v>1154</v>
      </c>
      <c r="C5464" s="31"/>
      <c r="D5464" s="32"/>
      <c r="E5464" s="412">
        <f>C5450*E5463</f>
        <v>11</v>
      </c>
      <c r="F5464" s="390" t="s">
        <v>1153</v>
      </c>
      <c r="G5464" s="362"/>
      <c r="H5464" s="362"/>
      <c r="I5464" s="362"/>
      <c r="J5464" s="196"/>
      <c r="AX5464" s="117"/>
      <c r="AY5464" s="117"/>
      <c r="AZ5464" s="117"/>
      <c r="BA5464" s="117"/>
      <c r="BB5464" s="117"/>
      <c r="BC5464" s="117"/>
      <c r="BD5464" s="117"/>
    </row>
    <row r="5465" spans="1:56" ht="15">
      <c r="A5465" s="114"/>
      <c r="B5465" s="398" t="s">
        <v>1155</v>
      </c>
      <c r="C5465" s="21"/>
      <c r="D5465" s="413"/>
      <c r="E5465" s="411">
        <v>350</v>
      </c>
      <c r="F5465" s="390" t="s">
        <v>1156</v>
      </c>
      <c r="G5465" s="362"/>
      <c r="H5465" s="414"/>
      <c r="I5465" s="362"/>
      <c r="J5465" s="196"/>
      <c r="AX5465" s="117"/>
      <c r="AY5465" s="117"/>
      <c r="AZ5465" s="117"/>
      <c r="BA5465" s="117"/>
      <c r="BB5465" s="117"/>
      <c r="BC5465" s="117"/>
      <c r="BD5465" s="117"/>
    </row>
    <row r="5466" spans="1:56" ht="15">
      <c r="A5466" s="114"/>
      <c r="B5466" s="398" t="s">
        <v>1157</v>
      </c>
      <c r="C5466" s="21"/>
      <c r="D5466" s="413"/>
      <c r="E5466" s="418">
        <v>29</v>
      </c>
      <c r="F5466" s="390" t="s">
        <v>10</v>
      </c>
      <c r="G5466" s="362"/>
      <c r="H5466" s="6"/>
      <c r="I5466" s="362"/>
      <c r="J5466" s="196"/>
      <c r="AX5466" s="117"/>
      <c r="AY5466" s="117"/>
      <c r="AZ5466" s="117"/>
      <c r="BA5466" s="117"/>
      <c r="BB5466" s="117"/>
      <c r="BC5466" s="117"/>
      <c r="BD5466" s="117"/>
    </row>
    <row r="5467" spans="1:56" ht="15">
      <c r="A5467" s="114"/>
      <c r="B5467" s="398" t="s">
        <v>1158</v>
      </c>
      <c r="C5467" s="21"/>
      <c r="D5467" s="413"/>
      <c r="E5467" s="412">
        <f>E5464*E5466</f>
        <v>319</v>
      </c>
      <c r="F5467" s="390" t="s">
        <v>10</v>
      </c>
      <c r="G5467" s="362"/>
      <c r="H5467" s="362"/>
      <c r="I5467" s="362"/>
      <c r="J5467" s="362"/>
      <c r="AX5467" s="117"/>
      <c r="AY5467" s="117"/>
      <c r="AZ5467" s="117"/>
      <c r="BA5467" s="117"/>
      <c r="BB5467" s="117"/>
      <c r="BC5467" s="117"/>
      <c r="BD5467" s="117"/>
    </row>
    <row r="5468" spans="1:56" ht="15">
      <c r="A5468" s="114"/>
      <c r="B5468" s="362"/>
      <c r="C5468" s="362"/>
      <c r="D5468" s="362"/>
      <c r="E5468" s="410"/>
      <c r="F5468" s="362"/>
      <c r="G5468" s="362"/>
      <c r="H5468" s="362"/>
      <c r="I5468" s="362"/>
      <c r="J5468" s="196"/>
      <c r="AX5468" s="117"/>
      <c r="AY5468" s="117"/>
      <c r="AZ5468" s="117"/>
      <c r="BA5468" s="117"/>
      <c r="BB5468" s="117"/>
      <c r="BC5468" s="117"/>
      <c r="BD5468" s="117"/>
    </row>
    <row r="5469" spans="1:56" ht="15">
      <c r="A5469" s="114"/>
      <c r="B5469" s="303" t="s">
        <v>1160</v>
      </c>
      <c r="C5469" s="362"/>
      <c r="D5469" s="362"/>
      <c r="E5469" s="410"/>
      <c r="F5469" s="362"/>
      <c r="G5469" s="362"/>
      <c r="H5469" s="362"/>
      <c r="I5469" s="362"/>
      <c r="J5469" s="362"/>
      <c r="AX5469" s="117"/>
      <c r="AY5469" s="117"/>
      <c r="AZ5469" s="117"/>
      <c r="BA5469" s="117"/>
      <c r="BB5469" s="117"/>
      <c r="BC5469" s="117"/>
      <c r="BD5469" s="117"/>
    </row>
    <row r="5470" spans="1:56" ht="18">
      <c r="A5470" s="114"/>
      <c r="B5470" s="398" t="s">
        <v>1128</v>
      </c>
      <c r="C5470" s="172"/>
      <c r="D5470" s="173"/>
      <c r="E5470" s="402">
        <f>E5460*0.05</f>
        <v>0.55000000000000004</v>
      </c>
      <c r="F5470" s="390" t="s">
        <v>1124</v>
      </c>
      <c r="G5470" s="362"/>
      <c r="H5470" s="362"/>
      <c r="I5470" s="362"/>
      <c r="J5470" s="362"/>
      <c r="AX5470" s="117"/>
      <c r="AY5470" s="117"/>
      <c r="AZ5470" s="117"/>
      <c r="BA5470" s="117"/>
      <c r="BB5470" s="117"/>
      <c r="BC5470" s="117"/>
      <c r="BD5470" s="117"/>
    </row>
    <row r="5471" spans="1:56" ht="15">
      <c r="A5471" s="114"/>
      <c r="B5471" s="398" t="s">
        <v>1129</v>
      </c>
      <c r="C5471" s="172"/>
      <c r="D5471" s="173"/>
      <c r="E5471" s="397">
        <f>(2*(C5446+C5447)*C5449)*C5450</f>
        <v>45.760000000000005</v>
      </c>
      <c r="F5471" s="390" t="s">
        <v>13</v>
      </c>
      <c r="G5471" s="362"/>
      <c r="H5471" s="362"/>
      <c r="I5471" s="362"/>
      <c r="J5471" s="362"/>
      <c r="AX5471" s="117"/>
      <c r="AY5471" s="117"/>
      <c r="AZ5471" s="117"/>
      <c r="BA5471" s="117"/>
      <c r="BB5471" s="117"/>
      <c r="BC5471" s="117"/>
      <c r="BD5471" s="117"/>
    </row>
    <row r="5472" spans="1:56" ht="18">
      <c r="A5472" s="114"/>
      <c r="B5472" s="398" t="s">
        <v>1130</v>
      </c>
      <c r="C5472" s="172"/>
      <c r="D5472" s="173"/>
      <c r="E5472" s="402">
        <f>(C5446*C5447*C5449)*C5450</f>
        <v>9.1520000000000028</v>
      </c>
      <c r="F5472" s="390" t="s">
        <v>1124</v>
      </c>
      <c r="G5472" s="362"/>
      <c r="H5472" s="362"/>
      <c r="I5472" s="362"/>
      <c r="J5472" s="362"/>
      <c r="AX5472" s="117"/>
      <c r="AY5472" s="117"/>
      <c r="AZ5472" s="117"/>
      <c r="BA5472" s="117"/>
      <c r="BB5472" s="117"/>
      <c r="BC5472" s="117"/>
      <c r="BD5472" s="117"/>
    </row>
    <row r="5473" spans="1:56">
      <c r="A5473" s="114"/>
      <c r="B5473" s="115"/>
      <c r="C5473" s="115"/>
      <c r="D5473" s="115"/>
      <c r="E5473" s="115"/>
      <c r="F5473" s="115"/>
      <c r="G5473" s="115"/>
      <c r="H5473" s="115"/>
      <c r="I5473" s="115"/>
      <c r="J5473" s="362"/>
      <c r="AX5473" s="117"/>
      <c r="AY5473" s="117"/>
      <c r="AZ5473" s="117"/>
      <c r="BA5473" s="117"/>
      <c r="BB5473" s="117"/>
      <c r="BC5473" s="117"/>
      <c r="BD5473" s="117"/>
    </row>
    <row r="5474" spans="1:56">
      <c r="A5474" s="114"/>
      <c r="B5474" s="115"/>
      <c r="C5474" s="115"/>
      <c r="D5474" s="115"/>
      <c r="E5474" s="115"/>
      <c r="F5474" s="115"/>
      <c r="G5474" s="115"/>
      <c r="H5474" s="115"/>
      <c r="I5474" s="115"/>
      <c r="J5474" s="415"/>
      <c r="AX5474" s="117"/>
      <c r="AY5474" s="117"/>
      <c r="AZ5474" s="117"/>
      <c r="BA5474" s="117"/>
      <c r="BB5474" s="117"/>
      <c r="BC5474" s="117"/>
      <c r="BD5474" s="117"/>
    </row>
    <row r="5475" spans="1:56">
      <c r="A5475" s="114"/>
      <c r="B5475" s="115"/>
      <c r="C5475" s="115"/>
      <c r="D5475" s="115"/>
      <c r="E5475" s="115"/>
      <c r="F5475" s="115"/>
      <c r="G5475" s="115"/>
      <c r="H5475" s="115"/>
      <c r="I5475" s="115"/>
      <c r="J5475" s="362"/>
      <c r="AX5475" s="117"/>
      <c r="AY5475" s="117"/>
      <c r="AZ5475" s="117"/>
      <c r="BA5475" s="117"/>
      <c r="BB5475" s="117"/>
      <c r="BC5475" s="117"/>
      <c r="BD5475" s="117"/>
    </row>
    <row r="5476" spans="1:56">
      <c r="A5476"/>
      <c r="B5476" s="385" t="s">
        <v>1313</v>
      </c>
      <c r="C5476" s="362"/>
      <c r="D5476" s="362"/>
      <c r="E5476" s="362"/>
      <c r="F5476" s="362"/>
      <c r="G5476" s="115"/>
      <c r="H5476" s="115"/>
      <c r="I5476" s="362"/>
      <c r="J5476" s="362"/>
      <c r="AX5476" s="117"/>
      <c r="AY5476" s="117"/>
      <c r="AZ5476" s="117"/>
      <c r="BA5476" s="117"/>
      <c r="BB5476" s="117"/>
      <c r="BC5476" s="117"/>
      <c r="BD5476" s="117"/>
    </row>
    <row r="5477" spans="1:56" ht="15">
      <c r="A5477" s="114"/>
      <c r="B5477" s="362"/>
      <c r="C5477" s="362"/>
      <c r="D5477" s="362"/>
      <c r="E5477" s="362"/>
      <c r="F5477" s="404"/>
      <c r="G5477" s="196"/>
      <c r="H5477" s="196"/>
      <c r="I5477" s="404"/>
      <c r="J5477" s="362"/>
      <c r="AX5477" s="117"/>
      <c r="AY5477" s="117"/>
      <c r="AZ5477" s="117"/>
      <c r="BA5477" s="117"/>
      <c r="BB5477" s="117"/>
      <c r="BC5477" s="117"/>
      <c r="BD5477" s="117"/>
    </row>
    <row r="5478" spans="1:56" ht="18">
      <c r="A5478" s="114"/>
      <c r="B5478" s="388" t="s">
        <v>1141</v>
      </c>
      <c r="C5478" s="389">
        <v>0</v>
      </c>
      <c r="D5478" s="390" t="s">
        <v>10</v>
      </c>
      <c r="E5478" s="196"/>
      <c r="F5478" s="405"/>
      <c r="G5478" s="196"/>
      <c r="H5478" s="196"/>
      <c r="I5478" s="405" t="s">
        <v>1143</v>
      </c>
      <c r="J5478" s="362"/>
      <c r="AX5478" s="117"/>
      <c r="AY5478" s="117"/>
      <c r="AZ5478" s="117"/>
      <c r="BA5478" s="117"/>
      <c r="BB5478" s="117"/>
      <c r="BC5478" s="117"/>
      <c r="BD5478" s="117"/>
    </row>
    <row r="5479" spans="1:56" ht="15">
      <c r="A5479" s="114"/>
      <c r="B5479" s="388" t="s">
        <v>1144</v>
      </c>
      <c r="C5479" s="389">
        <v>0</v>
      </c>
      <c r="D5479" s="390" t="s">
        <v>10</v>
      </c>
      <c r="E5479" s="196"/>
      <c r="F5479" s="405"/>
      <c r="G5479" s="362"/>
      <c r="H5479" s="362"/>
      <c r="I5479" s="405"/>
      <c r="J5479" s="362"/>
      <c r="AX5479" s="117"/>
      <c r="AY5479" s="117"/>
      <c r="AZ5479" s="117"/>
      <c r="BA5479" s="117"/>
      <c r="BB5479" s="117"/>
      <c r="BC5479" s="117"/>
      <c r="BD5479" s="117"/>
    </row>
    <row r="5480" spans="1:56" ht="15">
      <c r="A5480" s="114"/>
      <c r="B5480" s="388" t="s">
        <v>1145</v>
      </c>
      <c r="C5480" s="389">
        <v>1.2</v>
      </c>
      <c r="D5480" s="390" t="s">
        <v>10</v>
      </c>
      <c r="E5480" s="196"/>
      <c r="F5480" s="405"/>
      <c r="G5480" s="404"/>
      <c r="H5480" s="404"/>
      <c r="I5480" s="405"/>
      <c r="J5480" s="362"/>
      <c r="AX5480" s="117"/>
      <c r="AY5480" s="117"/>
      <c r="AZ5480" s="117"/>
      <c r="BA5480" s="117"/>
      <c r="BB5480" s="117"/>
      <c r="BC5480" s="117"/>
      <c r="BD5480" s="117"/>
    </row>
    <row r="5481" spans="1:56" ht="18">
      <c r="A5481" s="114"/>
      <c r="B5481" s="388" t="s">
        <v>1146</v>
      </c>
      <c r="C5481" s="389">
        <v>1.2</v>
      </c>
      <c r="D5481" s="390" t="s">
        <v>10</v>
      </c>
      <c r="E5481" s="196"/>
      <c r="F5481" s="405"/>
      <c r="G5481" s="406" t="s">
        <v>1142</v>
      </c>
      <c r="H5481" s="407">
        <f>C5478*C5479</f>
        <v>0</v>
      </c>
      <c r="I5481" s="405" t="s">
        <v>1143</v>
      </c>
      <c r="J5481" s="362"/>
      <c r="AX5481" s="117"/>
      <c r="AY5481" s="117"/>
      <c r="AZ5481" s="117"/>
      <c r="BA5481" s="117"/>
      <c r="BB5481" s="117"/>
      <c r="BC5481" s="117"/>
      <c r="BD5481" s="117"/>
    </row>
    <row r="5482" spans="1:56" ht="18">
      <c r="A5482" s="114"/>
      <c r="B5482" s="388" t="s">
        <v>1112</v>
      </c>
      <c r="C5482" s="389">
        <v>1.3</v>
      </c>
      <c r="D5482" s="390" t="s">
        <v>10</v>
      </c>
      <c r="E5482" s="196"/>
      <c r="F5482" s="405"/>
      <c r="G5482" s="406" t="e">
        <f>TEXT(C5486,"tg 0°=")</f>
        <v>#VALUE!</v>
      </c>
      <c r="H5482" s="408">
        <f>TAN(3.14159265359*C5486/180)</f>
        <v>1.732050807569153</v>
      </c>
      <c r="I5482" s="405" t="s">
        <v>1143</v>
      </c>
      <c r="J5482" s="362"/>
      <c r="AW5482" s="117"/>
      <c r="AX5482" s="117"/>
      <c r="AY5482" s="117"/>
      <c r="AZ5482" s="117"/>
      <c r="BA5482" s="117"/>
      <c r="BB5482" s="117"/>
      <c r="BC5482" s="117"/>
      <c r="BD5482" s="117"/>
    </row>
    <row r="5483" spans="1:56" ht="15">
      <c r="A5483" s="114"/>
      <c r="B5483" s="388" t="s">
        <v>1113</v>
      </c>
      <c r="C5483" s="389">
        <v>1.3</v>
      </c>
      <c r="D5483" s="390" t="s">
        <v>10</v>
      </c>
      <c r="E5483" s="196"/>
      <c r="F5483" s="405"/>
      <c r="G5483" s="406"/>
      <c r="H5483" s="407"/>
      <c r="I5483" s="405"/>
      <c r="J5483" s="114"/>
      <c r="AW5483" s="117"/>
      <c r="AX5483" s="117"/>
      <c r="AY5483" s="117"/>
      <c r="AZ5483" s="117"/>
      <c r="BA5483" s="117"/>
      <c r="BB5483" s="117"/>
      <c r="BC5483" s="117"/>
      <c r="BD5483" s="117"/>
    </row>
    <row r="5484" spans="1:56" ht="15">
      <c r="A5484" s="114"/>
      <c r="B5484" s="388" t="s">
        <v>1117</v>
      </c>
      <c r="C5484" s="391">
        <v>20</v>
      </c>
      <c r="D5484" s="390" t="s">
        <v>1118</v>
      </c>
      <c r="E5484" s="196"/>
      <c r="F5484" s="405"/>
      <c r="G5484" s="406" t="s">
        <v>1142</v>
      </c>
      <c r="H5484" s="409">
        <f>(C5480+2*C5488+((C5482+C5483+0.05)/H5482)*2)*(C5481+2*C5488+((C5482+C5483+0.05)/H5482)*2)</f>
        <v>27.667141610830289</v>
      </c>
      <c r="I5484" s="405"/>
      <c r="J5484" s="114"/>
      <c r="AW5484" s="117"/>
      <c r="AX5484" s="117"/>
      <c r="AY5484" s="117"/>
      <c r="AZ5484" s="117"/>
      <c r="BA5484" s="117"/>
      <c r="BB5484" s="117"/>
      <c r="BC5484" s="117"/>
      <c r="BD5484" s="117"/>
    </row>
    <row r="5485" spans="1:56" ht="15">
      <c r="A5485" s="114"/>
      <c r="B5485" s="196" t="s">
        <v>1148</v>
      </c>
      <c r="C5485" s="393"/>
      <c r="D5485" s="196"/>
      <c r="E5485" s="196"/>
      <c r="F5485" s="405"/>
      <c r="G5485" s="406" t="s">
        <v>1147</v>
      </c>
      <c r="H5485" s="409">
        <f>(C5480+2*C5488)*(C5481+2*C5488)</f>
        <v>4.8400000000000007</v>
      </c>
      <c r="I5485" s="405"/>
      <c r="J5485" s="114"/>
      <c r="AW5485" s="117"/>
      <c r="AX5485" s="117"/>
      <c r="AY5485" s="117"/>
      <c r="AZ5485" s="117"/>
      <c r="BA5485" s="117"/>
      <c r="BB5485" s="117"/>
      <c r="BC5485" s="117"/>
      <c r="BD5485" s="117"/>
    </row>
    <row r="5486" spans="1:56" customFormat="1" ht="15">
      <c r="A5486" s="114"/>
      <c r="B5486" s="388" t="s">
        <v>1149</v>
      </c>
      <c r="C5486" s="389">
        <v>60</v>
      </c>
      <c r="D5486" s="390" t="s">
        <v>1150</v>
      </c>
      <c r="E5486" s="196"/>
      <c r="F5486" s="196"/>
      <c r="G5486" s="406"/>
      <c r="H5486" s="407"/>
      <c r="I5486" s="196"/>
      <c r="J5486" s="196"/>
    </row>
    <row r="5487" spans="1:56" ht="15">
      <c r="A5487" s="114"/>
      <c r="B5487" s="362"/>
      <c r="C5487" s="196"/>
      <c r="D5487" s="196"/>
      <c r="E5487" s="196"/>
      <c r="F5487" s="196"/>
      <c r="G5487" s="406"/>
      <c r="H5487" s="407"/>
      <c r="I5487" s="362"/>
      <c r="J5487" s="114"/>
      <c r="AX5487" s="117"/>
      <c r="AY5487" s="117"/>
      <c r="AZ5487" s="117"/>
      <c r="BA5487" s="117"/>
      <c r="BB5487" s="117"/>
      <c r="BC5487" s="117"/>
      <c r="BD5487" s="117"/>
    </row>
    <row r="5488" spans="1:56" ht="15">
      <c r="A5488" s="114"/>
      <c r="B5488" s="388" t="s">
        <v>1114</v>
      </c>
      <c r="C5488" s="389">
        <v>0.5</v>
      </c>
      <c r="D5488" s="390" t="s">
        <v>10</v>
      </c>
      <c r="E5488" s="288" t="s">
        <v>1120</v>
      </c>
      <c r="F5488" s="196"/>
      <c r="G5488" s="406"/>
      <c r="H5488" s="407"/>
      <c r="I5488" s="114"/>
      <c r="J5488" s="114"/>
      <c r="AX5488" s="117"/>
      <c r="AY5488" s="117"/>
      <c r="AZ5488" s="117"/>
      <c r="BA5488" s="117"/>
      <c r="BB5488" s="117"/>
      <c r="BC5488" s="117"/>
      <c r="BD5488" s="117"/>
    </row>
    <row r="5489" spans="1:56" ht="15">
      <c r="A5489" s="114"/>
      <c r="B5489" s="388" t="s">
        <v>1114</v>
      </c>
      <c r="C5489" s="389">
        <v>0.1</v>
      </c>
      <c r="D5489" s="390" t="s">
        <v>10</v>
      </c>
      <c r="E5489" s="288" t="s">
        <v>1121</v>
      </c>
      <c r="F5489" s="196"/>
      <c r="G5489" s="392"/>
      <c r="H5489" s="393"/>
      <c r="I5489" s="196"/>
      <c r="J5489" s="114"/>
      <c r="AX5489" s="117"/>
      <c r="AY5489" s="117"/>
      <c r="AZ5489" s="117"/>
      <c r="BA5489" s="117"/>
      <c r="BB5489" s="117"/>
      <c r="BC5489" s="117"/>
      <c r="BD5489" s="117"/>
    </row>
    <row r="5490" spans="1:56" ht="15">
      <c r="A5490" s="114"/>
      <c r="B5490" s="362"/>
      <c r="C5490" s="362"/>
      <c r="D5490" s="362"/>
      <c r="E5490" s="362"/>
      <c r="F5490" s="362"/>
      <c r="G5490" s="362"/>
      <c r="H5490" s="362"/>
      <c r="I5490" s="196"/>
      <c r="J5490" s="114"/>
      <c r="AX5490" s="117"/>
      <c r="AY5490" s="117"/>
      <c r="AZ5490" s="117"/>
      <c r="BA5490" s="117"/>
      <c r="BB5490" s="117"/>
      <c r="BC5490" s="117"/>
      <c r="BD5490" s="117"/>
    </row>
    <row r="5491" spans="1:56" ht="15">
      <c r="A5491" s="114"/>
      <c r="B5491" s="303" t="s">
        <v>1122</v>
      </c>
      <c r="C5491" s="362"/>
      <c r="D5491" s="362"/>
      <c r="E5491" s="362"/>
      <c r="F5491" s="362"/>
      <c r="G5491" s="196" t="s">
        <v>1131</v>
      </c>
      <c r="H5491" s="114"/>
      <c r="I5491" s="196"/>
      <c r="J5491" s="114"/>
      <c r="AX5491" s="117"/>
      <c r="AY5491" s="117"/>
      <c r="AZ5491" s="117"/>
      <c r="BA5491" s="117"/>
      <c r="BB5491" s="117"/>
      <c r="BC5491" s="117"/>
      <c r="BD5491" s="117"/>
    </row>
    <row r="5492" spans="1:56" ht="18">
      <c r="A5492" s="114"/>
      <c r="B5492" s="398" t="s">
        <v>1123</v>
      </c>
      <c r="C5492" s="172"/>
      <c r="D5492" s="173"/>
      <c r="E5492" s="397">
        <f>C5484*((H5485+H5484)/2)*(C5482+C5483+0.05)</f>
        <v>861.43925268700252</v>
      </c>
      <c r="F5492" s="390" t="s">
        <v>1124</v>
      </c>
      <c r="G5492" s="196"/>
      <c r="H5492" s="196"/>
      <c r="I5492" s="362"/>
      <c r="J5492" s="114"/>
      <c r="AX5492" s="117"/>
      <c r="AY5492" s="117"/>
      <c r="AZ5492" s="117"/>
      <c r="BA5492" s="117"/>
      <c r="BB5492" s="117"/>
      <c r="BC5492" s="117"/>
      <c r="BD5492" s="117"/>
    </row>
    <row r="5493" spans="1:56" ht="18">
      <c r="A5493" s="114"/>
      <c r="B5493" s="398" t="s">
        <v>1125</v>
      </c>
      <c r="C5493" s="172"/>
      <c r="D5493" s="173"/>
      <c r="E5493" s="400">
        <f>E5492-C5484*(C5480*C5481*C5483+C5480*C5481*0.05+C5478*C5479*C5482)</f>
        <v>822.55925268700253</v>
      </c>
      <c r="F5493" s="390" t="s">
        <v>1124</v>
      </c>
      <c r="G5493" s="196"/>
      <c r="H5493" s="196"/>
      <c r="I5493" s="196"/>
      <c r="J5493" s="114"/>
      <c r="AX5493" s="117"/>
      <c r="AY5493" s="117"/>
      <c r="AZ5493" s="117"/>
      <c r="BA5493" s="117"/>
      <c r="BB5493" s="117"/>
      <c r="BC5493" s="117"/>
      <c r="BD5493" s="117"/>
    </row>
    <row r="5494" spans="1:56" ht="15">
      <c r="A5494" s="114"/>
      <c r="B5494" s="398" t="s">
        <v>1126</v>
      </c>
      <c r="C5494" s="172"/>
      <c r="D5494" s="173"/>
      <c r="E5494" s="400">
        <f>((C5480+2*C5489)*(C5481+2*C5489))*C5484</f>
        <v>39.199999999999996</v>
      </c>
      <c r="F5494" s="390" t="s">
        <v>13</v>
      </c>
      <c r="G5494" s="362"/>
      <c r="H5494" s="362"/>
      <c r="I5494" s="362"/>
      <c r="J5494" s="114"/>
      <c r="AX5494" s="117"/>
      <c r="AY5494" s="117"/>
      <c r="AZ5494" s="117"/>
      <c r="BA5494" s="117"/>
      <c r="BB5494" s="117"/>
      <c r="BC5494" s="117"/>
      <c r="BD5494" s="117"/>
    </row>
    <row r="5495" spans="1:56" ht="15">
      <c r="A5495" s="114"/>
      <c r="B5495" s="362"/>
      <c r="C5495" s="362"/>
      <c r="D5495" s="362"/>
      <c r="E5495" s="401"/>
      <c r="F5495" s="196"/>
      <c r="G5495" s="362"/>
      <c r="H5495" s="362"/>
      <c r="I5495" s="362"/>
      <c r="J5495" s="114"/>
      <c r="AX5495" s="117"/>
      <c r="AY5495" s="117"/>
      <c r="AZ5495" s="117"/>
      <c r="BA5495" s="117"/>
      <c r="BB5495" s="117"/>
      <c r="BC5495" s="117"/>
      <c r="BD5495" s="117"/>
    </row>
    <row r="5496" spans="1:56" ht="15">
      <c r="A5496" s="114"/>
      <c r="B5496" s="303" t="s">
        <v>1162</v>
      </c>
      <c r="C5496" s="362"/>
      <c r="D5496" s="362"/>
      <c r="E5496" s="410"/>
      <c r="F5496" s="362"/>
      <c r="G5496" s="362"/>
      <c r="H5496" s="362"/>
      <c r="I5496" s="362"/>
      <c r="J5496" s="114"/>
      <c r="AX5496" s="117"/>
      <c r="AY5496" s="117"/>
      <c r="AZ5496" s="117"/>
      <c r="BA5496" s="117"/>
      <c r="BB5496" s="117"/>
      <c r="BC5496" s="117"/>
      <c r="BD5496" s="117"/>
    </row>
    <row r="5497" spans="1:56" ht="15">
      <c r="A5497" s="114"/>
      <c r="B5497" s="398" t="s">
        <v>1152</v>
      </c>
      <c r="C5497" s="398"/>
      <c r="D5497" s="366"/>
      <c r="E5497" s="411">
        <v>1</v>
      </c>
      <c r="F5497" s="390" t="s">
        <v>1153</v>
      </c>
      <c r="G5497" s="362"/>
      <c r="H5497" s="362"/>
      <c r="I5497" s="362"/>
      <c r="J5497" s="196"/>
      <c r="AX5497" s="117"/>
      <c r="AY5497" s="117"/>
      <c r="AZ5497" s="117"/>
      <c r="BA5497" s="117"/>
      <c r="BB5497" s="117"/>
      <c r="BC5497" s="117"/>
      <c r="BD5497" s="117"/>
    </row>
    <row r="5498" spans="1:56" ht="15">
      <c r="A5498" s="114"/>
      <c r="B5498" s="399" t="s">
        <v>1154</v>
      </c>
      <c r="C5498" s="31"/>
      <c r="D5498" s="32"/>
      <c r="E5498" s="412">
        <v>12</v>
      </c>
      <c r="F5498" s="390" t="s">
        <v>1153</v>
      </c>
      <c r="G5498" s="362"/>
      <c r="H5498" s="362"/>
      <c r="I5498" s="362"/>
      <c r="J5498" s="196"/>
      <c r="AX5498" s="117"/>
      <c r="AY5498" s="117"/>
      <c r="AZ5498" s="117"/>
      <c r="BA5498" s="117"/>
      <c r="BB5498" s="117"/>
      <c r="BC5498" s="117"/>
      <c r="BD5498" s="117"/>
    </row>
    <row r="5499" spans="1:56" ht="15">
      <c r="A5499" s="114"/>
      <c r="B5499" s="398" t="s">
        <v>1155</v>
      </c>
      <c r="C5499" s="21"/>
      <c r="D5499" s="413"/>
      <c r="E5499" s="411">
        <v>350</v>
      </c>
      <c r="F5499" s="390" t="s">
        <v>1156</v>
      </c>
      <c r="G5499" s="362"/>
      <c r="H5499" s="414"/>
      <c r="I5499" s="362"/>
      <c r="J5499" s="196"/>
      <c r="AX5499" s="117"/>
      <c r="AY5499" s="117"/>
      <c r="AZ5499" s="117"/>
      <c r="BA5499" s="117"/>
      <c r="BB5499" s="117"/>
      <c r="BC5499" s="117"/>
      <c r="BD5499" s="117"/>
    </row>
    <row r="5500" spans="1:56" ht="15">
      <c r="A5500" s="114"/>
      <c r="B5500" s="398" t="s">
        <v>1157</v>
      </c>
      <c r="C5500" s="21"/>
      <c r="D5500" s="413"/>
      <c r="E5500" s="418">
        <v>29</v>
      </c>
      <c r="F5500" s="390" t="s">
        <v>10</v>
      </c>
      <c r="G5500" s="362"/>
      <c r="H5500" s="6"/>
      <c r="I5500" s="362"/>
      <c r="J5500" s="196"/>
      <c r="AX5500" s="117"/>
      <c r="AY5500" s="117"/>
      <c r="AZ5500" s="117"/>
      <c r="BA5500" s="117"/>
      <c r="BB5500" s="117"/>
      <c r="BC5500" s="117"/>
      <c r="BD5500" s="117"/>
    </row>
    <row r="5501" spans="1:56" ht="15">
      <c r="A5501" s="114"/>
      <c r="B5501" s="398" t="s">
        <v>1158</v>
      </c>
      <c r="C5501" s="21"/>
      <c r="D5501" s="413"/>
      <c r="E5501" s="412">
        <f>E5498*E5500</f>
        <v>348</v>
      </c>
      <c r="F5501" s="390" t="s">
        <v>10</v>
      </c>
      <c r="G5501" s="362"/>
      <c r="H5501" s="362"/>
      <c r="I5501" s="362"/>
      <c r="J5501" s="362"/>
      <c r="AX5501" s="117"/>
      <c r="AY5501" s="117"/>
      <c r="AZ5501" s="117"/>
      <c r="BA5501" s="117"/>
      <c r="BB5501" s="117"/>
      <c r="BC5501" s="117"/>
      <c r="BD5501" s="117"/>
    </row>
    <row r="5502" spans="1:56" ht="15">
      <c r="A5502" s="114"/>
      <c r="B5502" s="362"/>
      <c r="C5502" s="362"/>
      <c r="D5502" s="362"/>
      <c r="E5502" s="410"/>
      <c r="F5502" s="362"/>
      <c r="G5502" s="362"/>
      <c r="H5502" s="362"/>
      <c r="I5502" s="362"/>
      <c r="J5502" s="196"/>
      <c r="AX5502" s="117"/>
      <c r="AY5502" s="117"/>
      <c r="AZ5502" s="117"/>
      <c r="BA5502" s="117"/>
      <c r="BB5502" s="117"/>
      <c r="BC5502" s="117"/>
      <c r="BD5502" s="117"/>
    </row>
    <row r="5503" spans="1:56" ht="15">
      <c r="A5503" s="114"/>
      <c r="B5503" s="303" t="s">
        <v>1162</v>
      </c>
      <c r="C5503" s="962"/>
      <c r="D5503" s="962"/>
      <c r="E5503" s="410"/>
      <c r="F5503" s="962"/>
      <c r="G5503" s="962"/>
      <c r="H5503" s="962"/>
      <c r="I5503" s="962"/>
      <c r="J5503" s="114"/>
      <c r="AX5503" s="117"/>
      <c r="AY5503" s="117"/>
      <c r="AZ5503" s="117"/>
      <c r="BA5503" s="117"/>
      <c r="BB5503" s="117"/>
      <c r="BC5503" s="117"/>
      <c r="BD5503" s="117"/>
    </row>
    <row r="5504" spans="1:56" ht="15">
      <c r="A5504" s="114"/>
      <c r="B5504" s="965" t="s">
        <v>1152</v>
      </c>
      <c r="C5504" s="965"/>
      <c r="D5504" s="964"/>
      <c r="E5504" s="411">
        <v>1</v>
      </c>
      <c r="F5504" s="390" t="s">
        <v>1153</v>
      </c>
      <c r="G5504" s="962"/>
      <c r="H5504" s="962"/>
      <c r="I5504" s="962"/>
      <c r="J5504" s="196"/>
      <c r="AX5504" s="117"/>
      <c r="AY5504" s="117"/>
      <c r="AZ5504" s="117"/>
      <c r="BA5504" s="117"/>
      <c r="BB5504" s="117"/>
      <c r="BC5504" s="117"/>
      <c r="BD5504" s="117"/>
    </row>
    <row r="5505" spans="1:56" ht="15">
      <c r="A5505" s="114"/>
      <c r="B5505" s="399" t="s">
        <v>1154</v>
      </c>
      <c r="C5505" s="31"/>
      <c r="D5505" s="32"/>
      <c r="E5505" s="412">
        <v>8</v>
      </c>
      <c r="F5505" s="390" t="s">
        <v>1153</v>
      </c>
      <c r="G5505" s="962"/>
      <c r="H5505" s="962"/>
      <c r="I5505" s="962"/>
      <c r="J5505" s="196"/>
      <c r="AX5505" s="117"/>
      <c r="AY5505" s="117"/>
      <c r="AZ5505" s="117"/>
      <c r="BA5505" s="117"/>
      <c r="BB5505" s="117"/>
      <c r="BC5505" s="117"/>
      <c r="BD5505" s="117"/>
    </row>
    <row r="5506" spans="1:56" ht="15">
      <c r="A5506" s="114"/>
      <c r="B5506" s="965" t="s">
        <v>1155</v>
      </c>
      <c r="C5506" s="21"/>
      <c r="D5506" s="413"/>
      <c r="E5506" s="411">
        <v>400</v>
      </c>
      <c r="F5506" s="390" t="s">
        <v>1156</v>
      </c>
      <c r="G5506" s="962"/>
      <c r="H5506" s="414"/>
      <c r="I5506" s="962"/>
      <c r="J5506" s="196"/>
      <c r="AX5506" s="117"/>
      <c r="AY5506" s="117"/>
      <c r="AZ5506" s="117"/>
      <c r="BA5506" s="117"/>
      <c r="BB5506" s="117"/>
      <c r="BC5506" s="117"/>
      <c r="BD5506" s="117"/>
    </row>
    <row r="5507" spans="1:56" ht="15">
      <c r="A5507" s="114"/>
      <c r="B5507" s="965" t="s">
        <v>1157</v>
      </c>
      <c r="C5507" s="21"/>
      <c r="D5507" s="413"/>
      <c r="E5507" s="418">
        <v>29</v>
      </c>
      <c r="F5507" s="390" t="s">
        <v>10</v>
      </c>
      <c r="G5507" s="962"/>
      <c r="H5507" s="6"/>
      <c r="I5507" s="962"/>
      <c r="J5507" s="196"/>
      <c r="AX5507" s="117"/>
      <c r="AY5507" s="117"/>
      <c r="AZ5507" s="117"/>
      <c r="BA5507" s="117"/>
      <c r="BB5507" s="117"/>
      <c r="BC5507" s="117"/>
      <c r="BD5507" s="117"/>
    </row>
    <row r="5508" spans="1:56" ht="15">
      <c r="A5508" s="114"/>
      <c r="B5508" s="965" t="s">
        <v>1158</v>
      </c>
      <c r="C5508" s="21"/>
      <c r="D5508" s="413"/>
      <c r="E5508" s="412">
        <f>E5505*E5507</f>
        <v>232</v>
      </c>
      <c r="F5508" s="390" t="s">
        <v>10</v>
      </c>
      <c r="G5508" s="962"/>
      <c r="H5508" s="962"/>
      <c r="I5508" s="962"/>
      <c r="J5508" s="962"/>
      <c r="AX5508" s="117"/>
      <c r="AY5508" s="117"/>
      <c r="AZ5508" s="117"/>
      <c r="BA5508" s="117"/>
      <c r="BB5508" s="117"/>
      <c r="BC5508" s="117"/>
      <c r="BD5508" s="117"/>
    </row>
    <row r="5509" spans="1:56" ht="15">
      <c r="A5509" s="114"/>
      <c r="B5509" s="962"/>
      <c r="C5509" s="962"/>
      <c r="D5509" s="962"/>
      <c r="E5509" s="410"/>
      <c r="F5509" s="962"/>
      <c r="G5509" s="962"/>
      <c r="H5509" s="962"/>
      <c r="I5509" s="962"/>
      <c r="J5509" s="196"/>
      <c r="AX5509" s="117"/>
      <c r="AY5509" s="117"/>
      <c r="AZ5509" s="117"/>
      <c r="BA5509" s="117"/>
      <c r="BB5509" s="117"/>
      <c r="BC5509" s="117"/>
      <c r="BD5509" s="117"/>
    </row>
    <row r="5510" spans="1:56" ht="15">
      <c r="A5510" s="114"/>
      <c r="B5510" s="303" t="s">
        <v>1160</v>
      </c>
      <c r="C5510" s="362"/>
      <c r="D5510" s="362"/>
      <c r="E5510" s="410"/>
      <c r="F5510" s="362"/>
      <c r="G5510" s="362"/>
      <c r="H5510" s="362"/>
      <c r="I5510" s="362"/>
      <c r="J5510" s="362"/>
      <c r="AX5510" s="117"/>
      <c r="AY5510" s="117"/>
      <c r="AZ5510" s="117"/>
      <c r="BA5510" s="117"/>
      <c r="BB5510" s="117"/>
      <c r="BC5510" s="117"/>
      <c r="BD5510" s="117"/>
    </row>
    <row r="5511" spans="1:56" ht="18">
      <c r="A5511" s="114"/>
      <c r="B5511" s="398" t="s">
        <v>1128</v>
      </c>
      <c r="C5511" s="172"/>
      <c r="D5511" s="173"/>
      <c r="E5511" s="402">
        <f>E5494*0.05</f>
        <v>1.96</v>
      </c>
      <c r="F5511" s="390" t="s">
        <v>1124</v>
      </c>
      <c r="G5511" s="362"/>
      <c r="H5511" s="362"/>
      <c r="I5511" s="362"/>
      <c r="J5511" s="362"/>
      <c r="AX5511" s="117"/>
      <c r="AY5511" s="117"/>
      <c r="AZ5511" s="117"/>
      <c r="BA5511" s="117"/>
      <c r="BB5511" s="117"/>
      <c r="BC5511" s="117"/>
      <c r="BD5511" s="117"/>
    </row>
    <row r="5512" spans="1:56" ht="15">
      <c r="A5512" s="114"/>
      <c r="B5512" s="398" t="s">
        <v>1129</v>
      </c>
      <c r="C5512" s="172"/>
      <c r="D5512" s="173"/>
      <c r="E5512" s="397">
        <f>(2*(C5480+C5481)*C5483)*C5484</f>
        <v>124.80000000000001</v>
      </c>
      <c r="F5512" s="390" t="s">
        <v>13</v>
      </c>
      <c r="G5512" s="362"/>
      <c r="H5512" s="362"/>
      <c r="I5512" s="362"/>
      <c r="J5512" s="362"/>
      <c r="AX5512" s="117"/>
      <c r="AY5512" s="117"/>
      <c r="AZ5512" s="117"/>
      <c r="BA5512" s="117"/>
      <c r="BB5512" s="117"/>
      <c r="BC5512" s="117"/>
      <c r="BD5512" s="117"/>
    </row>
    <row r="5513" spans="1:56" ht="18">
      <c r="A5513" s="114"/>
      <c r="B5513" s="398" t="s">
        <v>1130</v>
      </c>
      <c r="C5513" s="172"/>
      <c r="D5513" s="173"/>
      <c r="E5513" s="402">
        <f>(C5480*C5481*C5483)*C5484</f>
        <v>37.44</v>
      </c>
      <c r="F5513" s="390" t="s">
        <v>1124</v>
      </c>
      <c r="G5513" s="362"/>
      <c r="H5513" s="362"/>
      <c r="I5513" s="362"/>
      <c r="J5513" s="362"/>
      <c r="AX5513" s="117"/>
      <c r="AY5513" s="117"/>
      <c r="AZ5513" s="117"/>
      <c r="BA5513" s="117"/>
      <c r="BB5513" s="117"/>
      <c r="BC5513" s="117"/>
      <c r="BD5513" s="117"/>
    </row>
    <row r="5514" spans="1:56">
      <c r="A5514" s="114"/>
      <c r="B5514" s="115"/>
      <c r="C5514" s="115"/>
      <c r="D5514" s="115"/>
      <c r="E5514" s="115"/>
      <c r="F5514" s="115"/>
      <c r="G5514" s="115"/>
      <c r="H5514" s="115"/>
      <c r="I5514" s="115"/>
      <c r="J5514" s="362"/>
      <c r="AX5514" s="117"/>
      <c r="AY5514" s="117"/>
      <c r="AZ5514" s="117"/>
      <c r="BA5514" s="117"/>
      <c r="BB5514" s="117"/>
      <c r="BC5514" s="117"/>
      <c r="BD5514" s="117"/>
    </row>
    <row r="5515" spans="1:56">
      <c r="A5515" s="114"/>
      <c r="B5515" s="115"/>
      <c r="C5515" s="115"/>
      <c r="D5515" s="115"/>
      <c r="E5515" s="115"/>
      <c r="F5515" s="115"/>
      <c r="G5515" s="115"/>
      <c r="H5515" s="115"/>
      <c r="I5515" s="115"/>
      <c r="J5515" s="415"/>
      <c r="AX5515" s="117"/>
      <c r="AY5515" s="117"/>
      <c r="AZ5515" s="117"/>
      <c r="BA5515" s="117"/>
      <c r="BB5515" s="117"/>
      <c r="BC5515" s="117"/>
      <c r="BD5515" s="117"/>
    </row>
    <row r="5516" spans="1:56">
      <c r="A5516" s="114"/>
      <c r="B5516" s="115"/>
      <c r="C5516" s="115"/>
      <c r="D5516" s="115"/>
      <c r="E5516" s="115"/>
      <c r="F5516" s="115"/>
      <c r="G5516" s="115"/>
      <c r="H5516" s="115"/>
      <c r="I5516" s="115"/>
      <c r="J5516" s="362"/>
      <c r="AX5516" s="117"/>
      <c r="AY5516" s="117"/>
      <c r="AZ5516" s="117"/>
      <c r="BA5516" s="117"/>
      <c r="BB5516" s="117"/>
      <c r="BC5516" s="117"/>
      <c r="BD5516" s="117"/>
    </row>
    <row r="5517" spans="1:56">
      <c r="A5517"/>
      <c r="B5517" s="385" t="s">
        <v>1314</v>
      </c>
      <c r="C5517" s="362"/>
      <c r="D5517" s="362"/>
      <c r="E5517" s="362"/>
      <c r="F5517" s="362"/>
      <c r="G5517" s="115"/>
      <c r="H5517" s="115"/>
      <c r="I5517" s="362"/>
      <c r="J5517" s="362"/>
      <c r="AX5517" s="117"/>
      <c r="AY5517" s="117"/>
      <c r="AZ5517" s="117"/>
      <c r="BA5517" s="117"/>
      <c r="BB5517" s="117"/>
      <c r="BC5517" s="117"/>
      <c r="BD5517" s="117"/>
    </row>
    <row r="5518" spans="1:56" ht="15">
      <c r="A5518" s="114"/>
      <c r="B5518" s="362"/>
      <c r="C5518" s="362"/>
      <c r="D5518" s="362"/>
      <c r="E5518" s="362"/>
      <c r="F5518" s="404"/>
      <c r="G5518" s="196"/>
      <c r="H5518" s="196"/>
      <c r="I5518" s="404"/>
      <c r="J5518" s="362"/>
      <c r="AX5518" s="117"/>
      <c r="AY5518" s="117"/>
      <c r="AZ5518" s="117"/>
      <c r="BA5518" s="117"/>
      <c r="BB5518" s="117"/>
      <c r="BC5518" s="117"/>
      <c r="BD5518" s="117"/>
    </row>
    <row r="5519" spans="1:56" ht="18">
      <c r="A5519" s="114"/>
      <c r="B5519" s="388" t="s">
        <v>1141</v>
      </c>
      <c r="C5519" s="389">
        <v>0</v>
      </c>
      <c r="D5519" s="390" t="s">
        <v>10</v>
      </c>
      <c r="E5519" s="196"/>
      <c r="F5519" s="405"/>
      <c r="G5519" s="196"/>
      <c r="H5519" s="196"/>
      <c r="I5519" s="405" t="s">
        <v>1143</v>
      </c>
      <c r="J5519" s="362"/>
      <c r="AX5519" s="117"/>
      <c r="AY5519" s="117"/>
      <c r="AZ5519" s="117"/>
      <c r="BA5519" s="117"/>
      <c r="BB5519" s="117"/>
      <c r="BC5519" s="117"/>
      <c r="BD5519" s="117"/>
    </row>
    <row r="5520" spans="1:56" ht="15">
      <c r="A5520" s="114"/>
      <c r="B5520" s="388" t="s">
        <v>1144</v>
      </c>
      <c r="C5520" s="389">
        <v>0</v>
      </c>
      <c r="D5520" s="390" t="s">
        <v>10</v>
      </c>
      <c r="E5520" s="196"/>
      <c r="F5520" s="405"/>
      <c r="G5520" s="362"/>
      <c r="H5520" s="362"/>
      <c r="I5520" s="405"/>
      <c r="J5520" s="362"/>
      <c r="AX5520" s="117"/>
      <c r="AY5520" s="117"/>
      <c r="AZ5520" s="117"/>
      <c r="BA5520" s="117"/>
      <c r="BB5520" s="117"/>
      <c r="BC5520" s="117"/>
      <c r="BD5520" s="117"/>
    </row>
    <row r="5521" spans="1:56" ht="15">
      <c r="A5521" s="114"/>
      <c r="B5521" s="388" t="s">
        <v>1145</v>
      </c>
      <c r="C5521" s="389">
        <v>1.2</v>
      </c>
      <c r="D5521" s="390" t="s">
        <v>10</v>
      </c>
      <c r="E5521" s="196"/>
      <c r="F5521" s="405"/>
      <c r="G5521" s="404"/>
      <c r="H5521" s="404"/>
      <c r="I5521" s="405"/>
      <c r="J5521" s="362"/>
      <c r="AX5521" s="117"/>
      <c r="AY5521" s="117"/>
      <c r="AZ5521" s="117"/>
      <c r="BA5521" s="117"/>
      <c r="BB5521" s="117"/>
      <c r="BC5521" s="117"/>
      <c r="BD5521" s="117"/>
    </row>
    <row r="5522" spans="1:56" ht="18">
      <c r="A5522" s="114"/>
      <c r="B5522" s="388" t="s">
        <v>1146</v>
      </c>
      <c r="C5522" s="389">
        <v>1.2</v>
      </c>
      <c r="D5522" s="390" t="s">
        <v>10</v>
      </c>
      <c r="E5522" s="196"/>
      <c r="F5522" s="405"/>
      <c r="G5522" s="406" t="s">
        <v>1142</v>
      </c>
      <c r="H5522" s="407">
        <f>C5519*C5520</f>
        <v>0</v>
      </c>
      <c r="I5522" s="405" t="s">
        <v>1143</v>
      </c>
      <c r="J5522" s="362"/>
      <c r="AX5522" s="117"/>
      <c r="AY5522" s="117"/>
      <c r="AZ5522" s="117"/>
      <c r="BA5522" s="117"/>
      <c r="BB5522" s="117"/>
      <c r="BC5522" s="117"/>
      <c r="BD5522" s="117"/>
    </row>
    <row r="5523" spans="1:56" ht="18">
      <c r="A5523" s="114"/>
      <c r="B5523" s="388" t="s">
        <v>1112</v>
      </c>
      <c r="C5523" s="389">
        <v>1.4</v>
      </c>
      <c r="D5523" s="390" t="s">
        <v>10</v>
      </c>
      <c r="E5523" s="196"/>
      <c r="F5523" s="405"/>
      <c r="G5523" s="406" t="e">
        <f>TEXT(C5527,"tg 0°=")</f>
        <v>#VALUE!</v>
      </c>
      <c r="H5523" s="408">
        <f>TAN(3.14159265359*C5527/180)</f>
        <v>1.732050807569153</v>
      </c>
      <c r="I5523" s="405" t="s">
        <v>1143</v>
      </c>
      <c r="J5523" s="362"/>
      <c r="AW5523" s="117"/>
      <c r="AX5523" s="117"/>
      <c r="AY5523" s="117"/>
      <c r="AZ5523" s="117"/>
      <c r="BA5523" s="117"/>
      <c r="BB5523" s="117"/>
      <c r="BC5523" s="117"/>
      <c r="BD5523" s="117"/>
    </row>
    <row r="5524" spans="1:56" ht="15">
      <c r="A5524" s="114"/>
      <c r="B5524" s="388" t="s">
        <v>1113</v>
      </c>
      <c r="C5524" s="389">
        <v>1.3</v>
      </c>
      <c r="D5524" s="390" t="s">
        <v>10</v>
      </c>
      <c r="E5524" s="196"/>
      <c r="F5524" s="405"/>
      <c r="G5524" s="406"/>
      <c r="H5524" s="407"/>
      <c r="I5524" s="405"/>
      <c r="J5524" s="114"/>
      <c r="AW5524" s="117"/>
      <c r="AX5524" s="117"/>
      <c r="AY5524" s="117"/>
      <c r="AZ5524" s="117"/>
      <c r="BA5524" s="117"/>
      <c r="BB5524" s="117"/>
      <c r="BC5524" s="117"/>
      <c r="BD5524" s="117"/>
    </row>
    <row r="5525" spans="1:56" ht="15">
      <c r="A5525" s="114"/>
      <c r="B5525" s="388" t="s">
        <v>1117</v>
      </c>
      <c r="C5525" s="391">
        <v>12</v>
      </c>
      <c r="D5525" s="390" t="s">
        <v>1118</v>
      </c>
      <c r="E5525" s="196"/>
      <c r="F5525" s="405"/>
      <c r="G5525" s="406" t="s">
        <v>1142</v>
      </c>
      <c r="H5525" s="409">
        <f>(C5521+2*C5529+((C5523+C5524+0.05)/H5523)*2)*(C5522+2*C5529+((C5523+C5524+0.05)/H5523)*2)</f>
        <v>28.895209847716849</v>
      </c>
      <c r="I5525" s="405"/>
      <c r="J5525" s="114"/>
      <c r="AW5525" s="117"/>
      <c r="AX5525" s="117"/>
      <c r="AY5525" s="117"/>
      <c r="AZ5525" s="117"/>
      <c r="BA5525" s="117"/>
      <c r="BB5525" s="117"/>
      <c r="BC5525" s="117"/>
      <c r="BD5525" s="117"/>
    </row>
    <row r="5526" spans="1:56" customFormat="1" ht="15">
      <c r="A5526" s="114"/>
      <c r="B5526" s="196" t="s">
        <v>1148</v>
      </c>
      <c r="C5526" s="393"/>
      <c r="D5526" s="196"/>
      <c r="E5526" s="196"/>
      <c r="F5526" s="405"/>
      <c r="G5526" s="406" t="s">
        <v>1147</v>
      </c>
      <c r="H5526" s="409">
        <f>(C5521+2*C5529)*(C5522+2*C5529)</f>
        <v>4.8400000000000007</v>
      </c>
      <c r="I5526" s="405"/>
      <c r="J5526" s="362"/>
    </row>
    <row r="5527" spans="1:56" ht="15">
      <c r="A5527" s="114"/>
      <c r="B5527" s="388" t="s">
        <v>1149</v>
      </c>
      <c r="C5527" s="389">
        <v>60</v>
      </c>
      <c r="D5527" s="390" t="s">
        <v>1150</v>
      </c>
      <c r="E5527" s="196"/>
      <c r="F5527" s="196"/>
      <c r="G5527" s="406"/>
      <c r="H5527" s="407"/>
      <c r="I5527" s="196"/>
      <c r="J5527" s="404"/>
      <c r="AX5527" s="117"/>
      <c r="AY5527" s="117"/>
      <c r="AZ5527" s="117"/>
      <c r="BA5527" s="117"/>
      <c r="BB5527" s="117"/>
      <c r="BC5527" s="117"/>
      <c r="BD5527" s="117"/>
    </row>
    <row r="5528" spans="1:56" ht="15">
      <c r="A5528" s="114"/>
      <c r="B5528" s="362"/>
      <c r="C5528" s="196"/>
      <c r="D5528" s="196"/>
      <c r="E5528" s="196"/>
      <c r="F5528" s="196"/>
      <c r="G5528" s="406"/>
      <c r="H5528" s="407"/>
      <c r="I5528" s="362"/>
      <c r="J5528" s="405"/>
      <c r="AX5528" s="117"/>
      <c r="AY5528" s="117"/>
      <c r="AZ5528" s="117"/>
      <c r="BA5528" s="117"/>
      <c r="BB5528" s="117"/>
      <c r="BC5528" s="117"/>
      <c r="BD5528" s="117"/>
    </row>
    <row r="5529" spans="1:56" ht="15">
      <c r="A5529" s="114"/>
      <c r="B5529" s="388" t="s">
        <v>1114</v>
      </c>
      <c r="C5529" s="389">
        <v>0.5</v>
      </c>
      <c r="D5529" s="390" t="s">
        <v>10</v>
      </c>
      <c r="E5529" s="288" t="s">
        <v>1120</v>
      </c>
      <c r="F5529" s="196"/>
      <c r="G5529" s="406"/>
      <c r="H5529" s="407"/>
      <c r="I5529" s="114"/>
      <c r="J5529" s="405"/>
      <c r="AX5529" s="117"/>
      <c r="AY5529" s="117"/>
      <c r="AZ5529" s="117"/>
      <c r="BA5529" s="117"/>
      <c r="BB5529" s="117"/>
      <c r="BC5529" s="117"/>
      <c r="BD5529" s="117"/>
    </row>
    <row r="5530" spans="1:56" ht="15">
      <c r="A5530" s="114"/>
      <c r="B5530" s="388" t="s">
        <v>1114</v>
      </c>
      <c r="C5530" s="389">
        <v>0.1</v>
      </c>
      <c r="D5530" s="390" t="s">
        <v>10</v>
      </c>
      <c r="E5530" s="288" t="s">
        <v>1121</v>
      </c>
      <c r="F5530" s="196"/>
      <c r="G5530" s="392"/>
      <c r="H5530" s="393"/>
      <c r="I5530" s="196"/>
      <c r="J5530" s="405"/>
      <c r="AX5530" s="117"/>
      <c r="AY5530" s="117"/>
      <c r="AZ5530" s="117"/>
      <c r="BA5530" s="117"/>
      <c r="BB5530" s="117"/>
      <c r="BC5530" s="117"/>
      <c r="BD5530" s="117"/>
    </row>
    <row r="5531" spans="1:56" ht="15">
      <c r="A5531" s="114"/>
      <c r="B5531" s="362"/>
      <c r="C5531" s="362"/>
      <c r="D5531" s="362"/>
      <c r="E5531" s="362"/>
      <c r="F5531" s="362"/>
      <c r="G5531" s="362"/>
      <c r="H5531" s="362"/>
      <c r="I5531" s="196"/>
      <c r="J5531" s="405"/>
      <c r="AX5531" s="117"/>
      <c r="AY5531" s="117"/>
      <c r="AZ5531" s="117"/>
      <c r="BA5531" s="117"/>
      <c r="BB5531" s="117"/>
      <c r="BC5531" s="117"/>
      <c r="BD5531" s="117"/>
    </row>
    <row r="5532" spans="1:56" ht="15">
      <c r="A5532" s="114"/>
      <c r="B5532" s="303" t="s">
        <v>1122</v>
      </c>
      <c r="C5532" s="362"/>
      <c r="D5532" s="362"/>
      <c r="E5532" s="362"/>
      <c r="F5532" s="362"/>
      <c r="G5532" s="196" t="s">
        <v>1131</v>
      </c>
      <c r="H5532" s="114"/>
      <c r="I5532" s="196"/>
      <c r="J5532" s="405"/>
      <c r="AX5532" s="117"/>
      <c r="AY5532" s="117"/>
      <c r="AZ5532" s="117"/>
      <c r="BA5532" s="117"/>
      <c r="BB5532" s="117"/>
      <c r="BC5532" s="117"/>
      <c r="BD5532" s="117"/>
    </row>
    <row r="5533" spans="1:56" ht="18">
      <c r="A5533" s="114"/>
      <c r="B5533" s="398" t="s">
        <v>1123</v>
      </c>
      <c r="C5533" s="172"/>
      <c r="D5533" s="173"/>
      <c r="E5533" s="397">
        <f>C5525*((H5526+H5525)/2)*(C5523+C5524+0.05)</f>
        <v>556.63096248732813</v>
      </c>
      <c r="F5533" s="390" t="s">
        <v>1124</v>
      </c>
      <c r="G5533" s="196"/>
      <c r="H5533" s="196"/>
      <c r="I5533" s="362"/>
      <c r="J5533" s="405"/>
      <c r="AX5533" s="117"/>
      <c r="AY5533" s="117"/>
      <c r="AZ5533" s="117"/>
      <c r="BA5533" s="117"/>
      <c r="BB5533" s="117"/>
      <c r="BC5533" s="117"/>
      <c r="BD5533" s="117"/>
    </row>
    <row r="5534" spans="1:56" ht="18">
      <c r="A5534" s="114"/>
      <c r="B5534" s="398" t="s">
        <v>1125</v>
      </c>
      <c r="C5534" s="172"/>
      <c r="D5534" s="173"/>
      <c r="E5534" s="400">
        <f>E5533-C5525*(C5521*C5522*C5524+C5521*C5522*0.05+C5519*C5520*C5523)</f>
        <v>533.30296248732816</v>
      </c>
      <c r="F5534" s="390" t="s">
        <v>1124</v>
      </c>
      <c r="G5534" s="196"/>
      <c r="H5534" s="196"/>
      <c r="I5534" s="196"/>
      <c r="J5534" s="405"/>
      <c r="AX5534" s="117"/>
      <c r="AY5534" s="117"/>
      <c r="AZ5534" s="117"/>
      <c r="BA5534" s="117"/>
      <c r="BB5534" s="117"/>
      <c r="BC5534" s="117"/>
      <c r="BD5534" s="117"/>
    </row>
    <row r="5535" spans="1:56" ht="15">
      <c r="A5535" s="114"/>
      <c r="B5535" s="398" t="s">
        <v>1126</v>
      </c>
      <c r="C5535" s="172"/>
      <c r="D5535" s="173"/>
      <c r="E5535" s="400">
        <f>((C5521+2*C5530)*(C5522+2*C5530))*C5525</f>
        <v>23.519999999999996</v>
      </c>
      <c r="F5535" s="390" t="s">
        <v>13</v>
      </c>
      <c r="G5535" s="362"/>
      <c r="H5535" s="362"/>
      <c r="I5535" s="362"/>
      <c r="J5535" s="405"/>
      <c r="AX5535" s="117"/>
      <c r="AY5535" s="117"/>
      <c r="AZ5535" s="117"/>
      <c r="BA5535" s="117"/>
      <c r="BB5535" s="117"/>
      <c r="BC5535" s="117"/>
      <c r="BD5535" s="117"/>
    </row>
    <row r="5536" spans="1:56" ht="15">
      <c r="A5536" s="114"/>
      <c r="B5536" s="362"/>
      <c r="C5536" s="362"/>
      <c r="D5536" s="362"/>
      <c r="E5536" s="401"/>
      <c r="F5536" s="196"/>
      <c r="G5536" s="362"/>
      <c r="H5536" s="362"/>
      <c r="I5536" s="362"/>
      <c r="J5536" s="196"/>
      <c r="AX5536" s="117"/>
      <c r="AY5536" s="117"/>
      <c r="AZ5536" s="117"/>
      <c r="BA5536" s="117"/>
      <c r="BB5536" s="117"/>
      <c r="BC5536" s="117"/>
      <c r="BD5536" s="117"/>
    </row>
    <row r="5537" spans="1:56" ht="15">
      <c r="A5537" s="114"/>
      <c r="B5537" s="303" t="s">
        <v>1162</v>
      </c>
      <c r="C5537" s="362"/>
      <c r="D5537" s="362"/>
      <c r="E5537" s="410"/>
      <c r="F5537" s="362"/>
      <c r="G5537" s="362"/>
      <c r="H5537" s="362"/>
      <c r="I5537" s="362"/>
      <c r="J5537" s="196"/>
      <c r="AX5537" s="117"/>
      <c r="AY5537" s="117"/>
      <c r="AZ5537" s="117"/>
      <c r="BA5537" s="117"/>
      <c r="BB5537" s="117"/>
      <c r="BC5537" s="117"/>
      <c r="BD5537" s="117"/>
    </row>
    <row r="5538" spans="1:56" ht="15">
      <c r="A5538" s="114"/>
      <c r="B5538" s="398" t="s">
        <v>1152</v>
      </c>
      <c r="C5538" s="398"/>
      <c r="D5538" s="366"/>
      <c r="E5538" s="411">
        <v>1</v>
      </c>
      <c r="F5538" s="390" t="s">
        <v>1153</v>
      </c>
      <c r="G5538" s="362"/>
      <c r="H5538" s="362"/>
      <c r="I5538" s="362"/>
      <c r="J5538" s="196"/>
      <c r="AX5538" s="117"/>
      <c r="AY5538" s="117"/>
      <c r="AZ5538" s="117"/>
      <c r="BA5538" s="117"/>
      <c r="BB5538" s="117"/>
      <c r="BC5538" s="117"/>
      <c r="BD5538" s="117"/>
    </row>
    <row r="5539" spans="1:56" ht="15">
      <c r="A5539" s="114"/>
      <c r="B5539" s="399" t="s">
        <v>1154</v>
      </c>
      <c r="C5539" s="31"/>
      <c r="D5539" s="32"/>
      <c r="E5539" s="412">
        <v>4</v>
      </c>
      <c r="F5539" s="390" t="s">
        <v>1153</v>
      </c>
      <c r="G5539" s="362"/>
      <c r="H5539" s="362"/>
      <c r="I5539" s="362"/>
      <c r="J5539" s="196"/>
      <c r="AX5539" s="117"/>
      <c r="AY5539" s="117"/>
      <c r="AZ5539" s="117"/>
      <c r="BA5539" s="117"/>
      <c r="BB5539" s="117"/>
      <c r="BC5539" s="117"/>
      <c r="BD5539" s="117"/>
    </row>
    <row r="5540" spans="1:56" ht="15">
      <c r="A5540" s="114"/>
      <c r="B5540" s="398" t="s">
        <v>1155</v>
      </c>
      <c r="C5540" s="21"/>
      <c r="D5540" s="413"/>
      <c r="E5540" s="411">
        <v>350</v>
      </c>
      <c r="F5540" s="390" t="s">
        <v>1156</v>
      </c>
      <c r="G5540" s="362"/>
      <c r="H5540" s="414"/>
      <c r="I5540" s="362"/>
      <c r="J5540" s="196"/>
      <c r="AX5540" s="117"/>
      <c r="AY5540" s="117"/>
      <c r="AZ5540" s="117"/>
      <c r="BA5540" s="117"/>
      <c r="BB5540" s="117"/>
      <c r="BC5540" s="117"/>
      <c r="BD5540" s="117"/>
    </row>
    <row r="5541" spans="1:56" ht="15">
      <c r="A5541" s="114"/>
      <c r="B5541" s="398" t="s">
        <v>1157</v>
      </c>
      <c r="C5541" s="21"/>
      <c r="D5541" s="413"/>
      <c r="E5541" s="418">
        <v>29</v>
      </c>
      <c r="F5541" s="390" t="s">
        <v>10</v>
      </c>
      <c r="G5541" s="362"/>
      <c r="H5541" s="6"/>
      <c r="I5541" s="362"/>
      <c r="J5541" s="196"/>
      <c r="AX5541" s="117"/>
      <c r="AY5541" s="117"/>
      <c r="AZ5541" s="117"/>
      <c r="BA5541" s="117"/>
      <c r="BB5541" s="117"/>
      <c r="BC5541" s="117"/>
      <c r="BD5541" s="117"/>
    </row>
    <row r="5542" spans="1:56" ht="15">
      <c r="A5542" s="114"/>
      <c r="B5542" s="398" t="s">
        <v>1158</v>
      </c>
      <c r="C5542" s="21"/>
      <c r="D5542" s="413"/>
      <c r="E5542" s="412">
        <f>E5539*E5541</f>
        <v>116</v>
      </c>
      <c r="F5542" s="390" t="s">
        <v>10</v>
      </c>
      <c r="G5542" s="362"/>
      <c r="H5542" s="362"/>
      <c r="I5542" s="362"/>
      <c r="J5542" s="362"/>
      <c r="AX5542" s="117"/>
      <c r="AY5542" s="117"/>
      <c r="AZ5542" s="117"/>
      <c r="BA5542" s="117"/>
      <c r="BB5542" s="117"/>
      <c r="BC5542" s="117"/>
      <c r="BD5542" s="117"/>
    </row>
    <row r="5543" spans="1:56" ht="15">
      <c r="A5543" s="114"/>
      <c r="B5543" s="362"/>
      <c r="C5543" s="362"/>
      <c r="D5543" s="362"/>
      <c r="E5543" s="410"/>
      <c r="F5543" s="362"/>
      <c r="G5543" s="362"/>
      <c r="H5543" s="362"/>
      <c r="I5543" s="362"/>
      <c r="J5543" s="196"/>
      <c r="AX5543" s="117"/>
      <c r="AY5543" s="117"/>
      <c r="AZ5543" s="117"/>
      <c r="BA5543" s="117"/>
      <c r="BB5543" s="117"/>
      <c r="BC5543" s="117"/>
      <c r="BD5543" s="117"/>
    </row>
    <row r="5544" spans="1:56" ht="15">
      <c r="A5544" s="114"/>
      <c r="B5544" s="303" t="s">
        <v>1162</v>
      </c>
      <c r="C5544" s="962"/>
      <c r="D5544" s="962"/>
      <c r="E5544" s="410"/>
      <c r="F5544" s="962"/>
      <c r="G5544" s="962"/>
      <c r="H5544" s="962"/>
      <c r="I5544" s="962"/>
      <c r="J5544" s="196"/>
      <c r="AX5544" s="117"/>
      <c r="AY5544" s="117"/>
      <c r="AZ5544" s="117"/>
      <c r="BA5544" s="117"/>
      <c r="BB5544" s="117"/>
      <c r="BC5544" s="117"/>
      <c r="BD5544" s="117"/>
    </row>
    <row r="5545" spans="1:56" ht="15">
      <c r="A5545" s="114"/>
      <c r="B5545" s="965" t="s">
        <v>1152</v>
      </c>
      <c r="C5545" s="965"/>
      <c r="D5545" s="964"/>
      <c r="E5545" s="411">
        <v>1</v>
      </c>
      <c r="F5545" s="390" t="s">
        <v>1153</v>
      </c>
      <c r="G5545" s="962"/>
      <c r="H5545" s="962"/>
      <c r="I5545" s="962"/>
      <c r="J5545" s="196"/>
      <c r="AX5545" s="117"/>
      <c r="AY5545" s="117"/>
      <c r="AZ5545" s="117"/>
      <c r="BA5545" s="117"/>
      <c r="BB5545" s="117"/>
      <c r="BC5545" s="117"/>
      <c r="BD5545" s="117"/>
    </row>
    <row r="5546" spans="1:56" ht="15">
      <c r="A5546" s="114"/>
      <c r="B5546" s="399" t="s">
        <v>1154</v>
      </c>
      <c r="C5546" s="31"/>
      <c r="D5546" s="32"/>
      <c r="E5546" s="412">
        <v>8</v>
      </c>
      <c r="F5546" s="390" t="s">
        <v>1153</v>
      </c>
      <c r="G5546" s="962"/>
      <c r="H5546" s="962"/>
      <c r="I5546" s="962"/>
      <c r="J5546" s="196"/>
      <c r="AX5546" s="117"/>
      <c r="AY5546" s="117"/>
      <c r="AZ5546" s="117"/>
      <c r="BA5546" s="117"/>
      <c r="BB5546" s="117"/>
      <c r="BC5546" s="117"/>
      <c r="BD5546" s="117"/>
    </row>
    <row r="5547" spans="1:56" ht="15">
      <c r="A5547" s="114"/>
      <c r="B5547" s="965" t="s">
        <v>1155</v>
      </c>
      <c r="C5547" s="21"/>
      <c r="D5547" s="413"/>
      <c r="E5547" s="411">
        <v>600</v>
      </c>
      <c r="F5547" s="390" t="s">
        <v>1156</v>
      </c>
      <c r="G5547" s="962"/>
      <c r="H5547" s="414"/>
      <c r="I5547" s="962"/>
      <c r="J5547" s="196"/>
      <c r="AX5547" s="117"/>
      <c r="AY5547" s="117"/>
      <c r="AZ5547" s="117"/>
      <c r="BA5547" s="117"/>
      <c r="BB5547" s="117"/>
      <c r="BC5547" s="117"/>
      <c r="BD5547" s="117"/>
    </row>
    <row r="5548" spans="1:56" ht="15">
      <c r="A5548" s="114"/>
      <c r="B5548" s="965" t="s">
        <v>1157</v>
      </c>
      <c r="C5548" s="21"/>
      <c r="D5548" s="413"/>
      <c r="E5548" s="418">
        <v>31</v>
      </c>
      <c r="F5548" s="390" t="s">
        <v>10</v>
      </c>
      <c r="G5548" s="962"/>
      <c r="H5548" s="6"/>
      <c r="I5548" s="962"/>
      <c r="J5548" s="196"/>
      <c r="AX5548" s="117"/>
      <c r="AY5548" s="117"/>
      <c r="AZ5548" s="117"/>
      <c r="BA5548" s="117"/>
      <c r="BB5548" s="117"/>
      <c r="BC5548" s="117"/>
      <c r="BD5548" s="117"/>
    </row>
    <row r="5549" spans="1:56" ht="15">
      <c r="A5549" s="114"/>
      <c r="B5549" s="965" t="s">
        <v>1158</v>
      </c>
      <c r="C5549" s="21"/>
      <c r="D5549" s="413"/>
      <c r="E5549" s="412">
        <f>E5546*E5548</f>
        <v>248</v>
      </c>
      <c r="F5549" s="390" t="s">
        <v>10</v>
      </c>
      <c r="G5549" s="962"/>
      <c r="H5549" s="962"/>
      <c r="I5549" s="962"/>
      <c r="J5549" s="962"/>
      <c r="AX5549" s="117"/>
      <c r="AY5549" s="117"/>
      <c r="AZ5549" s="117"/>
      <c r="BA5549" s="117"/>
      <c r="BB5549" s="117"/>
      <c r="BC5549" s="117"/>
      <c r="BD5549" s="117"/>
    </row>
    <row r="5550" spans="1:56" ht="15">
      <c r="A5550" s="114"/>
      <c r="B5550" s="962"/>
      <c r="C5550" s="962"/>
      <c r="D5550" s="962"/>
      <c r="E5550" s="410"/>
      <c r="F5550" s="962"/>
      <c r="G5550" s="962"/>
      <c r="H5550" s="962"/>
      <c r="I5550" s="962"/>
      <c r="J5550" s="196"/>
      <c r="AX5550" s="117"/>
      <c r="AY5550" s="117"/>
      <c r="AZ5550" s="117"/>
      <c r="BA5550" s="117"/>
      <c r="BB5550" s="117"/>
      <c r="BC5550" s="117"/>
      <c r="BD5550" s="117"/>
    </row>
    <row r="5551" spans="1:56" ht="15">
      <c r="A5551" s="114"/>
      <c r="B5551" s="303" t="s">
        <v>1160</v>
      </c>
      <c r="C5551" s="362"/>
      <c r="D5551" s="362"/>
      <c r="E5551" s="410"/>
      <c r="F5551" s="362"/>
      <c r="G5551" s="362"/>
      <c r="H5551" s="362"/>
      <c r="I5551" s="362"/>
      <c r="J5551" s="362"/>
      <c r="AX5551" s="117"/>
      <c r="AY5551" s="117"/>
      <c r="AZ5551" s="117"/>
      <c r="BA5551" s="117"/>
      <c r="BB5551" s="117"/>
      <c r="BC5551" s="117"/>
      <c r="BD5551" s="117"/>
    </row>
    <row r="5552" spans="1:56" ht="18">
      <c r="A5552" s="114"/>
      <c r="B5552" s="398" t="s">
        <v>1128</v>
      </c>
      <c r="C5552" s="172"/>
      <c r="D5552" s="173"/>
      <c r="E5552" s="402">
        <f>E5535*0.05</f>
        <v>1.1759999999999999</v>
      </c>
      <c r="F5552" s="390" t="s">
        <v>1124</v>
      </c>
      <c r="G5552" s="362"/>
      <c r="H5552" s="362"/>
      <c r="I5552" s="362"/>
      <c r="J5552" s="362"/>
      <c r="AX5552" s="117"/>
      <c r="AY5552" s="117"/>
      <c r="AZ5552" s="117"/>
      <c r="BA5552" s="117"/>
      <c r="BB5552" s="117"/>
      <c r="BC5552" s="117"/>
      <c r="BD5552" s="117"/>
    </row>
    <row r="5553" spans="1:56" ht="15">
      <c r="A5553" s="114"/>
      <c r="B5553" s="398" t="s">
        <v>1129</v>
      </c>
      <c r="C5553" s="172"/>
      <c r="D5553" s="173"/>
      <c r="E5553" s="397">
        <f>(2*(C5521+C5522)*C5524)*C5525</f>
        <v>74.88</v>
      </c>
      <c r="F5553" s="390" t="s">
        <v>13</v>
      </c>
      <c r="G5553" s="362"/>
      <c r="H5553" s="362"/>
      <c r="I5553" s="362"/>
      <c r="J5553" s="362"/>
      <c r="AX5553" s="117"/>
      <c r="AY5553" s="117"/>
      <c r="AZ5553" s="117"/>
      <c r="BA5553" s="117"/>
      <c r="BB5553" s="117"/>
      <c r="BC5553" s="117"/>
      <c r="BD5553" s="117"/>
    </row>
    <row r="5554" spans="1:56" ht="18">
      <c r="A5554" s="114"/>
      <c r="B5554" s="398" t="s">
        <v>1130</v>
      </c>
      <c r="C5554" s="172"/>
      <c r="D5554" s="173"/>
      <c r="E5554" s="402">
        <f>(C5521*C5522*C5524)*C5525</f>
        <v>22.463999999999999</v>
      </c>
      <c r="F5554" s="390" t="s">
        <v>1124</v>
      </c>
      <c r="G5554" s="362"/>
      <c r="H5554" s="362"/>
      <c r="I5554" s="362"/>
      <c r="J5554" s="362"/>
      <c r="AX5554" s="117"/>
      <c r="AY5554" s="117"/>
      <c r="AZ5554" s="117"/>
      <c r="BA5554" s="117"/>
      <c r="BB5554" s="117"/>
      <c r="BC5554" s="117"/>
      <c r="BD5554" s="117"/>
    </row>
    <row r="5555" spans="1:56">
      <c r="A5555" s="114"/>
      <c r="B5555" s="115"/>
      <c r="C5555" s="115"/>
      <c r="D5555" s="115"/>
      <c r="E5555" s="115"/>
      <c r="F5555" s="115"/>
      <c r="G5555" s="115"/>
      <c r="H5555" s="115"/>
      <c r="I5555" s="115"/>
      <c r="J5555" s="362"/>
      <c r="AX5555" s="117"/>
      <c r="AY5555" s="117"/>
      <c r="AZ5555" s="117"/>
      <c r="BA5555" s="117"/>
      <c r="BB5555" s="117"/>
      <c r="BC5555" s="117"/>
      <c r="BD5555" s="117"/>
    </row>
    <row r="5556" spans="1:56">
      <c r="A5556" s="114"/>
      <c r="B5556" s="115"/>
      <c r="C5556" s="115"/>
      <c r="D5556" s="115"/>
      <c r="E5556" s="115"/>
      <c r="F5556" s="115"/>
      <c r="G5556" s="115"/>
      <c r="H5556" s="115"/>
      <c r="I5556" s="115"/>
      <c r="J5556" s="415"/>
      <c r="AX5556" s="117"/>
      <c r="AY5556" s="117"/>
      <c r="AZ5556" s="117"/>
      <c r="BA5556" s="117"/>
      <c r="BB5556" s="117"/>
      <c r="BC5556" s="117"/>
      <c r="BD5556" s="117"/>
    </row>
    <row r="5557" spans="1:56">
      <c r="A5557" s="114"/>
      <c r="B5557" s="115"/>
      <c r="C5557" s="115"/>
      <c r="D5557" s="115"/>
      <c r="E5557" s="115"/>
      <c r="F5557" s="115"/>
      <c r="G5557" s="115"/>
      <c r="H5557" s="115"/>
      <c r="I5557" s="115"/>
      <c r="J5557" s="362"/>
      <c r="AX5557" s="117"/>
      <c r="AY5557" s="117"/>
      <c r="AZ5557" s="117"/>
      <c r="BA5557" s="117"/>
      <c r="BB5557" s="117"/>
      <c r="BC5557" s="117"/>
      <c r="BD5557" s="117"/>
    </row>
    <row r="5558" spans="1:56">
      <c r="A5558"/>
      <c r="B5558" s="385" t="s">
        <v>1224</v>
      </c>
      <c r="C5558" s="362"/>
      <c r="D5558" s="362"/>
      <c r="E5558" s="362"/>
      <c r="F5558" s="362"/>
      <c r="G5558" s="115"/>
      <c r="H5558" s="115"/>
      <c r="I5558" s="362"/>
      <c r="J5558" s="362"/>
      <c r="AX5558" s="117"/>
      <c r="AY5558" s="117"/>
      <c r="AZ5558" s="117"/>
      <c r="BA5558" s="117"/>
      <c r="BB5558" s="117"/>
      <c r="BC5558" s="117"/>
      <c r="BD5558" s="117"/>
    </row>
    <row r="5559" spans="1:56" ht="15">
      <c r="A5559" s="114"/>
      <c r="B5559" s="362"/>
      <c r="C5559" s="362"/>
      <c r="D5559" s="362"/>
      <c r="E5559" s="362"/>
      <c r="F5559" s="404"/>
      <c r="G5559" s="196"/>
      <c r="H5559" s="196"/>
      <c r="I5559" s="404"/>
      <c r="J5559" s="362"/>
      <c r="AX5559" s="117"/>
      <c r="AY5559" s="117"/>
      <c r="AZ5559" s="117"/>
      <c r="BA5559" s="117"/>
      <c r="BB5559" s="117"/>
      <c r="BC5559" s="117"/>
      <c r="BD5559" s="117"/>
    </row>
    <row r="5560" spans="1:56" ht="18">
      <c r="A5560" s="114"/>
      <c r="B5560" s="388" t="s">
        <v>1141</v>
      </c>
      <c r="C5560" s="389">
        <v>5.39</v>
      </c>
      <c r="D5560" s="390" t="s">
        <v>10</v>
      </c>
      <c r="E5560" s="196"/>
      <c r="F5560" s="405"/>
      <c r="G5560" s="196"/>
      <c r="H5560" s="196"/>
      <c r="I5560" s="405" t="s">
        <v>1143</v>
      </c>
      <c r="J5560" s="362"/>
      <c r="AX5560" s="117"/>
      <c r="AY5560" s="117"/>
      <c r="AZ5560" s="117"/>
      <c r="BA5560" s="117"/>
      <c r="BB5560" s="117"/>
      <c r="BC5560" s="117"/>
      <c r="BD5560" s="117"/>
    </row>
    <row r="5561" spans="1:56" ht="15">
      <c r="A5561" s="114"/>
      <c r="B5561" s="388" t="s">
        <v>1144</v>
      </c>
      <c r="C5561" s="389">
        <v>0.4</v>
      </c>
      <c r="D5561" s="390" t="s">
        <v>10</v>
      </c>
      <c r="E5561" s="196"/>
      <c r="F5561" s="405"/>
      <c r="G5561" s="362"/>
      <c r="H5561" s="362"/>
      <c r="I5561" s="405"/>
      <c r="J5561" s="362"/>
      <c r="AX5561" s="117"/>
      <c r="AY5561" s="117"/>
      <c r="AZ5561" s="117"/>
      <c r="BA5561" s="117"/>
      <c r="BB5561" s="117"/>
      <c r="BC5561" s="117"/>
      <c r="BD5561" s="117"/>
    </row>
    <row r="5562" spans="1:56" ht="15">
      <c r="A5562" s="114"/>
      <c r="B5562" s="388" t="s">
        <v>1145</v>
      </c>
      <c r="C5562" s="389">
        <v>5.6</v>
      </c>
      <c r="D5562" s="390" t="s">
        <v>10</v>
      </c>
      <c r="E5562" s="196"/>
      <c r="F5562" s="405"/>
      <c r="G5562" s="404"/>
      <c r="H5562" s="404"/>
      <c r="I5562" s="405"/>
      <c r="J5562" s="362"/>
      <c r="AX5562" s="117"/>
      <c r="AY5562" s="117"/>
      <c r="AZ5562" s="117"/>
      <c r="BA5562" s="117"/>
      <c r="BB5562" s="117"/>
      <c r="BC5562" s="117"/>
      <c r="BD5562" s="117"/>
    </row>
    <row r="5563" spans="1:56" ht="18">
      <c r="A5563" s="114"/>
      <c r="B5563" s="388" t="s">
        <v>1146</v>
      </c>
      <c r="C5563" s="389">
        <v>3</v>
      </c>
      <c r="D5563" s="390" t="s">
        <v>10</v>
      </c>
      <c r="E5563" s="196"/>
      <c r="F5563" s="405"/>
      <c r="G5563" s="406" t="s">
        <v>1142</v>
      </c>
      <c r="H5563" s="407">
        <f>C5560*C5561</f>
        <v>2.1560000000000001</v>
      </c>
      <c r="I5563" s="405" t="s">
        <v>1143</v>
      </c>
      <c r="J5563" s="362"/>
      <c r="AX5563" s="117"/>
      <c r="AY5563" s="117"/>
      <c r="AZ5563" s="117"/>
      <c r="BA5563" s="117"/>
      <c r="BB5563" s="117"/>
      <c r="BC5563" s="117"/>
      <c r="BD5563" s="117"/>
    </row>
    <row r="5564" spans="1:56" ht="18">
      <c r="A5564" s="114"/>
      <c r="B5564" s="388" t="s">
        <v>1112</v>
      </c>
      <c r="C5564" s="389">
        <v>0.55000000000000004</v>
      </c>
      <c r="D5564" s="390" t="s">
        <v>10</v>
      </c>
      <c r="E5564" s="196"/>
      <c r="F5564" s="405"/>
      <c r="G5564" s="406" t="e">
        <f>TEXT(C5568,"tg 0°=")</f>
        <v>#VALUE!</v>
      </c>
      <c r="H5564" s="408">
        <f>TAN(3.14159265359*C5568/180)</f>
        <v>1.732050807569153</v>
      </c>
      <c r="I5564" s="405" t="s">
        <v>1143</v>
      </c>
      <c r="J5564" s="114"/>
      <c r="AW5564" s="117"/>
      <c r="AX5564" s="117"/>
      <c r="AY5564" s="117"/>
      <c r="AZ5564" s="117"/>
      <c r="BA5564" s="117"/>
      <c r="BB5564" s="117"/>
      <c r="BC5564" s="117"/>
      <c r="BD5564" s="117"/>
    </row>
    <row r="5565" spans="1:56" ht="15">
      <c r="A5565" s="114"/>
      <c r="B5565" s="388" t="s">
        <v>1113</v>
      </c>
      <c r="C5565" s="389">
        <v>2</v>
      </c>
      <c r="D5565" s="390" t="s">
        <v>10</v>
      </c>
      <c r="E5565" s="196"/>
      <c r="F5565" s="405"/>
      <c r="G5565" s="406"/>
      <c r="H5565" s="407"/>
      <c r="I5565" s="405"/>
      <c r="J5565" s="114"/>
      <c r="AW5565" s="117"/>
      <c r="AX5565" s="117"/>
      <c r="AY5565" s="117"/>
      <c r="AZ5565" s="117"/>
      <c r="BA5565" s="117"/>
      <c r="BB5565" s="117"/>
      <c r="BC5565" s="117"/>
      <c r="BD5565" s="117"/>
    </row>
    <row r="5566" spans="1:56" ht="15">
      <c r="A5566" s="114"/>
      <c r="B5566" s="388" t="s">
        <v>1117</v>
      </c>
      <c r="C5566" s="391">
        <v>21</v>
      </c>
      <c r="D5566" s="390" t="s">
        <v>1118</v>
      </c>
      <c r="E5566" s="196"/>
      <c r="F5566" s="405"/>
      <c r="G5566" s="406" t="s">
        <v>1142</v>
      </c>
      <c r="H5566" s="409">
        <f>(C5562+2*C5570+((C5564+C5565+0.05)/H5564)*2)*(C5563+2*C5570+((C5564+C5565+0.05)/H5564)*2)</f>
        <v>67.236880171057564</v>
      </c>
      <c r="I5566" s="405"/>
      <c r="J5566" s="114"/>
      <c r="AW5566" s="117"/>
      <c r="AX5566" s="117"/>
      <c r="AY5566" s="117"/>
      <c r="AZ5566" s="117"/>
      <c r="BA5566" s="117"/>
      <c r="BB5566" s="117"/>
      <c r="BC5566" s="117"/>
      <c r="BD5566" s="117"/>
    </row>
    <row r="5567" spans="1:56" customFormat="1" ht="15">
      <c r="A5567" s="114"/>
      <c r="B5567" s="196" t="s">
        <v>1148</v>
      </c>
      <c r="C5567" s="393"/>
      <c r="D5567" s="196"/>
      <c r="E5567" s="196"/>
      <c r="F5567" s="405"/>
      <c r="G5567" s="406" t="s">
        <v>1147</v>
      </c>
      <c r="H5567" s="409">
        <f>(C5562+2*C5570)*(C5563+2*C5570)</f>
        <v>26.4</v>
      </c>
      <c r="I5567" s="405"/>
      <c r="J5567" s="362"/>
    </row>
    <row r="5568" spans="1:56" ht="15">
      <c r="A5568" s="114"/>
      <c r="B5568" s="388" t="s">
        <v>1149</v>
      </c>
      <c r="C5568" s="389">
        <v>60</v>
      </c>
      <c r="D5568" s="390" t="s">
        <v>1150</v>
      </c>
      <c r="E5568" s="196"/>
      <c r="F5568" s="196"/>
      <c r="G5568" s="406"/>
      <c r="H5568" s="407"/>
      <c r="I5568" s="196"/>
      <c r="J5568" s="404"/>
      <c r="AX5568" s="117"/>
      <c r="AY5568" s="117"/>
      <c r="AZ5568" s="117"/>
      <c r="BA5568" s="117"/>
      <c r="BB5568" s="117"/>
      <c r="BC5568" s="117"/>
      <c r="BD5568" s="117"/>
    </row>
    <row r="5569" spans="1:56" ht="15">
      <c r="A5569" s="114"/>
      <c r="B5569" s="362"/>
      <c r="C5569" s="196"/>
      <c r="D5569" s="196"/>
      <c r="E5569" s="196"/>
      <c r="F5569" s="196"/>
      <c r="G5569" s="406"/>
      <c r="H5569" s="407"/>
      <c r="I5569" s="362"/>
      <c r="J5569" s="405"/>
      <c r="AX5569" s="117"/>
      <c r="AY5569" s="117"/>
      <c r="AZ5569" s="117"/>
      <c r="BA5569" s="117"/>
      <c r="BB5569" s="117"/>
      <c r="BC5569" s="117"/>
      <c r="BD5569" s="117"/>
    </row>
    <row r="5570" spans="1:56" ht="15">
      <c r="A5570" s="114"/>
      <c r="B5570" s="388" t="s">
        <v>1114</v>
      </c>
      <c r="C5570" s="389">
        <v>0.5</v>
      </c>
      <c r="D5570" s="390" t="s">
        <v>10</v>
      </c>
      <c r="E5570" s="288" t="s">
        <v>1120</v>
      </c>
      <c r="F5570" s="196"/>
      <c r="G5570" s="406"/>
      <c r="H5570" s="407"/>
      <c r="I5570" s="114"/>
      <c r="J5570" s="405"/>
      <c r="AX5570" s="117"/>
      <c r="AY5570" s="117"/>
      <c r="AZ5570" s="117"/>
      <c r="BA5570" s="117"/>
      <c r="BB5570" s="117"/>
      <c r="BC5570" s="117"/>
      <c r="BD5570" s="117"/>
    </row>
    <row r="5571" spans="1:56" ht="15">
      <c r="A5571" s="114"/>
      <c r="B5571" s="388" t="s">
        <v>1114</v>
      </c>
      <c r="C5571" s="389">
        <v>0.1</v>
      </c>
      <c r="D5571" s="390" t="s">
        <v>10</v>
      </c>
      <c r="E5571" s="288" t="s">
        <v>1121</v>
      </c>
      <c r="F5571" s="196"/>
      <c r="G5571" s="392"/>
      <c r="H5571" s="393"/>
      <c r="I5571" s="196"/>
      <c r="J5571" s="405"/>
      <c r="AX5571" s="117"/>
      <c r="AY5571" s="117"/>
      <c r="AZ5571" s="117"/>
      <c r="BA5571" s="117"/>
      <c r="BB5571" s="117"/>
      <c r="BC5571" s="117"/>
      <c r="BD5571" s="117"/>
    </row>
    <row r="5572" spans="1:56" ht="15">
      <c r="A5572" s="114"/>
      <c r="B5572" s="362"/>
      <c r="C5572" s="362"/>
      <c r="D5572" s="362"/>
      <c r="E5572" s="362"/>
      <c r="F5572" s="362"/>
      <c r="G5572" s="362"/>
      <c r="H5572" s="362"/>
      <c r="I5572" s="196"/>
      <c r="J5572" s="405"/>
      <c r="AX5572" s="117"/>
      <c r="AY5572" s="117"/>
      <c r="AZ5572" s="117"/>
      <c r="BA5572" s="117"/>
      <c r="BB5572" s="117"/>
      <c r="BC5572" s="117"/>
      <c r="BD5572" s="117"/>
    </row>
    <row r="5573" spans="1:56" ht="15">
      <c r="A5573" s="114"/>
      <c r="B5573" s="303" t="s">
        <v>1122</v>
      </c>
      <c r="C5573" s="362"/>
      <c r="D5573" s="362"/>
      <c r="E5573" s="362"/>
      <c r="F5573" s="362"/>
      <c r="G5573" s="196" t="s">
        <v>1131</v>
      </c>
      <c r="H5573" s="114"/>
      <c r="I5573" s="196"/>
      <c r="J5573" s="405"/>
      <c r="AX5573" s="117"/>
      <c r="AY5573" s="117"/>
      <c r="AZ5573" s="117"/>
      <c r="BA5573" s="117"/>
      <c r="BB5573" s="117"/>
      <c r="BC5573" s="117"/>
      <c r="BD5573" s="117"/>
    </row>
    <row r="5574" spans="1:56" ht="18">
      <c r="A5574" s="114"/>
      <c r="B5574" s="398" t="s">
        <v>1123</v>
      </c>
      <c r="C5574" s="172"/>
      <c r="D5574" s="173"/>
      <c r="E5574" s="397">
        <f>C5566*((H5567+H5566)/2)*(C5564+C5565+0.05)</f>
        <v>2556.2868286698708</v>
      </c>
      <c r="F5574" s="390" t="s">
        <v>1124</v>
      </c>
      <c r="G5574" s="196"/>
      <c r="H5574" s="196"/>
      <c r="I5574" s="362"/>
      <c r="J5574" s="405"/>
      <c r="AX5574" s="117"/>
      <c r="AY5574" s="117"/>
      <c r="AZ5574" s="117"/>
      <c r="BA5574" s="117"/>
      <c r="BB5574" s="117"/>
      <c r="BC5574" s="117"/>
      <c r="BD5574" s="117"/>
    </row>
    <row r="5575" spans="1:56" ht="18">
      <c r="A5575" s="114"/>
      <c r="B5575" s="398" t="s">
        <v>1125</v>
      </c>
      <c r="C5575" s="172"/>
      <c r="D5575" s="173"/>
      <c r="E5575" s="400">
        <f>E5574-C5566*(C5562*C5563*C5565+C5562*C5563*0.05+C5560*C5561*C5564)</f>
        <v>1808.145028669871</v>
      </c>
      <c r="F5575" s="390" t="s">
        <v>1124</v>
      </c>
      <c r="G5575" s="196"/>
      <c r="H5575" s="196"/>
      <c r="I5575" s="196"/>
      <c r="J5575" s="405"/>
      <c r="AX5575" s="117"/>
      <c r="AY5575" s="117"/>
      <c r="AZ5575" s="117"/>
      <c r="BA5575" s="117"/>
      <c r="BB5575" s="117"/>
      <c r="BC5575" s="117"/>
      <c r="BD5575" s="117"/>
    </row>
    <row r="5576" spans="1:56" ht="15">
      <c r="A5576" s="114"/>
      <c r="B5576" s="398" t="s">
        <v>1126</v>
      </c>
      <c r="C5576" s="172"/>
      <c r="D5576" s="173"/>
      <c r="E5576" s="400">
        <f>((C5562+2*C5571)*(C5563+2*C5571))*C5566</f>
        <v>389.76</v>
      </c>
      <c r="F5576" s="390" t="s">
        <v>13</v>
      </c>
      <c r="G5576" s="362"/>
      <c r="H5576" s="362"/>
      <c r="I5576" s="362"/>
      <c r="J5576" s="405"/>
      <c r="AX5576" s="117"/>
      <c r="AY5576" s="117"/>
      <c r="AZ5576" s="117"/>
      <c r="BA5576" s="117"/>
      <c r="BB5576" s="117"/>
      <c r="BC5576" s="117"/>
      <c r="BD5576" s="117"/>
    </row>
    <row r="5577" spans="1:56" ht="15">
      <c r="A5577" s="114"/>
      <c r="B5577" s="362"/>
      <c r="C5577" s="362"/>
      <c r="D5577" s="362"/>
      <c r="E5577" s="401"/>
      <c r="F5577" s="196"/>
      <c r="G5577" s="362"/>
      <c r="H5577" s="362"/>
      <c r="I5577" s="362"/>
      <c r="J5577" s="196"/>
      <c r="AX5577" s="117"/>
      <c r="AY5577" s="117"/>
      <c r="AZ5577" s="117"/>
      <c r="BA5577" s="117"/>
      <c r="BB5577" s="117"/>
      <c r="BC5577" s="117"/>
      <c r="BD5577" s="117"/>
    </row>
    <row r="5578" spans="1:56" ht="15">
      <c r="A5578" s="114"/>
      <c r="B5578" s="303" t="s">
        <v>1162</v>
      </c>
      <c r="C5578" s="362"/>
      <c r="D5578" s="362"/>
      <c r="E5578" s="410"/>
      <c r="F5578" s="362"/>
      <c r="G5578" s="362"/>
      <c r="H5578" s="362"/>
      <c r="I5578" s="362"/>
      <c r="J5578" s="196"/>
      <c r="AX5578" s="117"/>
      <c r="AY5578" s="117"/>
      <c r="AZ5578" s="117"/>
      <c r="BA5578" s="117"/>
      <c r="BB5578" s="117"/>
      <c r="BC5578" s="117"/>
      <c r="BD5578" s="117"/>
    </row>
    <row r="5579" spans="1:56" ht="15">
      <c r="A5579" s="114"/>
      <c r="B5579" s="398" t="s">
        <v>1152</v>
      </c>
      <c r="C5579" s="398"/>
      <c r="D5579" s="366"/>
      <c r="E5579" s="411">
        <v>6</v>
      </c>
      <c r="F5579" s="390" t="s">
        <v>1153</v>
      </c>
      <c r="G5579" s="362"/>
      <c r="H5579" s="362"/>
      <c r="I5579" s="362"/>
      <c r="J5579" s="196"/>
      <c r="AX5579" s="117"/>
      <c r="AY5579" s="117"/>
      <c r="AZ5579" s="117"/>
      <c r="BA5579" s="117"/>
      <c r="BB5579" s="117"/>
      <c r="BC5579" s="117"/>
      <c r="BD5579" s="117"/>
    </row>
    <row r="5580" spans="1:56" ht="15">
      <c r="A5580" s="114"/>
      <c r="B5580" s="399" t="s">
        <v>1154</v>
      </c>
      <c r="C5580" s="31"/>
      <c r="D5580" s="32"/>
      <c r="E5580" s="412">
        <f>C5566*E5579</f>
        <v>126</v>
      </c>
      <c r="F5580" s="390" t="s">
        <v>1153</v>
      </c>
      <c r="G5580" s="362"/>
      <c r="H5580" s="362"/>
      <c r="I5580" s="362"/>
      <c r="J5580" s="196"/>
      <c r="AX5580" s="117"/>
      <c r="AY5580" s="117"/>
      <c r="AZ5580" s="117"/>
      <c r="BA5580" s="117"/>
      <c r="BB5580" s="117"/>
      <c r="BC5580" s="117"/>
      <c r="BD5580" s="117"/>
    </row>
    <row r="5581" spans="1:56" ht="15">
      <c r="A5581" s="114"/>
      <c r="B5581" s="398" t="s">
        <v>1155</v>
      </c>
      <c r="C5581" s="21"/>
      <c r="D5581" s="413"/>
      <c r="E5581" s="411">
        <v>400</v>
      </c>
      <c r="F5581" s="390" t="s">
        <v>1156</v>
      </c>
      <c r="G5581" s="362"/>
      <c r="H5581" s="414"/>
      <c r="I5581" s="362"/>
      <c r="J5581" s="196"/>
      <c r="AX5581" s="117"/>
      <c r="AY5581" s="117"/>
      <c r="AZ5581" s="117"/>
      <c r="BA5581" s="117"/>
      <c r="BB5581" s="117"/>
      <c r="BC5581" s="117"/>
      <c r="BD5581" s="117"/>
    </row>
    <row r="5582" spans="1:56" ht="15">
      <c r="A5582" s="114"/>
      <c r="B5582" s="398" t="s">
        <v>1157</v>
      </c>
      <c r="C5582" s="21"/>
      <c r="D5582" s="413"/>
      <c r="E5582" s="418">
        <v>29</v>
      </c>
      <c r="F5582" s="390" t="s">
        <v>10</v>
      </c>
      <c r="G5582" s="362"/>
      <c r="H5582" s="6"/>
      <c r="I5582" s="362"/>
      <c r="J5582" s="196"/>
      <c r="AX5582" s="117"/>
      <c r="AY5582" s="117"/>
      <c r="AZ5582" s="117"/>
      <c r="BA5582" s="117"/>
      <c r="BB5582" s="117"/>
      <c r="BC5582" s="117"/>
      <c r="BD5582" s="117"/>
    </row>
    <row r="5583" spans="1:56" ht="15">
      <c r="A5583" s="114"/>
      <c r="B5583" s="398" t="s">
        <v>1158</v>
      </c>
      <c r="C5583" s="21"/>
      <c r="D5583" s="413"/>
      <c r="E5583" s="412">
        <f>E5580*E5582</f>
        <v>3654</v>
      </c>
      <c r="F5583" s="390" t="s">
        <v>10</v>
      </c>
      <c r="G5583" s="362"/>
      <c r="H5583" s="362"/>
      <c r="I5583" s="362"/>
      <c r="J5583" s="362"/>
      <c r="AX5583" s="117"/>
      <c r="AY5583" s="117"/>
      <c r="AZ5583" s="117"/>
      <c r="BA5583" s="117"/>
      <c r="BB5583" s="117"/>
      <c r="BC5583" s="117"/>
      <c r="BD5583" s="117"/>
    </row>
    <row r="5584" spans="1:56" ht="15">
      <c r="A5584" s="114"/>
      <c r="B5584" s="362"/>
      <c r="C5584" s="362"/>
      <c r="D5584" s="362"/>
      <c r="E5584" s="410"/>
      <c r="F5584" s="362"/>
      <c r="G5584" s="362"/>
      <c r="H5584" s="362"/>
      <c r="I5584" s="362"/>
      <c r="J5584" s="196"/>
      <c r="AX5584" s="117"/>
      <c r="AY5584" s="117"/>
      <c r="AZ5584" s="117"/>
      <c r="BA5584" s="117"/>
      <c r="BB5584" s="117"/>
      <c r="BC5584" s="117"/>
      <c r="BD5584" s="117"/>
    </row>
    <row r="5585" spans="1:56" ht="15">
      <c r="A5585" s="114"/>
      <c r="B5585" s="303" t="s">
        <v>1160</v>
      </c>
      <c r="C5585" s="362"/>
      <c r="D5585" s="362"/>
      <c r="E5585" s="410"/>
      <c r="F5585" s="362"/>
      <c r="G5585" s="362"/>
      <c r="H5585" s="362"/>
      <c r="I5585" s="362"/>
      <c r="J5585" s="362"/>
      <c r="AX5585" s="117"/>
      <c r="AY5585" s="117"/>
      <c r="AZ5585" s="117"/>
      <c r="BA5585" s="117"/>
      <c r="BB5585" s="117"/>
      <c r="BC5585" s="117"/>
      <c r="BD5585" s="117"/>
    </row>
    <row r="5586" spans="1:56" ht="18">
      <c r="A5586" s="114"/>
      <c r="B5586" s="398" t="s">
        <v>1128</v>
      </c>
      <c r="C5586" s="172"/>
      <c r="D5586" s="173"/>
      <c r="E5586" s="402">
        <f>E5576*0.05</f>
        <v>19.488</v>
      </c>
      <c r="F5586" s="390" t="s">
        <v>1124</v>
      </c>
      <c r="G5586" s="362"/>
      <c r="H5586" s="362"/>
      <c r="I5586" s="362"/>
      <c r="J5586" s="362"/>
      <c r="AX5586" s="117"/>
      <c r="AY5586" s="117"/>
      <c r="AZ5586" s="117"/>
      <c r="BA5586" s="117"/>
      <c r="BB5586" s="117"/>
      <c r="BC5586" s="117"/>
      <c r="BD5586" s="117"/>
    </row>
    <row r="5587" spans="1:56" ht="15">
      <c r="A5587" s="114"/>
      <c r="B5587" s="398" t="s">
        <v>1129</v>
      </c>
      <c r="C5587" s="172"/>
      <c r="D5587" s="173"/>
      <c r="E5587" s="397">
        <f>(2*(C5562+C5563)*C5565)*C5566</f>
        <v>722.4</v>
      </c>
      <c r="F5587" s="390" t="s">
        <v>13</v>
      </c>
      <c r="G5587" s="362"/>
      <c r="H5587" s="362"/>
      <c r="I5587" s="362"/>
      <c r="J5587" s="362"/>
      <c r="AX5587" s="117"/>
      <c r="AY5587" s="117"/>
      <c r="AZ5587" s="117"/>
      <c r="BA5587" s="117"/>
      <c r="BB5587" s="117"/>
      <c r="BC5587" s="117"/>
      <c r="BD5587" s="117"/>
    </row>
    <row r="5588" spans="1:56" ht="18">
      <c r="A5588" s="114"/>
      <c r="B5588" s="398" t="s">
        <v>1130</v>
      </c>
      <c r="C5588" s="172"/>
      <c r="D5588" s="173"/>
      <c r="E5588" s="402">
        <f>(C5562*C5563*C5565)*C5566</f>
        <v>705.59999999999991</v>
      </c>
      <c r="F5588" s="390" t="s">
        <v>1124</v>
      </c>
      <c r="G5588" s="362"/>
      <c r="H5588" s="362"/>
      <c r="I5588" s="362"/>
      <c r="J5588" s="362"/>
      <c r="AX5588" s="117"/>
      <c r="AY5588" s="117"/>
      <c r="AZ5588" s="117"/>
      <c r="BA5588" s="117"/>
      <c r="BB5588" s="117"/>
      <c r="BC5588" s="117"/>
      <c r="BD5588" s="117"/>
    </row>
    <row r="5589" spans="1:56">
      <c r="A5589" s="114"/>
      <c r="B5589" s="115"/>
      <c r="C5589" s="115"/>
      <c r="D5589" s="115"/>
      <c r="E5589" s="115"/>
      <c r="F5589" s="115"/>
      <c r="G5589" s="115"/>
      <c r="H5589" s="115"/>
      <c r="I5589" s="115"/>
      <c r="J5589" s="362"/>
      <c r="AX5589" s="117"/>
      <c r="AY5589" s="117"/>
      <c r="AZ5589" s="117"/>
      <c r="BA5589" s="117"/>
      <c r="BB5589" s="117"/>
      <c r="BC5589" s="117"/>
      <c r="BD5589" s="117"/>
    </row>
    <row r="5590" spans="1:56">
      <c r="A5590" s="114"/>
      <c r="B5590" s="115"/>
      <c r="C5590" s="115"/>
      <c r="D5590" s="115"/>
      <c r="E5590" s="115"/>
      <c r="F5590" s="115"/>
      <c r="G5590" s="115"/>
      <c r="H5590" s="115"/>
      <c r="I5590" s="115"/>
      <c r="J5590" s="415"/>
      <c r="AX5590" s="117"/>
      <c r="AY5590" s="117"/>
      <c r="AZ5590" s="117"/>
      <c r="BA5590" s="117"/>
      <c r="BB5590" s="117"/>
      <c r="BC5590" s="117"/>
      <c r="BD5590" s="117"/>
    </row>
    <row r="5591" spans="1:56">
      <c r="A5591" s="114"/>
      <c r="B5591" s="115"/>
      <c r="C5591" s="115"/>
      <c r="D5591" s="115"/>
      <c r="E5591" s="115"/>
      <c r="F5591" s="115"/>
      <c r="G5591" s="115"/>
      <c r="H5591" s="115"/>
      <c r="I5591" s="115"/>
      <c r="J5591" s="362"/>
      <c r="AX5591" s="117"/>
      <c r="AY5591" s="117"/>
      <c r="AZ5591" s="117"/>
      <c r="BA5591" s="117"/>
      <c r="BB5591" s="117"/>
      <c r="BC5591" s="117"/>
      <c r="BD5591" s="117"/>
    </row>
    <row r="5592" spans="1:56">
      <c r="A5592"/>
      <c r="B5592" s="385" t="s">
        <v>1230</v>
      </c>
      <c r="C5592" s="362"/>
      <c r="D5592" s="362"/>
      <c r="E5592" s="362"/>
      <c r="F5592" s="362"/>
      <c r="G5592" s="115"/>
      <c r="H5592" s="115"/>
      <c r="I5592" s="362"/>
      <c r="J5592" s="362"/>
      <c r="AX5592" s="117"/>
      <c r="AY5592" s="117"/>
      <c r="AZ5592" s="117"/>
      <c r="BA5592" s="117"/>
      <c r="BB5592" s="117"/>
      <c r="BC5592" s="117"/>
      <c r="BD5592" s="117"/>
    </row>
    <row r="5593" spans="1:56" ht="15">
      <c r="A5593" s="114"/>
      <c r="B5593" s="362"/>
      <c r="C5593" s="362"/>
      <c r="D5593" s="362"/>
      <c r="E5593" s="362"/>
      <c r="F5593" s="404"/>
      <c r="G5593" s="196"/>
      <c r="H5593" s="196"/>
      <c r="I5593" s="404"/>
      <c r="J5593" s="362"/>
      <c r="AX5593" s="117"/>
      <c r="AY5593" s="117"/>
      <c r="AZ5593" s="117"/>
      <c r="BA5593" s="117"/>
      <c r="BB5593" s="117"/>
      <c r="BC5593" s="117"/>
      <c r="BD5593" s="117"/>
    </row>
    <row r="5594" spans="1:56" ht="18">
      <c r="A5594" s="114"/>
      <c r="B5594" s="388" t="s">
        <v>1141</v>
      </c>
      <c r="C5594" s="389">
        <v>0</v>
      </c>
      <c r="D5594" s="390" t="s">
        <v>10</v>
      </c>
      <c r="E5594" s="196"/>
      <c r="F5594" s="405"/>
      <c r="G5594" s="196"/>
      <c r="H5594" s="196"/>
      <c r="I5594" s="405" t="s">
        <v>1143</v>
      </c>
      <c r="J5594" s="362"/>
      <c r="AX5594" s="117"/>
      <c r="AY5594" s="117"/>
      <c r="AZ5594" s="117"/>
      <c r="BA5594" s="117"/>
      <c r="BB5594" s="117"/>
      <c r="BC5594" s="117"/>
      <c r="BD5594" s="117"/>
    </row>
    <row r="5595" spans="1:56" ht="15">
      <c r="A5595" s="114"/>
      <c r="B5595" s="388" t="s">
        <v>1144</v>
      </c>
      <c r="C5595" s="389">
        <v>0</v>
      </c>
      <c r="D5595" s="390" t="s">
        <v>10</v>
      </c>
      <c r="E5595" s="196"/>
      <c r="F5595" s="405"/>
      <c r="G5595" s="362"/>
      <c r="H5595" s="362"/>
      <c r="I5595" s="405"/>
      <c r="J5595" s="362"/>
      <c r="AX5595" s="117"/>
      <c r="AY5595" s="117"/>
      <c r="AZ5595" s="117"/>
      <c r="BA5595" s="117"/>
      <c r="BB5595" s="117"/>
      <c r="BC5595" s="117"/>
      <c r="BD5595" s="117"/>
    </row>
    <row r="5596" spans="1:56" ht="15">
      <c r="A5596" s="114"/>
      <c r="B5596" s="388" t="s">
        <v>1145</v>
      </c>
      <c r="C5596" s="389">
        <v>3</v>
      </c>
      <c r="D5596" s="390" t="s">
        <v>10</v>
      </c>
      <c r="E5596" s="196"/>
      <c r="F5596" s="405"/>
      <c r="G5596" s="404"/>
      <c r="H5596" s="404"/>
      <c r="I5596" s="405"/>
      <c r="J5596" s="362"/>
      <c r="AX5596" s="117"/>
      <c r="AY5596" s="117"/>
      <c r="AZ5596" s="117"/>
      <c r="BA5596" s="117"/>
      <c r="BB5596" s="117"/>
      <c r="BC5596" s="117"/>
      <c r="BD5596" s="117"/>
    </row>
    <row r="5597" spans="1:56" ht="18">
      <c r="A5597" s="114"/>
      <c r="B5597" s="388" t="s">
        <v>1146</v>
      </c>
      <c r="C5597" s="389">
        <v>1.2</v>
      </c>
      <c r="D5597" s="390" t="s">
        <v>10</v>
      </c>
      <c r="E5597" s="196"/>
      <c r="F5597" s="405"/>
      <c r="G5597" s="406" t="s">
        <v>1142</v>
      </c>
      <c r="H5597" s="407">
        <f>C5594*C5595</f>
        <v>0</v>
      </c>
      <c r="I5597" s="405" t="s">
        <v>1143</v>
      </c>
      <c r="J5597" s="362"/>
      <c r="AX5597" s="117"/>
      <c r="AY5597" s="117"/>
      <c r="AZ5597" s="117"/>
      <c r="BA5597" s="117"/>
      <c r="BB5597" s="117"/>
      <c r="BC5597" s="117"/>
      <c r="BD5597" s="117"/>
    </row>
    <row r="5598" spans="1:56" ht="18">
      <c r="A5598" s="114"/>
      <c r="B5598" s="388" t="s">
        <v>1112</v>
      </c>
      <c r="C5598" s="389">
        <v>0.55000000000000004</v>
      </c>
      <c r="D5598" s="390" t="s">
        <v>10</v>
      </c>
      <c r="E5598" s="196"/>
      <c r="F5598" s="405"/>
      <c r="G5598" s="406" t="e">
        <f>TEXT(C5602,"tg 0°=")</f>
        <v>#VALUE!</v>
      </c>
      <c r="H5598" s="408">
        <f>TAN(3.14159265359*C5602/180)</f>
        <v>1.732050807569153</v>
      </c>
      <c r="I5598" s="405" t="s">
        <v>1143</v>
      </c>
      <c r="J5598" s="114"/>
      <c r="AW5598" s="117"/>
      <c r="AX5598" s="117"/>
      <c r="AY5598" s="117"/>
      <c r="AZ5598" s="117"/>
      <c r="BA5598" s="117"/>
      <c r="BB5598" s="117"/>
      <c r="BC5598" s="117"/>
      <c r="BD5598" s="117"/>
    </row>
    <row r="5599" spans="1:56" ht="15">
      <c r="A5599" s="114"/>
      <c r="B5599" s="388" t="s">
        <v>1113</v>
      </c>
      <c r="C5599" s="389">
        <v>1.3</v>
      </c>
      <c r="D5599" s="390" t="s">
        <v>10</v>
      </c>
      <c r="E5599" s="196"/>
      <c r="F5599" s="405"/>
      <c r="G5599" s="406"/>
      <c r="H5599" s="407"/>
      <c r="I5599" s="405"/>
      <c r="J5599" s="114"/>
      <c r="AW5599" s="117"/>
      <c r="AX5599" s="117"/>
      <c r="AY5599" s="117"/>
      <c r="AZ5599" s="117"/>
      <c r="BA5599" s="117"/>
      <c r="BB5599" s="117"/>
      <c r="BC5599" s="117"/>
      <c r="BD5599" s="117"/>
    </row>
    <row r="5600" spans="1:56" ht="15">
      <c r="A5600" s="114"/>
      <c r="B5600" s="388" t="s">
        <v>1117</v>
      </c>
      <c r="C5600" s="391">
        <v>7</v>
      </c>
      <c r="D5600" s="390" t="s">
        <v>1118</v>
      </c>
      <c r="E5600" s="196"/>
      <c r="F5600" s="405"/>
      <c r="G5600" s="406" t="s">
        <v>1142</v>
      </c>
      <c r="H5600" s="409">
        <f>(C5596+2*C5604+((C5598+C5599+0.05)/H5598)*2)*(C5597+2*C5604+((C5598+C5599+0.05)/H5598)*2)</f>
        <v>27.215705675437224</v>
      </c>
      <c r="I5600" s="405"/>
      <c r="J5600" s="114"/>
      <c r="AW5600" s="117"/>
      <c r="AX5600" s="117"/>
      <c r="AY5600" s="117"/>
      <c r="AZ5600" s="117"/>
      <c r="BA5600" s="117"/>
      <c r="BB5600" s="117"/>
      <c r="BC5600" s="117"/>
      <c r="BD5600" s="117"/>
    </row>
    <row r="5601" spans="1:56" customFormat="1" ht="15">
      <c r="A5601" s="114"/>
      <c r="B5601" s="196" t="s">
        <v>1148</v>
      </c>
      <c r="C5601" s="393"/>
      <c r="D5601" s="196"/>
      <c r="E5601" s="196"/>
      <c r="F5601" s="405"/>
      <c r="G5601" s="406" t="s">
        <v>1147</v>
      </c>
      <c r="H5601" s="409">
        <f>(C5596+2*C5604)*(C5597+2*C5604)</f>
        <v>8.8000000000000007</v>
      </c>
      <c r="I5601" s="405"/>
      <c r="J5601" s="196"/>
    </row>
    <row r="5602" spans="1:56" ht="15">
      <c r="A5602" s="114"/>
      <c r="B5602" s="388" t="s">
        <v>1149</v>
      </c>
      <c r="C5602" s="389">
        <v>60</v>
      </c>
      <c r="D5602" s="390" t="s">
        <v>1150</v>
      </c>
      <c r="E5602" s="196"/>
      <c r="F5602" s="196"/>
      <c r="G5602" s="406"/>
      <c r="H5602" s="407"/>
      <c r="I5602" s="196"/>
      <c r="J5602" s="114"/>
      <c r="AX5602" s="117"/>
      <c r="AY5602" s="117"/>
      <c r="AZ5602" s="117"/>
      <c r="BA5602" s="117"/>
      <c r="BB5602" s="117"/>
      <c r="BC5602" s="117"/>
      <c r="BD5602" s="117"/>
    </row>
    <row r="5603" spans="1:56" ht="15">
      <c r="A5603" s="114"/>
      <c r="B5603" s="362"/>
      <c r="C5603" s="196"/>
      <c r="D5603" s="196"/>
      <c r="E5603" s="196"/>
      <c r="F5603" s="196"/>
      <c r="G5603" s="406"/>
      <c r="H5603" s="407"/>
      <c r="I5603" s="362"/>
      <c r="J5603" s="114"/>
      <c r="AX5603" s="117"/>
      <c r="AY5603" s="117"/>
      <c r="AZ5603" s="117"/>
      <c r="BA5603" s="117"/>
      <c r="BB5603" s="117"/>
      <c r="BC5603" s="117"/>
      <c r="BD5603" s="117"/>
    </row>
    <row r="5604" spans="1:56" ht="15">
      <c r="A5604" s="114"/>
      <c r="B5604" s="388" t="s">
        <v>1114</v>
      </c>
      <c r="C5604" s="389">
        <v>0.5</v>
      </c>
      <c r="D5604" s="390" t="s">
        <v>10</v>
      </c>
      <c r="E5604" s="288" t="s">
        <v>1120</v>
      </c>
      <c r="F5604" s="196"/>
      <c r="G5604" s="406"/>
      <c r="H5604" s="407"/>
      <c r="I5604" s="114"/>
      <c r="J5604" s="114"/>
      <c r="AX5604" s="117"/>
      <c r="AY5604" s="117"/>
      <c r="AZ5604" s="117"/>
      <c r="BA5604" s="117"/>
      <c r="BB5604" s="117"/>
      <c r="BC5604" s="117"/>
      <c r="BD5604" s="117"/>
    </row>
    <row r="5605" spans="1:56" ht="15">
      <c r="A5605" s="114"/>
      <c r="B5605" s="388" t="s">
        <v>1114</v>
      </c>
      <c r="C5605" s="389">
        <v>0.1</v>
      </c>
      <c r="D5605" s="390" t="s">
        <v>10</v>
      </c>
      <c r="E5605" s="288" t="s">
        <v>1121</v>
      </c>
      <c r="F5605" s="196"/>
      <c r="G5605" s="392"/>
      <c r="H5605" s="393"/>
      <c r="I5605" s="196"/>
      <c r="J5605" s="114"/>
      <c r="AX5605" s="117"/>
      <c r="AY5605" s="117"/>
      <c r="AZ5605" s="117"/>
      <c r="BA5605" s="117"/>
      <c r="BB5605" s="117"/>
      <c r="BC5605" s="117"/>
      <c r="BD5605" s="117"/>
    </row>
    <row r="5606" spans="1:56" ht="15">
      <c r="A5606" s="114"/>
      <c r="B5606" s="362"/>
      <c r="C5606" s="362"/>
      <c r="D5606" s="362"/>
      <c r="E5606" s="362"/>
      <c r="F5606" s="362"/>
      <c r="G5606" s="362"/>
      <c r="H5606" s="362"/>
      <c r="I5606" s="196"/>
      <c r="J5606" s="114"/>
      <c r="AX5606" s="117"/>
      <c r="AY5606" s="117"/>
      <c r="AZ5606" s="117"/>
      <c r="BA5606" s="117"/>
      <c r="BB5606" s="117"/>
      <c r="BC5606" s="117"/>
      <c r="BD5606" s="117"/>
    </row>
    <row r="5607" spans="1:56" ht="15">
      <c r="A5607" s="114"/>
      <c r="B5607" s="303" t="s">
        <v>1122</v>
      </c>
      <c r="C5607" s="362"/>
      <c r="D5607" s="362"/>
      <c r="E5607" s="362"/>
      <c r="F5607" s="362"/>
      <c r="G5607" s="196" t="s">
        <v>1131</v>
      </c>
      <c r="H5607" s="114"/>
      <c r="I5607" s="196"/>
      <c r="J5607" s="114"/>
      <c r="AX5607" s="117"/>
      <c r="AY5607" s="117"/>
      <c r="AZ5607" s="117"/>
      <c r="BA5607" s="117"/>
      <c r="BB5607" s="117"/>
      <c r="BC5607" s="117"/>
      <c r="BD5607" s="117"/>
    </row>
    <row r="5608" spans="1:56" ht="18">
      <c r="A5608" s="114"/>
      <c r="B5608" s="398" t="s">
        <v>1123</v>
      </c>
      <c r="C5608" s="172"/>
      <c r="D5608" s="173"/>
      <c r="E5608" s="397">
        <f>C5600*((H5601+H5600)/2)*(C5598+C5599+0.05)</f>
        <v>239.50444274165756</v>
      </c>
      <c r="F5608" s="390" t="s">
        <v>1124</v>
      </c>
      <c r="G5608" s="196"/>
      <c r="H5608" s="196"/>
      <c r="I5608" s="362"/>
      <c r="J5608" s="114"/>
      <c r="AX5608" s="117"/>
      <c r="AY5608" s="117"/>
      <c r="AZ5608" s="117"/>
      <c r="BA5608" s="117"/>
      <c r="BB5608" s="117"/>
      <c r="BC5608" s="117"/>
      <c r="BD5608" s="117"/>
    </row>
    <row r="5609" spans="1:56" ht="18">
      <c r="A5609" s="114"/>
      <c r="B5609" s="398" t="s">
        <v>1125</v>
      </c>
      <c r="C5609" s="172"/>
      <c r="D5609" s="173"/>
      <c r="E5609" s="400">
        <f>E5608-C5600*(C5596*C5597*C5599+C5596*C5597*0.05+C5594*C5595*C5598)</f>
        <v>205.48444274165757</v>
      </c>
      <c r="F5609" s="390" t="s">
        <v>1124</v>
      </c>
      <c r="G5609" s="196"/>
      <c r="H5609" s="196"/>
      <c r="I5609" s="196"/>
      <c r="J5609" s="114"/>
      <c r="AX5609" s="117"/>
      <c r="AY5609" s="117"/>
      <c r="AZ5609" s="117"/>
      <c r="BA5609" s="117"/>
      <c r="BB5609" s="117"/>
      <c r="BC5609" s="117"/>
      <c r="BD5609" s="117"/>
    </row>
    <row r="5610" spans="1:56" ht="15">
      <c r="A5610" s="114"/>
      <c r="B5610" s="398" t="s">
        <v>1126</v>
      </c>
      <c r="C5610" s="172"/>
      <c r="D5610" s="173"/>
      <c r="E5610" s="400">
        <f>((C5596+2*C5605)*(C5597+2*C5605))*C5600</f>
        <v>31.359999999999996</v>
      </c>
      <c r="F5610" s="390" t="s">
        <v>13</v>
      </c>
      <c r="G5610" s="362"/>
      <c r="H5610" s="362"/>
      <c r="I5610" s="362"/>
      <c r="J5610" s="114"/>
      <c r="AX5610" s="117"/>
      <c r="AY5610" s="117"/>
      <c r="AZ5610" s="117"/>
      <c r="BA5610" s="117"/>
      <c r="BB5610" s="117"/>
      <c r="BC5610" s="117"/>
      <c r="BD5610" s="117"/>
    </row>
    <row r="5611" spans="1:56" ht="15">
      <c r="A5611" s="114"/>
      <c r="B5611" s="362"/>
      <c r="C5611" s="362"/>
      <c r="D5611" s="362"/>
      <c r="E5611" s="401"/>
      <c r="F5611" s="196"/>
      <c r="G5611" s="362"/>
      <c r="H5611" s="362"/>
      <c r="I5611" s="362"/>
      <c r="J5611" s="114"/>
      <c r="AX5611" s="117"/>
      <c r="AY5611" s="117"/>
      <c r="AZ5611" s="117"/>
      <c r="BA5611" s="117"/>
      <c r="BB5611" s="117"/>
      <c r="BC5611" s="117"/>
      <c r="BD5611" s="117"/>
    </row>
    <row r="5612" spans="1:56" ht="15">
      <c r="A5612" s="114"/>
      <c r="B5612" s="303" t="s">
        <v>1162</v>
      </c>
      <c r="C5612" s="362"/>
      <c r="D5612" s="362"/>
      <c r="E5612" s="410"/>
      <c r="F5612" s="362"/>
      <c r="G5612" s="362"/>
      <c r="H5612" s="362"/>
      <c r="I5612" s="362"/>
      <c r="J5612" s="114"/>
      <c r="AX5612" s="117"/>
      <c r="AY5612" s="117"/>
      <c r="AZ5612" s="117"/>
      <c r="BA5612" s="117"/>
      <c r="BB5612" s="117"/>
      <c r="BC5612" s="117"/>
      <c r="BD5612" s="117"/>
    </row>
    <row r="5613" spans="1:56" ht="15">
      <c r="A5613" s="114"/>
      <c r="B5613" s="398" t="s">
        <v>1152</v>
      </c>
      <c r="C5613" s="398"/>
      <c r="D5613" s="366"/>
      <c r="E5613" s="411">
        <v>2</v>
      </c>
      <c r="F5613" s="390" t="s">
        <v>1153</v>
      </c>
      <c r="G5613" s="362"/>
      <c r="H5613" s="362"/>
      <c r="I5613" s="362"/>
      <c r="J5613" s="196"/>
      <c r="AX5613" s="117"/>
      <c r="AY5613" s="117"/>
      <c r="AZ5613" s="117"/>
      <c r="BA5613" s="117"/>
      <c r="BB5613" s="117"/>
      <c r="BC5613" s="117"/>
      <c r="BD5613" s="117"/>
    </row>
    <row r="5614" spans="1:56" ht="15">
      <c r="A5614" s="114"/>
      <c r="B5614" s="399" t="s">
        <v>1154</v>
      </c>
      <c r="C5614" s="31"/>
      <c r="D5614" s="32"/>
      <c r="E5614" s="412">
        <v>12</v>
      </c>
      <c r="F5614" s="390" t="s">
        <v>1153</v>
      </c>
      <c r="G5614" s="362"/>
      <c r="H5614" s="362"/>
      <c r="I5614" s="362"/>
      <c r="J5614" s="196"/>
      <c r="AX5614" s="117"/>
      <c r="AY5614" s="117"/>
      <c r="AZ5614" s="117"/>
      <c r="BA5614" s="117"/>
      <c r="BB5614" s="117"/>
      <c r="BC5614" s="117"/>
      <c r="BD5614" s="117"/>
    </row>
    <row r="5615" spans="1:56" ht="15">
      <c r="A5615" s="114"/>
      <c r="B5615" s="398" t="s">
        <v>1155</v>
      </c>
      <c r="C5615" s="21"/>
      <c r="D5615" s="413"/>
      <c r="E5615" s="411">
        <v>350</v>
      </c>
      <c r="F5615" s="390" t="s">
        <v>1156</v>
      </c>
      <c r="G5615" s="362"/>
      <c r="H5615" s="414"/>
      <c r="I5615" s="362"/>
      <c r="J5615" s="196"/>
      <c r="AX5615" s="117"/>
      <c r="AY5615" s="117"/>
      <c r="AZ5615" s="117"/>
      <c r="BA5615" s="117"/>
      <c r="BB5615" s="117"/>
      <c r="BC5615" s="117"/>
      <c r="BD5615" s="117"/>
    </row>
    <row r="5616" spans="1:56" ht="15">
      <c r="A5616" s="114"/>
      <c r="B5616" s="398" t="s">
        <v>1157</v>
      </c>
      <c r="C5616" s="21"/>
      <c r="D5616" s="413"/>
      <c r="E5616" s="418">
        <v>29</v>
      </c>
      <c r="F5616" s="390" t="s">
        <v>10</v>
      </c>
      <c r="G5616" s="362"/>
      <c r="H5616" s="6"/>
      <c r="I5616" s="362"/>
      <c r="J5616" s="196"/>
      <c r="AX5616" s="117"/>
      <c r="AY5616" s="117"/>
      <c r="AZ5616" s="117"/>
      <c r="BA5616" s="117"/>
      <c r="BB5616" s="117"/>
      <c r="BC5616" s="117"/>
      <c r="BD5616" s="117"/>
    </row>
    <row r="5617" spans="1:56" ht="15">
      <c r="A5617" s="114"/>
      <c r="B5617" s="398" t="s">
        <v>1158</v>
      </c>
      <c r="C5617" s="21"/>
      <c r="D5617" s="413"/>
      <c r="E5617" s="412">
        <f>E5614*E5616</f>
        <v>348</v>
      </c>
      <c r="F5617" s="390" t="s">
        <v>10</v>
      </c>
      <c r="G5617" s="362"/>
      <c r="H5617" s="362"/>
      <c r="I5617" s="362"/>
      <c r="J5617" s="362"/>
      <c r="AX5617" s="117"/>
      <c r="AY5617" s="117"/>
      <c r="AZ5617" s="117"/>
      <c r="BA5617" s="117"/>
      <c r="BB5617" s="117"/>
      <c r="BC5617" s="117"/>
      <c r="BD5617" s="117"/>
    </row>
    <row r="5618" spans="1:56" ht="15">
      <c r="A5618" s="114"/>
      <c r="B5618" s="362"/>
      <c r="C5618" s="362"/>
      <c r="D5618" s="362"/>
      <c r="E5618" s="410"/>
      <c r="F5618" s="362"/>
      <c r="G5618" s="362"/>
      <c r="H5618" s="362"/>
      <c r="I5618" s="362"/>
      <c r="J5618" s="196"/>
      <c r="AX5618" s="117"/>
      <c r="AY5618" s="117"/>
      <c r="AZ5618" s="117"/>
      <c r="BA5618" s="117"/>
      <c r="BB5618" s="117"/>
      <c r="BC5618" s="117"/>
      <c r="BD5618" s="117"/>
    </row>
    <row r="5619" spans="1:56" ht="15">
      <c r="A5619" s="114"/>
      <c r="B5619" s="303" t="s">
        <v>1162</v>
      </c>
      <c r="C5619" s="962"/>
      <c r="D5619" s="962"/>
      <c r="E5619" s="410"/>
      <c r="F5619" s="962"/>
      <c r="G5619" s="962"/>
      <c r="H5619" s="962"/>
      <c r="I5619" s="962"/>
      <c r="J5619" s="114"/>
      <c r="AX5619" s="117"/>
      <c r="AY5619" s="117"/>
      <c r="AZ5619" s="117"/>
      <c r="BA5619" s="117"/>
      <c r="BB5619" s="117"/>
      <c r="BC5619" s="117"/>
      <c r="BD5619" s="117"/>
    </row>
    <row r="5620" spans="1:56" ht="15">
      <c r="A5620" s="114"/>
      <c r="B5620" s="965" t="s">
        <v>1152</v>
      </c>
      <c r="C5620" s="965"/>
      <c r="D5620" s="964"/>
      <c r="E5620" s="411">
        <v>2</v>
      </c>
      <c r="F5620" s="390" t="s">
        <v>1153</v>
      </c>
      <c r="G5620" s="962"/>
      <c r="H5620" s="962"/>
      <c r="I5620" s="962"/>
      <c r="J5620" s="196"/>
      <c r="AX5620" s="117"/>
      <c r="AY5620" s="117"/>
      <c r="AZ5620" s="117"/>
      <c r="BA5620" s="117"/>
      <c r="BB5620" s="117"/>
      <c r="BC5620" s="117"/>
      <c r="BD5620" s="117"/>
    </row>
    <row r="5621" spans="1:56" ht="15">
      <c r="A5621" s="114"/>
      <c r="B5621" s="399" t="s">
        <v>1154</v>
      </c>
      <c r="C5621" s="31"/>
      <c r="D5621" s="32"/>
      <c r="E5621" s="412">
        <v>2</v>
      </c>
      <c r="F5621" s="390" t="s">
        <v>1153</v>
      </c>
      <c r="G5621" s="962"/>
      <c r="H5621" s="962"/>
      <c r="I5621" s="962"/>
      <c r="J5621" s="196"/>
      <c r="AX5621" s="117"/>
      <c r="AY5621" s="117"/>
      <c r="AZ5621" s="117"/>
      <c r="BA5621" s="117"/>
      <c r="BB5621" s="117"/>
      <c r="BC5621" s="117"/>
      <c r="BD5621" s="117"/>
    </row>
    <row r="5622" spans="1:56" ht="15">
      <c r="A5622" s="114"/>
      <c r="B5622" s="965" t="s">
        <v>1155</v>
      </c>
      <c r="C5622" s="21"/>
      <c r="D5622" s="413"/>
      <c r="E5622" s="411">
        <v>400</v>
      </c>
      <c r="F5622" s="390" t="s">
        <v>1156</v>
      </c>
      <c r="G5622" s="962"/>
      <c r="H5622" s="414"/>
      <c r="I5622" s="962"/>
      <c r="J5622" s="196"/>
      <c r="AX5622" s="117"/>
      <c r="AY5622" s="117"/>
      <c r="AZ5622" s="117"/>
      <c r="BA5622" s="117"/>
      <c r="BB5622" s="117"/>
      <c r="BC5622" s="117"/>
      <c r="BD5622" s="117"/>
    </row>
    <row r="5623" spans="1:56" ht="15">
      <c r="A5623" s="114"/>
      <c r="B5623" s="965" t="s">
        <v>1157</v>
      </c>
      <c r="C5623" s="21"/>
      <c r="D5623" s="413"/>
      <c r="E5623" s="418">
        <v>29</v>
      </c>
      <c r="F5623" s="390" t="s">
        <v>10</v>
      </c>
      <c r="G5623" s="962"/>
      <c r="H5623" s="6"/>
      <c r="I5623" s="962"/>
      <c r="J5623" s="196"/>
      <c r="AX5623" s="117"/>
      <c r="AY5623" s="117"/>
      <c r="AZ5623" s="117"/>
      <c r="BA5623" s="117"/>
      <c r="BB5623" s="117"/>
      <c r="BC5623" s="117"/>
      <c r="BD5623" s="117"/>
    </row>
    <row r="5624" spans="1:56" ht="15">
      <c r="A5624" s="114"/>
      <c r="B5624" s="965" t="s">
        <v>1158</v>
      </c>
      <c r="C5624" s="21"/>
      <c r="D5624" s="413"/>
      <c r="E5624" s="412">
        <f>E5621*E5623</f>
        <v>58</v>
      </c>
      <c r="F5624" s="390" t="s">
        <v>10</v>
      </c>
      <c r="G5624" s="962"/>
      <c r="H5624" s="962"/>
      <c r="I5624" s="962"/>
      <c r="J5624" s="962"/>
      <c r="AX5624" s="117"/>
      <c r="AY5624" s="117"/>
      <c r="AZ5624" s="117"/>
      <c r="BA5624" s="117"/>
      <c r="BB5624" s="117"/>
      <c r="BC5624" s="117"/>
      <c r="BD5624" s="117"/>
    </row>
    <row r="5625" spans="1:56" ht="15">
      <c r="A5625" s="114"/>
      <c r="B5625" s="962"/>
      <c r="C5625" s="962"/>
      <c r="D5625" s="962"/>
      <c r="E5625" s="410"/>
      <c r="F5625" s="962"/>
      <c r="G5625" s="962"/>
      <c r="H5625" s="962"/>
      <c r="I5625" s="962"/>
      <c r="J5625" s="196"/>
      <c r="AX5625" s="117"/>
      <c r="AY5625" s="117"/>
      <c r="AZ5625" s="117"/>
      <c r="BA5625" s="117"/>
      <c r="BB5625" s="117"/>
      <c r="BC5625" s="117"/>
      <c r="BD5625" s="117"/>
    </row>
    <row r="5626" spans="1:56" ht="15">
      <c r="A5626" s="114"/>
      <c r="B5626" s="303" t="s">
        <v>1160</v>
      </c>
      <c r="C5626" s="362"/>
      <c r="D5626" s="362"/>
      <c r="E5626" s="410"/>
      <c r="F5626" s="362"/>
      <c r="G5626" s="362"/>
      <c r="H5626" s="362"/>
      <c r="I5626" s="362"/>
      <c r="J5626" s="362"/>
      <c r="AX5626" s="117"/>
      <c r="AY5626" s="117"/>
      <c r="AZ5626" s="117"/>
      <c r="BA5626" s="117"/>
      <c r="BB5626" s="117"/>
      <c r="BC5626" s="117"/>
      <c r="BD5626" s="117"/>
    </row>
    <row r="5627" spans="1:56" ht="18">
      <c r="A5627" s="114"/>
      <c r="B5627" s="398" t="s">
        <v>1128</v>
      </c>
      <c r="C5627" s="172"/>
      <c r="D5627" s="173"/>
      <c r="E5627" s="402">
        <f>E5610*0.05</f>
        <v>1.5679999999999998</v>
      </c>
      <c r="F5627" s="390" t="s">
        <v>1124</v>
      </c>
      <c r="G5627" s="362"/>
      <c r="H5627" s="362"/>
      <c r="I5627" s="362"/>
      <c r="J5627" s="362"/>
      <c r="AX5627" s="117"/>
      <c r="AY5627" s="117"/>
      <c r="AZ5627" s="117"/>
      <c r="BA5627" s="117"/>
      <c r="BB5627" s="117"/>
      <c r="BC5627" s="117"/>
      <c r="BD5627" s="117"/>
    </row>
    <row r="5628" spans="1:56" ht="15">
      <c r="A5628" s="114"/>
      <c r="B5628" s="398" t="s">
        <v>1129</v>
      </c>
      <c r="C5628" s="172"/>
      <c r="D5628" s="173"/>
      <c r="E5628" s="397">
        <f>(2*(C5596+C5597)*C5599)*C5600</f>
        <v>76.440000000000012</v>
      </c>
      <c r="F5628" s="390" t="s">
        <v>13</v>
      </c>
      <c r="G5628" s="362"/>
      <c r="H5628" s="362"/>
      <c r="I5628" s="362"/>
      <c r="J5628" s="362"/>
      <c r="AX5628" s="117"/>
      <c r="AY5628" s="117"/>
      <c r="AZ5628" s="117"/>
      <c r="BA5628" s="117"/>
      <c r="BB5628" s="117"/>
      <c r="BC5628" s="117"/>
      <c r="BD5628" s="117"/>
    </row>
    <row r="5629" spans="1:56" ht="18">
      <c r="A5629" s="114"/>
      <c r="B5629" s="398" t="s">
        <v>1130</v>
      </c>
      <c r="C5629" s="172"/>
      <c r="D5629" s="173"/>
      <c r="E5629" s="402">
        <f>(C5596*C5597*C5599)*C5600</f>
        <v>32.76</v>
      </c>
      <c r="F5629" s="390" t="s">
        <v>1124</v>
      </c>
      <c r="G5629" s="362"/>
      <c r="H5629" s="362"/>
      <c r="I5629" s="362"/>
      <c r="J5629" s="362"/>
      <c r="AX5629" s="117"/>
      <c r="AY5629" s="117"/>
      <c r="AZ5629" s="117"/>
      <c r="BA5629" s="117"/>
      <c r="BB5629" s="117"/>
      <c r="BC5629" s="117"/>
      <c r="BD5629" s="117"/>
    </row>
    <row r="5630" spans="1:56">
      <c r="A5630" s="114"/>
      <c r="B5630" s="115"/>
      <c r="C5630" s="115"/>
      <c r="D5630" s="115"/>
      <c r="E5630" s="115"/>
      <c r="F5630" s="115"/>
      <c r="G5630" s="115"/>
      <c r="H5630" s="115"/>
      <c r="I5630" s="115"/>
      <c r="J5630" s="362"/>
      <c r="AX5630" s="117"/>
      <c r="AY5630" s="117"/>
      <c r="AZ5630" s="117"/>
      <c r="BA5630" s="117"/>
      <c r="BB5630" s="117"/>
      <c r="BC5630" s="117"/>
      <c r="BD5630" s="117"/>
    </row>
    <row r="5631" spans="1:56">
      <c r="A5631" s="114"/>
      <c r="B5631" s="115"/>
      <c r="C5631" s="115"/>
      <c r="D5631" s="115"/>
      <c r="E5631" s="115"/>
      <c r="F5631" s="115"/>
      <c r="G5631" s="115"/>
      <c r="H5631" s="115"/>
      <c r="I5631" s="115"/>
      <c r="J5631" s="415"/>
      <c r="AX5631" s="117"/>
      <c r="AY5631" s="117"/>
      <c r="AZ5631" s="117"/>
      <c r="BA5631" s="117"/>
      <c r="BB5631" s="117"/>
      <c r="BC5631" s="117"/>
      <c r="BD5631" s="117"/>
    </row>
    <row r="5632" spans="1:56">
      <c r="A5632" s="114"/>
      <c r="B5632" s="115"/>
      <c r="C5632" s="115"/>
      <c r="D5632" s="115"/>
      <c r="E5632" s="115"/>
      <c r="F5632" s="115"/>
      <c r="G5632" s="115"/>
      <c r="H5632" s="115"/>
      <c r="I5632" s="115"/>
      <c r="J5632" s="362"/>
      <c r="AX5632" s="117"/>
      <c r="AY5632" s="117"/>
      <c r="AZ5632" s="117"/>
      <c r="BA5632" s="117"/>
      <c r="BB5632" s="117"/>
      <c r="BC5632" s="117"/>
      <c r="BD5632" s="117"/>
    </row>
    <row r="5633" spans="1:56">
      <c r="A5633"/>
      <c r="B5633" s="385" t="s">
        <v>1175</v>
      </c>
      <c r="C5633" s="196"/>
      <c r="D5633" s="196"/>
      <c r="E5633" s="196"/>
      <c r="F5633" s="196"/>
      <c r="G5633" s="196"/>
      <c r="H5633" s="196"/>
      <c r="I5633" s="196"/>
      <c r="J5633" s="362"/>
      <c r="AX5633" s="117"/>
      <c r="AY5633" s="117"/>
      <c r="AZ5633" s="117"/>
      <c r="BA5633" s="117"/>
      <c r="BB5633" s="117"/>
      <c r="BC5633" s="117"/>
      <c r="BD5633" s="117"/>
    </row>
    <row r="5634" spans="1:56" ht="15">
      <c r="A5634" s="114"/>
      <c r="B5634" s="362"/>
      <c r="C5634" s="362"/>
      <c r="D5634" s="362"/>
      <c r="E5634" s="485" t="s">
        <v>1315</v>
      </c>
      <c r="F5634" s="486">
        <f>TAN(RADIANS(C5643))</f>
        <v>1.7320508075688767</v>
      </c>
      <c r="G5634" s="487"/>
      <c r="H5634" s="488"/>
      <c r="I5634" s="488"/>
      <c r="J5634" s="362"/>
      <c r="AX5634" s="117"/>
      <c r="AY5634" s="117"/>
      <c r="AZ5634" s="117"/>
      <c r="BA5634" s="117"/>
      <c r="BB5634" s="117"/>
      <c r="BC5634" s="117"/>
      <c r="BD5634" s="117"/>
    </row>
    <row r="5635" spans="1:56" ht="15">
      <c r="A5635" s="114"/>
      <c r="B5635" s="388" t="s">
        <v>1141</v>
      </c>
      <c r="C5635" s="389">
        <v>0.75</v>
      </c>
      <c r="D5635" s="390" t="s">
        <v>10</v>
      </c>
      <c r="E5635" s="485" t="s">
        <v>1316</v>
      </c>
      <c r="F5635" s="486">
        <f>C5640+C5639+0.05</f>
        <v>2.0999999999999996</v>
      </c>
      <c r="G5635" s="489" t="s">
        <v>10</v>
      </c>
      <c r="H5635" s="488"/>
      <c r="I5635" s="488"/>
      <c r="J5635" s="362"/>
      <c r="AX5635" s="117"/>
      <c r="AY5635" s="117"/>
      <c r="AZ5635" s="117"/>
      <c r="BA5635" s="117"/>
      <c r="BB5635" s="117"/>
      <c r="BC5635" s="117"/>
      <c r="BD5635" s="117"/>
    </row>
    <row r="5636" spans="1:56" ht="15">
      <c r="A5636" s="114"/>
      <c r="B5636" s="388" t="s">
        <v>1144</v>
      </c>
      <c r="C5636" s="389">
        <v>0.75</v>
      </c>
      <c r="D5636" s="390" t="s">
        <v>10</v>
      </c>
      <c r="E5636" s="485" t="s">
        <v>1317</v>
      </c>
      <c r="F5636" s="486">
        <f>F5635/F5634</f>
        <v>1.2124355652982144</v>
      </c>
      <c r="G5636" s="489" t="s">
        <v>10</v>
      </c>
      <c r="H5636" s="488"/>
      <c r="I5636" s="488"/>
      <c r="J5636" s="362"/>
      <c r="AX5636" s="117"/>
      <c r="AY5636" s="117"/>
      <c r="AZ5636" s="117"/>
      <c r="BA5636" s="117"/>
      <c r="BB5636" s="117"/>
      <c r="BC5636" s="117"/>
      <c r="BD5636" s="117"/>
    </row>
    <row r="5637" spans="1:56">
      <c r="A5637" s="114"/>
      <c r="B5637" s="388" t="s">
        <v>1145</v>
      </c>
      <c r="C5637" s="389">
        <v>2.77</v>
      </c>
      <c r="D5637" s="390" t="s">
        <v>10</v>
      </c>
      <c r="E5637" s="485"/>
      <c r="F5637" s="490"/>
      <c r="G5637" s="490"/>
      <c r="H5637" s="488"/>
      <c r="I5637" s="488"/>
      <c r="J5637" s="362"/>
      <c r="AX5637" s="117"/>
      <c r="AY5637" s="117"/>
      <c r="AZ5637" s="117"/>
      <c r="BA5637" s="117"/>
      <c r="BB5637" s="117"/>
      <c r="BC5637" s="117"/>
      <c r="BD5637" s="117"/>
    </row>
    <row r="5638" spans="1:56" ht="15">
      <c r="A5638" s="114"/>
      <c r="B5638" s="388" t="s">
        <v>1146</v>
      </c>
      <c r="C5638" s="389">
        <v>3.2</v>
      </c>
      <c r="D5638" s="390" t="s">
        <v>10</v>
      </c>
      <c r="E5638" s="485" t="s">
        <v>1318</v>
      </c>
      <c r="F5638" s="486">
        <f>C5637+2*C5645</f>
        <v>3.77</v>
      </c>
      <c r="G5638" s="489" t="s">
        <v>10</v>
      </c>
      <c r="H5638" s="485" t="s">
        <v>1319</v>
      </c>
      <c r="I5638" s="486">
        <f>C5638+2*C5645</f>
        <v>4.2</v>
      </c>
      <c r="J5638" s="362"/>
      <c r="AX5638" s="117"/>
      <c r="AY5638" s="117"/>
      <c r="AZ5638" s="117"/>
      <c r="BA5638" s="117"/>
      <c r="BB5638" s="117"/>
      <c r="BC5638" s="117"/>
      <c r="BD5638" s="117"/>
    </row>
    <row r="5639" spans="1:56" ht="15">
      <c r="A5639" s="114"/>
      <c r="B5639" s="388" t="s">
        <v>1112</v>
      </c>
      <c r="C5639" s="389">
        <v>0.55000000000000004</v>
      </c>
      <c r="D5639" s="390" t="s">
        <v>10</v>
      </c>
      <c r="E5639" s="485" t="s">
        <v>1320</v>
      </c>
      <c r="F5639" s="486">
        <f>F5638+F5636*2</f>
        <v>6.1948711305964288</v>
      </c>
      <c r="G5639" s="489" t="s">
        <v>10</v>
      </c>
      <c r="H5639" s="485" t="s">
        <v>1321</v>
      </c>
      <c r="I5639" s="486">
        <f>I5638+F5636*2</f>
        <v>6.6248711305964285</v>
      </c>
      <c r="J5639" s="362"/>
      <c r="AW5639" s="117"/>
      <c r="AX5639" s="117"/>
      <c r="AY5639" s="117"/>
      <c r="AZ5639" s="117"/>
      <c r="BA5639" s="117"/>
      <c r="BB5639" s="117"/>
      <c r="BC5639" s="117"/>
      <c r="BD5639" s="117"/>
    </row>
    <row r="5640" spans="1:56" ht="15">
      <c r="A5640" s="114"/>
      <c r="B5640" s="388" t="s">
        <v>1113</v>
      </c>
      <c r="C5640" s="389">
        <v>1.5</v>
      </c>
      <c r="D5640" s="390" t="s">
        <v>10</v>
      </c>
      <c r="E5640" s="485" t="s">
        <v>1322</v>
      </c>
      <c r="F5640" s="486">
        <f>(F5638+F5639)/2</f>
        <v>4.9824355652982142</v>
      </c>
      <c r="G5640" s="489" t="s">
        <v>10</v>
      </c>
      <c r="H5640" s="485" t="s">
        <v>1323</v>
      </c>
      <c r="I5640" s="486">
        <f>(I5638+I5639)/2</f>
        <v>5.4124355652982139</v>
      </c>
      <c r="J5640" s="114"/>
      <c r="AW5640" s="117"/>
      <c r="AX5640" s="117"/>
      <c r="AY5640" s="117"/>
      <c r="AZ5640" s="117"/>
      <c r="BA5640" s="117"/>
      <c r="BB5640" s="117"/>
      <c r="BC5640" s="117"/>
      <c r="BD5640" s="117"/>
    </row>
    <row r="5641" spans="1:56">
      <c r="A5641" s="114"/>
      <c r="B5641" s="388" t="s">
        <v>1117</v>
      </c>
      <c r="C5641" s="389">
        <v>7</v>
      </c>
      <c r="D5641" s="390" t="s">
        <v>1118</v>
      </c>
      <c r="E5641" s="490"/>
      <c r="F5641" s="490"/>
      <c r="G5641" s="490"/>
      <c r="H5641" s="488"/>
      <c r="I5641" s="488"/>
      <c r="J5641" s="114"/>
      <c r="AW5641" s="117"/>
      <c r="AX5641" s="117"/>
      <c r="AY5641" s="117"/>
      <c r="AZ5641" s="117"/>
      <c r="BA5641" s="117"/>
      <c r="BB5641" s="117"/>
      <c r="BC5641" s="117"/>
      <c r="BD5641" s="117"/>
    </row>
    <row r="5642" spans="1:56" ht="16.5">
      <c r="A5642" s="114"/>
      <c r="B5642" s="196" t="s">
        <v>1148</v>
      </c>
      <c r="C5642" s="393"/>
      <c r="D5642" s="196"/>
      <c r="E5642" s="485" t="s">
        <v>1324</v>
      </c>
      <c r="F5642" s="486">
        <f>((F5640*I5640)/2)*F5635</f>
        <v>28.3154670281981</v>
      </c>
      <c r="G5642" s="489" t="s">
        <v>1325</v>
      </c>
      <c r="H5642" s="488"/>
      <c r="I5642" s="488"/>
      <c r="J5642" s="114"/>
      <c r="AW5642" s="117"/>
      <c r="AX5642" s="117"/>
      <c r="AY5642" s="117"/>
      <c r="AZ5642" s="117"/>
      <c r="BA5642" s="117"/>
      <c r="BB5642" s="117"/>
      <c r="BC5642" s="117"/>
      <c r="BD5642" s="117"/>
    </row>
    <row r="5643" spans="1:56" customFormat="1" ht="15">
      <c r="A5643" s="114"/>
      <c r="B5643" s="388" t="s">
        <v>1149</v>
      </c>
      <c r="C5643" s="389">
        <v>60</v>
      </c>
      <c r="D5643" s="390" t="s">
        <v>1150</v>
      </c>
      <c r="E5643" s="405"/>
      <c r="F5643" s="406"/>
      <c r="G5643" s="407"/>
      <c r="H5643" s="405"/>
      <c r="I5643" s="405"/>
      <c r="J5643" s="196"/>
    </row>
    <row r="5644" spans="1:56" ht="15">
      <c r="A5644" s="114"/>
      <c r="B5644" s="491"/>
      <c r="C5644" s="196"/>
      <c r="D5644" s="196"/>
      <c r="E5644" s="196"/>
      <c r="F5644" s="362"/>
      <c r="G5644" s="362"/>
      <c r="H5644" s="362"/>
      <c r="I5644" s="196"/>
      <c r="J5644" s="114"/>
      <c r="AX5644" s="117"/>
      <c r="AY5644" s="117"/>
      <c r="AZ5644" s="117"/>
      <c r="BA5644" s="117"/>
      <c r="BB5644" s="117"/>
      <c r="BC5644" s="117"/>
      <c r="BD5644" s="117"/>
    </row>
    <row r="5645" spans="1:56">
      <c r="A5645" s="114"/>
      <c r="B5645" s="388" t="s">
        <v>1114</v>
      </c>
      <c r="C5645" s="389">
        <v>0.5</v>
      </c>
      <c r="D5645" s="390" t="s">
        <v>10</v>
      </c>
      <c r="E5645" s="288" t="s">
        <v>1120</v>
      </c>
      <c r="F5645" s="196" t="s">
        <v>1326</v>
      </c>
      <c r="G5645" s="115"/>
      <c r="H5645" s="362"/>
      <c r="I5645" s="362"/>
      <c r="J5645" s="114"/>
      <c r="AX5645" s="117"/>
      <c r="AY5645" s="117"/>
      <c r="AZ5645" s="117"/>
      <c r="BA5645" s="117"/>
      <c r="BB5645" s="117"/>
      <c r="BC5645" s="117"/>
      <c r="BD5645" s="117"/>
    </row>
    <row r="5646" spans="1:56">
      <c r="A5646" s="114"/>
      <c r="B5646" s="388" t="s">
        <v>1114</v>
      </c>
      <c r="C5646" s="389">
        <v>0.1</v>
      </c>
      <c r="D5646" s="390" t="s">
        <v>10</v>
      </c>
      <c r="E5646" s="288" t="s">
        <v>1121</v>
      </c>
      <c r="F5646" s="196"/>
      <c r="G5646" s="115"/>
      <c r="H5646" s="196"/>
      <c r="I5646" s="196"/>
      <c r="J5646" s="114"/>
      <c r="AX5646" s="117"/>
      <c r="AY5646" s="117"/>
      <c r="AZ5646" s="117"/>
      <c r="BA5646" s="117"/>
      <c r="BB5646" s="117"/>
      <c r="BC5646" s="117"/>
      <c r="BD5646" s="117"/>
    </row>
    <row r="5647" spans="1:56">
      <c r="A5647" s="114"/>
      <c r="B5647" s="362"/>
      <c r="C5647" s="362"/>
      <c r="D5647" s="362"/>
      <c r="E5647" s="362"/>
      <c r="F5647" s="362"/>
      <c r="G5647" s="115"/>
      <c r="H5647" s="362"/>
      <c r="I5647" s="196"/>
      <c r="J5647" s="114"/>
      <c r="AX5647" s="117"/>
      <c r="AY5647" s="117"/>
      <c r="AZ5647" s="117"/>
      <c r="BA5647" s="117"/>
      <c r="BB5647" s="117"/>
      <c r="BC5647" s="117"/>
      <c r="BD5647" s="117"/>
    </row>
    <row r="5648" spans="1:56" ht="15">
      <c r="A5648" s="114"/>
      <c r="B5648" s="303" t="s">
        <v>1122</v>
      </c>
      <c r="C5648" s="362"/>
      <c r="D5648" s="362"/>
      <c r="E5648" s="362"/>
      <c r="F5648" s="362"/>
      <c r="G5648" s="196"/>
      <c r="H5648" s="196"/>
      <c r="I5648" s="196"/>
      <c r="J5648" s="114"/>
      <c r="AX5648" s="117"/>
      <c r="AY5648" s="117"/>
      <c r="AZ5648" s="117"/>
      <c r="BA5648" s="117"/>
      <c r="BB5648" s="117"/>
      <c r="BC5648" s="117"/>
      <c r="BD5648" s="117"/>
    </row>
    <row r="5649" spans="1:56" ht="18">
      <c r="A5649" s="114"/>
      <c r="B5649" s="398" t="s">
        <v>1123</v>
      </c>
      <c r="C5649" s="172"/>
      <c r="D5649" s="173"/>
      <c r="E5649" s="397">
        <f>F5642*C5641</f>
        <v>198.2082691973867</v>
      </c>
      <c r="F5649" s="390" t="s">
        <v>1124</v>
      </c>
      <c r="G5649" s="196"/>
      <c r="H5649" s="362"/>
      <c r="I5649" s="362"/>
      <c r="J5649" s="114"/>
      <c r="AX5649" s="117"/>
      <c r="AY5649" s="117"/>
      <c r="AZ5649" s="117"/>
      <c r="BA5649" s="117"/>
      <c r="BB5649" s="117"/>
      <c r="BC5649" s="117"/>
      <c r="BD5649" s="117"/>
    </row>
    <row r="5650" spans="1:56" ht="18">
      <c r="A5650" s="114"/>
      <c r="B5650" s="398" t="s">
        <v>1125</v>
      </c>
      <c r="C5650" s="172"/>
      <c r="D5650" s="173"/>
      <c r="E5650" s="400">
        <f>E5649-E5661-E5663-C5641*(C5635*C5636*C5639)</f>
        <v>147.7394941973867</v>
      </c>
      <c r="F5650" s="390" t="s">
        <v>1124</v>
      </c>
      <c r="G5650" s="196"/>
      <c r="H5650" s="196"/>
      <c r="I5650" s="196"/>
      <c r="J5650" s="114"/>
      <c r="AX5650" s="117"/>
      <c r="AY5650" s="117"/>
      <c r="AZ5650" s="117"/>
      <c r="BA5650" s="117"/>
      <c r="BB5650" s="117"/>
      <c r="BC5650" s="117"/>
      <c r="BD5650" s="117"/>
    </row>
    <row r="5651" spans="1:56" ht="15">
      <c r="A5651" s="114"/>
      <c r="B5651" s="398" t="s">
        <v>1126</v>
      </c>
      <c r="C5651" s="172"/>
      <c r="D5651" s="173"/>
      <c r="E5651" s="400">
        <f>((C5637+2*C5646)*(C5638+2*C5646))/2*C5641</f>
        <v>35.343000000000011</v>
      </c>
      <c r="F5651" s="390" t="s">
        <v>13</v>
      </c>
      <c r="G5651" s="362"/>
      <c r="H5651" s="362"/>
      <c r="I5651" s="362"/>
      <c r="J5651" s="114"/>
      <c r="AX5651" s="117"/>
      <c r="AY5651" s="117"/>
      <c r="AZ5651" s="117"/>
      <c r="BA5651" s="117"/>
      <c r="BB5651" s="117"/>
      <c r="BC5651" s="117"/>
      <c r="BD5651" s="117"/>
    </row>
    <row r="5652" spans="1:56" ht="15">
      <c r="A5652" s="114"/>
      <c r="B5652" s="362"/>
      <c r="C5652" s="362"/>
      <c r="D5652" s="362"/>
      <c r="E5652" s="401"/>
      <c r="F5652" s="196"/>
      <c r="G5652" s="362"/>
      <c r="H5652" s="362"/>
      <c r="I5652" s="362"/>
      <c r="J5652" s="114"/>
      <c r="AX5652" s="117"/>
      <c r="AY5652" s="117"/>
      <c r="AZ5652" s="117"/>
      <c r="BA5652" s="117"/>
      <c r="BB5652" s="117"/>
      <c r="BC5652" s="117"/>
      <c r="BD5652" s="117"/>
    </row>
    <row r="5653" spans="1:56" ht="15">
      <c r="A5653" s="114"/>
      <c r="B5653" s="303" t="s">
        <v>1162</v>
      </c>
      <c r="C5653" s="362"/>
      <c r="D5653" s="362"/>
      <c r="E5653" s="410"/>
      <c r="F5653" s="362"/>
      <c r="G5653" s="362"/>
      <c r="H5653" s="362"/>
      <c r="I5653" s="362"/>
      <c r="J5653" s="114"/>
      <c r="AX5653" s="117"/>
      <c r="AY5653" s="117"/>
      <c r="AZ5653" s="117"/>
      <c r="BA5653" s="117"/>
      <c r="BB5653" s="117"/>
      <c r="BC5653" s="117"/>
      <c r="BD5653" s="117"/>
    </row>
    <row r="5654" spans="1:56" ht="15">
      <c r="A5654" s="114"/>
      <c r="B5654" s="398" t="s">
        <v>1152</v>
      </c>
      <c r="C5654" s="398"/>
      <c r="D5654" s="398"/>
      <c r="E5654" s="492">
        <v>3</v>
      </c>
      <c r="F5654" s="390" t="s">
        <v>1153</v>
      </c>
      <c r="G5654" s="362"/>
      <c r="H5654" s="362"/>
      <c r="I5654" s="362"/>
      <c r="J5654" s="114"/>
      <c r="AX5654" s="117"/>
      <c r="AY5654" s="117"/>
      <c r="AZ5654" s="117"/>
      <c r="BA5654" s="117"/>
      <c r="BB5654" s="117"/>
      <c r="BC5654" s="117"/>
      <c r="BD5654" s="117"/>
    </row>
    <row r="5655" spans="1:56" ht="15">
      <c r="A5655" s="114"/>
      <c r="B5655" s="398" t="s">
        <v>1154</v>
      </c>
      <c r="C5655" s="21"/>
      <c r="D5655" s="413"/>
      <c r="E5655" s="412">
        <f>C5641*E5654</f>
        <v>21</v>
      </c>
      <c r="F5655" s="390" t="s">
        <v>1153</v>
      </c>
      <c r="G5655" s="362"/>
      <c r="H5655" s="362"/>
      <c r="I5655" s="362"/>
      <c r="J5655" s="196"/>
      <c r="AX5655" s="117"/>
      <c r="AY5655" s="117"/>
      <c r="AZ5655" s="117"/>
      <c r="BA5655" s="117"/>
      <c r="BB5655" s="117"/>
      <c r="BC5655" s="117"/>
      <c r="BD5655" s="117"/>
    </row>
    <row r="5656" spans="1:56" ht="15">
      <c r="A5656" s="114"/>
      <c r="B5656" s="398" t="s">
        <v>1155</v>
      </c>
      <c r="C5656" s="21"/>
      <c r="D5656" s="413"/>
      <c r="E5656" s="411">
        <v>600</v>
      </c>
      <c r="F5656" s="390" t="s">
        <v>1156</v>
      </c>
      <c r="G5656" s="362"/>
      <c r="H5656" s="414"/>
      <c r="I5656" s="362"/>
      <c r="J5656" s="196"/>
      <c r="AX5656" s="117"/>
      <c r="AY5656" s="117"/>
      <c r="AZ5656" s="117"/>
      <c r="BA5656" s="117"/>
      <c r="BB5656" s="117"/>
      <c r="BC5656" s="117"/>
      <c r="BD5656" s="117"/>
    </row>
    <row r="5657" spans="1:56" ht="15">
      <c r="A5657" s="114"/>
      <c r="B5657" s="398" t="s">
        <v>1157</v>
      </c>
      <c r="C5657" s="21"/>
      <c r="D5657" s="413"/>
      <c r="E5657" s="411">
        <v>31</v>
      </c>
      <c r="F5657" s="390" t="s">
        <v>10</v>
      </c>
      <c r="G5657" s="362"/>
      <c r="H5657" s="6"/>
      <c r="I5657" s="362"/>
      <c r="J5657" s="196"/>
      <c r="AX5657" s="117"/>
      <c r="AY5657" s="117"/>
      <c r="AZ5657" s="117"/>
      <c r="BA5657" s="117"/>
      <c r="BB5657" s="117"/>
      <c r="BC5657" s="117"/>
      <c r="BD5657" s="117"/>
    </row>
    <row r="5658" spans="1:56" ht="15">
      <c r="A5658" s="114"/>
      <c r="B5658" s="398" t="s">
        <v>1158</v>
      </c>
      <c r="C5658" s="21"/>
      <c r="D5658" s="413"/>
      <c r="E5658" s="412">
        <f>E5655*E5657</f>
        <v>651</v>
      </c>
      <c r="F5658" s="390" t="s">
        <v>10</v>
      </c>
      <c r="G5658" s="362"/>
      <c r="H5658" s="362"/>
      <c r="I5658" s="362"/>
      <c r="J5658" s="196"/>
      <c r="AX5658" s="117"/>
      <c r="AY5658" s="117"/>
      <c r="AZ5658" s="117"/>
      <c r="BA5658" s="117"/>
      <c r="BB5658" s="117"/>
      <c r="BC5658" s="117"/>
      <c r="BD5658" s="117"/>
    </row>
    <row r="5659" spans="1:56" ht="15">
      <c r="A5659" s="114"/>
      <c r="B5659" s="362"/>
      <c r="C5659" s="362"/>
      <c r="D5659" s="362"/>
      <c r="E5659" s="410"/>
      <c r="F5659" s="362"/>
      <c r="G5659" s="362"/>
      <c r="H5659" s="362"/>
      <c r="I5659" s="362"/>
      <c r="J5659" s="362"/>
      <c r="AX5659" s="117"/>
      <c r="AY5659" s="117"/>
      <c r="AZ5659" s="117"/>
      <c r="BA5659" s="117"/>
      <c r="BB5659" s="117"/>
      <c r="BC5659" s="117"/>
      <c r="BD5659" s="117"/>
    </row>
    <row r="5660" spans="1:56" ht="15">
      <c r="A5660" s="114"/>
      <c r="B5660" s="303" t="s">
        <v>1160</v>
      </c>
      <c r="C5660" s="362"/>
      <c r="D5660" s="362"/>
      <c r="E5660" s="410"/>
      <c r="F5660" s="362"/>
      <c r="G5660" s="362"/>
      <c r="H5660" s="362"/>
      <c r="I5660" s="362"/>
      <c r="J5660" s="196"/>
      <c r="AX5660" s="117"/>
      <c r="AY5660" s="117"/>
      <c r="AZ5660" s="117"/>
      <c r="BA5660" s="117"/>
      <c r="BB5660" s="117"/>
      <c r="BC5660" s="117"/>
      <c r="BD5660" s="117"/>
    </row>
    <row r="5661" spans="1:56" ht="18">
      <c r="A5661" s="114"/>
      <c r="B5661" s="398" t="s">
        <v>1128</v>
      </c>
      <c r="C5661" s="172"/>
      <c r="D5661" s="173"/>
      <c r="E5661" s="402">
        <f>E5651*0.05</f>
        <v>1.7671500000000007</v>
      </c>
      <c r="F5661" s="390" t="s">
        <v>1124</v>
      </c>
      <c r="G5661" s="362"/>
      <c r="H5661" s="362"/>
      <c r="I5661" s="362"/>
      <c r="J5661" s="362"/>
      <c r="AX5661" s="117"/>
      <c r="AY5661" s="117"/>
      <c r="AZ5661" s="117"/>
      <c r="BA5661" s="117"/>
      <c r="BB5661" s="117"/>
      <c r="BC5661" s="117"/>
      <c r="BD5661" s="117"/>
    </row>
    <row r="5662" spans="1:56" ht="15">
      <c r="A5662" s="114"/>
      <c r="B5662" s="398" t="s">
        <v>1129</v>
      </c>
      <c r="C5662" s="172"/>
      <c r="D5662" s="173"/>
      <c r="E5662" s="397">
        <f>(((C5637^2+(C5638/2)^2)^0.5)*2+C5638)*C5640*C5641</f>
        <v>100.77669908532272</v>
      </c>
      <c r="F5662" s="390" t="s">
        <v>13</v>
      </c>
      <c r="G5662" s="362"/>
      <c r="H5662" s="362"/>
      <c r="I5662" s="362"/>
      <c r="J5662" s="362"/>
      <c r="AX5662" s="117"/>
      <c r="AY5662" s="117"/>
      <c r="AZ5662" s="117"/>
      <c r="BA5662" s="117"/>
      <c r="BB5662" s="117"/>
      <c r="BC5662" s="117"/>
      <c r="BD5662" s="117"/>
    </row>
    <row r="5663" spans="1:56" ht="18">
      <c r="A5663" s="114"/>
      <c r="B5663" s="398" t="s">
        <v>1130</v>
      </c>
      <c r="C5663" s="172"/>
      <c r="D5663" s="173"/>
      <c r="E5663" s="402">
        <f>((C5637*C5638)/2)*C5640*C5641</f>
        <v>46.536000000000001</v>
      </c>
      <c r="F5663" s="390" t="s">
        <v>1124</v>
      </c>
      <c r="G5663" s="362"/>
      <c r="H5663" s="362"/>
      <c r="I5663" s="362"/>
      <c r="J5663" s="362"/>
      <c r="AX5663" s="117"/>
      <c r="AY5663" s="117"/>
      <c r="AZ5663" s="117"/>
      <c r="BA5663" s="117"/>
      <c r="BB5663" s="117"/>
      <c r="BC5663" s="117"/>
      <c r="BD5663" s="117"/>
    </row>
    <row r="5664" spans="1:56" ht="15">
      <c r="A5664" s="114"/>
      <c r="B5664" s="398" t="s">
        <v>1327</v>
      </c>
      <c r="C5664" s="172"/>
      <c r="D5664" s="173"/>
      <c r="E5664" s="493">
        <f>E5663*100</f>
        <v>4653.6000000000004</v>
      </c>
      <c r="F5664" s="390" t="s">
        <v>12</v>
      </c>
      <c r="G5664" s="362"/>
      <c r="H5664" s="362"/>
      <c r="I5664" s="362"/>
      <c r="J5664" s="362"/>
      <c r="AX5664" s="117"/>
      <c r="AY5664" s="117"/>
      <c r="AZ5664" s="117"/>
      <c r="BA5664" s="117"/>
      <c r="BB5664" s="117"/>
      <c r="BC5664" s="117"/>
      <c r="BD5664" s="117"/>
    </row>
    <row r="5665" spans="1:56">
      <c r="A5665" s="114"/>
      <c r="B5665" s="115"/>
      <c r="C5665" s="115"/>
      <c r="D5665" s="115"/>
      <c r="E5665" s="115"/>
      <c r="F5665" s="115"/>
      <c r="G5665" s="115"/>
      <c r="H5665" s="115"/>
      <c r="I5665" s="115"/>
      <c r="J5665" s="362"/>
      <c r="AX5665" s="117"/>
      <c r="AY5665" s="117"/>
      <c r="AZ5665" s="117"/>
      <c r="BA5665" s="117"/>
      <c r="BB5665" s="117"/>
      <c r="BC5665" s="117"/>
      <c r="BD5665" s="117"/>
    </row>
    <row r="5666" spans="1:56">
      <c r="A5666" s="114"/>
      <c r="B5666" s="115"/>
      <c r="C5666" s="115"/>
      <c r="D5666" s="115"/>
      <c r="E5666" s="115"/>
      <c r="F5666" s="115"/>
      <c r="G5666" s="115"/>
      <c r="H5666" s="115"/>
      <c r="I5666" s="115"/>
      <c r="J5666" s="415"/>
      <c r="AX5666" s="117"/>
      <c r="AY5666" s="117"/>
      <c r="AZ5666" s="117"/>
      <c r="BA5666" s="117"/>
      <c r="BB5666" s="117"/>
      <c r="BC5666" s="117"/>
      <c r="BD5666" s="117"/>
    </row>
    <row r="5667" spans="1:56">
      <c r="A5667" s="114"/>
      <c r="B5667" s="115"/>
      <c r="C5667" s="115"/>
      <c r="D5667" s="115"/>
      <c r="E5667" s="115"/>
      <c r="F5667" s="115"/>
      <c r="G5667" s="115"/>
      <c r="H5667" s="115"/>
      <c r="I5667" s="115"/>
      <c r="J5667" s="362"/>
      <c r="AX5667" s="117"/>
      <c r="AY5667" s="117"/>
      <c r="AZ5667" s="117"/>
      <c r="BA5667" s="117"/>
      <c r="BB5667" s="117"/>
      <c r="BC5667" s="117"/>
      <c r="BD5667" s="117"/>
    </row>
    <row r="5668" spans="1:56">
      <c r="A5668"/>
      <c r="B5668" s="385" t="s">
        <v>1328</v>
      </c>
      <c r="C5668" s="196"/>
      <c r="D5668" s="196"/>
      <c r="E5668" s="196"/>
      <c r="F5668" s="196"/>
      <c r="G5668" s="196"/>
      <c r="H5668" s="196"/>
      <c r="I5668" s="196"/>
      <c r="J5668" s="362"/>
      <c r="AX5668" s="117"/>
      <c r="AY5668" s="117"/>
      <c r="AZ5668" s="117"/>
      <c r="BA5668" s="117"/>
      <c r="BB5668" s="117"/>
      <c r="BC5668" s="117"/>
      <c r="BD5668" s="117"/>
    </row>
    <row r="5669" spans="1:56" ht="15">
      <c r="A5669" s="114"/>
      <c r="B5669" s="362"/>
      <c r="C5669" s="362"/>
      <c r="D5669" s="362"/>
      <c r="E5669" s="485" t="s">
        <v>1315</v>
      </c>
      <c r="F5669" s="486">
        <f>TAN(RADIANS(C5677))</f>
        <v>1.7320508075688767</v>
      </c>
      <c r="G5669" s="487"/>
      <c r="H5669" s="488"/>
      <c r="I5669" s="488"/>
      <c r="J5669" s="362"/>
      <c r="AX5669" s="117"/>
      <c r="AY5669" s="117"/>
      <c r="AZ5669" s="117"/>
      <c r="BA5669" s="117"/>
      <c r="BB5669" s="117"/>
      <c r="BC5669" s="117"/>
      <c r="BD5669" s="117"/>
    </row>
    <row r="5670" spans="1:56" ht="15">
      <c r="A5670" s="114"/>
      <c r="B5670" s="388" t="s">
        <v>1169</v>
      </c>
      <c r="C5670" s="389">
        <v>0.78500000000000003</v>
      </c>
      <c r="D5670" s="390" t="s">
        <v>10</v>
      </c>
      <c r="E5670" s="485" t="s">
        <v>1317</v>
      </c>
      <c r="F5670" s="486">
        <f>C5674+C5673+0.05</f>
        <v>2.0999999999999996</v>
      </c>
      <c r="G5670" s="489" t="s">
        <v>10</v>
      </c>
      <c r="H5670" s="488"/>
      <c r="I5670" s="488"/>
      <c r="J5670" s="362"/>
      <c r="AX5670" s="117"/>
      <c r="AY5670" s="117"/>
      <c r="AZ5670" s="117"/>
      <c r="BA5670" s="117"/>
      <c r="BB5670" s="117"/>
      <c r="BC5670" s="117"/>
      <c r="BD5670" s="117"/>
    </row>
    <row r="5671" spans="1:56" ht="15">
      <c r="A5671" s="114"/>
      <c r="B5671" s="388" t="s">
        <v>1110</v>
      </c>
      <c r="C5671" s="389">
        <v>2.77</v>
      </c>
      <c r="D5671" s="390" t="s">
        <v>10</v>
      </c>
      <c r="E5671" s="485"/>
      <c r="F5671" s="486">
        <f>F5670/F5669</f>
        <v>1.2124355652982144</v>
      </c>
      <c r="G5671" s="489" t="s">
        <v>10</v>
      </c>
      <c r="H5671" s="488"/>
      <c r="I5671" s="488"/>
      <c r="J5671" s="362"/>
      <c r="AX5671" s="117"/>
      <c r="AY5671" s="117"/>
      <c r="AZ5671" s="117"/>
      <c r="BA5671" s="117"/>
      <c r="BB5671" s="117"/>
      <c r="BC5671" s="117"/>
      <c r="BD5671" s="117"/>
    </row>
    <row r="5672" spans="1:56">
      <c r="A5672" s="114"/>
      <c r="B5672" s="388" t="s">
        <v>1111</v>
      </c>
      <c r="C5672" s="389">
        <v>3.2</v>
      </c>
      <c r="D5672" s="390" t="s">
        <v>10</v>
      </c>
      <c r="E5672" s="485" t="s">
        <v>1318</v>
      </c>
      <c r="F5672" s="490"/>
      <c r="G5672" s="490"/>
      <c r="H5672" s="488"/>
      <c r="I5672" s="488"/>
      <c r="J5672" s="362"/>
      <c r="AX5672" s="117"/>
      <c r="AY5672" s="117"/>
      <c r="AZ5672" s="117"/>
      <c r="BA5672" s="117"/>
      <c r="BB5672" s="117"/>
      <c r="BC5672" s="117"/>
      <c r="BD5672" s="117"/>
    </row>
    <row r="5673" spans="1:56" ht="15">
      <c r="A5673" s="114"/>
      <c r="B5673" s="388" t="s">
        <v>1112</v>
      </c>
      <c r="C5673" s="389">
        <v>0.55000000000000004</v>
      </c>
      <c r="D5673" s="390" t="s">
        <v>10</v>
      </c>
      <c r="E5673" s="485" t="s">
        <v>1320</v>
      </c>
      <c r="F5673" s="486">
        <f>C5671+2*C5679</f>
        <v>3.77</v>
      </c>
      <c r="G5673" s="489" t="s">
        <v>10</v>
      </c>
      <c r="H5673" s="485" t="s">
        <v>1319</v>
      </c>
      <c r="I5673" s="486">
        <f>C5672+2*C5679</f>
        <v>4.2</v>
      </c>
      <c r="J5673" s="362"/>
      <c r="AX5673" s="117"/>
      <c r="AY5673" s="117"/>
      <c r="AZ5673" s="117"/>
      <c r="BA5673" s="117"/>
      <c r="BB5673" s="117"/>
      <c r="BC5673" s="117"/>
      <c r="BD5673" s="117"/>
    </row>
    <row r="5674" spans="1:56" ht="15">
      <c r="A5674" s="114"/>
      <c r="B5674" s="388" t="s">
        <v>1113</v>
      </c>
      <c r="C5674" s="389">
        <v>1.5</v>
      </c>
      <c r="D5674" s="390" t="s">
        <v>10</v>
      </c>
      <c r="E5674" s="485" t="s">
        <v>1322</v>
      </c>
      <c r="F5674" s="486">
        <f>F5673+F5671*2</f>
        <v>6.1948711305964288</v>
      </c>
      <c r="G5674" s="489" t="s">
        <v>10</v>
      </c>
      <c r="H5674" s="485" t="s">
        <v>1321</v>
      </c>
      <c r="I5674" s="486">
        <f>I5673+F5671*2</f>
        <v>6.6248711305964285</v>
      </c>
      <c r="J5674" s="362"/>
      <c r="AW5674" s="117"/>
      <c r="AX5674" s="117"/>
      <c r="AY5674" s="117"/>
      <c r="AZ5674" s="117"/>
      <c r="BA5674" s="117"/>
      <c r="BB5674" s="117"/>
      <c r="BC5674" s="117"/>
      <c r="BD5674" s="117"/>
    </row>
    <row r="5675" spans="1:56">
      <c r="A5675" s="114"/>
      <c r="B5675" s="388" t="s">
        <v>1117</v>
      </c>
      <c r="C5675" s="389">
        <v>1</v>
      </c>
      <c r="D5675" s="390" t="s">
        <v>1118</v>
      </c>
      <c r="E5675" s="490"/>
      <c r="F5675" s="486">
        <f>(F5673+F5674)/2</f>
        <v>4.9824355652982142</v>
      </c>
      <c r="G5675" s="489" t="s">
        <v>10</v>
      </c>
      <c r="H5675" s="485" t="s">
        <v>1323</v>
      </c>
      <c r="I5675" s="486">
        <f>(I5673+I5674)/2</f>
        <v>5.4124355652982139</v>
      </c>
      <c r="J5675" s="114"/>
      <c r="AW5675" s="117"/>
      <c r="AX5675" s="117"/>
      <c r="AY5675" s="117"/>
      <c r="AZ5675" s="117"/>
      <c r="BA5675" s="117"/>
      <c r="BB5675" s="117"/>
      <c r="BC5675" s="117"/>
      <c r="BD5675" s="117"/>
    </row>
    <row r="5676" spans="1:56">
      <c r="A5676" s="114"/>
      <c r="B5676" s="196" t="s">
        <v>1148</v>
      </c>
      <c r="C5676" s="393"/>
      <c r="D5676" s="196"/>
      <c r="E5676" s="485" t="s">
        <v>1324</v>
      </c>
      <c r="F5676" s="490"/>
      <c r="G5676" s="490"/>
      <c r="H5676" s="488"/>
      <c r="I5676" s="488"/>
      <c r="J5676" s="114"/>
      <c r="AW5676" s="117"/>
      <c r="AX5676" s="117"/>
      <c r="AY5676" s="117"/>
      <c r="AZ5676" s="117"/>
      <c r="BA5676" s="117"/>
      <c r="BB5676" s="117"/>
      <c r="BC5676" s="117"/>
      <c r="BD5676" s="117"/>
    </row>
    <row r="5677" spans="1:56" customFormat="1" ht="16.5">
      <c r="A5677" s="114"/>
      <c r="B5677" s="388" t="s">
        <v>1149</v>
      </c>
      <c r="C5677" s="389">
        <v>60</v>
      </c>
      <c r="D5677" s="390" t="s">
        <v>1150</v>
      </c>
      <c r="E5677" s="405"/>
      <c r="F5677" s="486">
        <f>((F5675*I5675)/2)*F5670</f>
        <v>28.3154670281981</v>
      </c>
      <c r="G5677" s="489" t="s">
        <v>1325</v>
      </c>
      <c r="H5677" s="488"/>
      <c r="I5677" s="488"/>
      <c r="J5677" s="362"/>
    </row>
    <row r="5678" spans="1:56" ht="15">
      <c r="A5678" s="114"/>
      <c r="B5678" s="491"/>
      <c r="C5678" s="196"/>
      <c r="D5678" s="196"/>
      <c r="E5678" s="196"/>
      <c r="F5678" s="406"/>
      <c r="G5678" s="407"/>
      <c r="H5678" s="405"/>
      <c r="I5678" s="405"/>
      <c r="J5678" s="404"/>
      <c r="AX5678" s="117"/>
      <c r="AY5678" s="117"/>
      <c r="AZ5678" s="117"/>
      <c r="BA5678" s="117"/>
      <c r="BB5678" s="117"/>
      <c r="BC5678" s="117"/>
      <c r="BD5678" s="117"/>
    </row>
    <row r="5679" spans="1:56">
      <c r="A5679" s="114"/>
      <c r="B5679" s="388" t="s">
        <v>1114</v>
      </c>
      <c r="C5679" s="389">
        <v>0.5</v>
      </c>
      <c r="D5679" s="390" t="s">
        <v>10</v>
      </c>
      <c r="E5679" s="288" t="s">
        <v>1120</v>
      </c>
      <c r="F5679" s="196" t="s">
        <v>1326</v>
      </c>
      <c r="G5679" s="115"/>
      <c r="H5679" s="362"/>
      <c r="I5679" s="362"/>
      <c r="J5679" s="405"/>
      <c r="AX5679" s="117"/>
      <c r="AY5679" s="117"/>
      <c r="AZ5679" s="117"/>
      <c r="BA5679" s="117"/>
      <c r="BB5679" s="117"/>
      <c r="BC5679" s="117"/>
      <c r="BD5679" s="117"/>
    </row>
    <row r="5680" spans="1:56">
      <c r="A5680" s="114"/>
      <c r="B5680" s="388" t="s">
        <v>1114</v>
      </c>
      <c r="C5680" s="389">
        <v>0.1</v>
      </c>
      <c r="D5680" s="390" t="s">
        <v>10</v>
      </c>
      <c r="E5680" s="288" t="s">
        <v>1121</v>
      </c>
      <c r="F5680" s="196"/>
      <c r="G5680" s="115"/>
      <c r="H5680" s="196"/>
      <c r="I5680" s="196"/>
      <c r="J5680" s="405"/>
      <c r="AX5680" s="117"/>
      <c r="AY5680" s="117"/>
      <c r="AZ5680" s="117"/>
      <c r="BA5680" s="117"/>
      <c r="BB5680" s="117"/>
      <c r="BC5680" s="117"/>
      <c r="BD5680" s="117"/>
    </row>
    <row r="5681" spans="1:56">
      <c r="A5681" s="114"/>
      <c r="B5681" s="362"/>
      <c r="C5681" s="362"/>
      <c r="D5681" s="362"/>
      <c r="E5681" s="362"/>
      <c r="F5681" s="362"/>
      <c r="G5681" s="115"/>
      <c r="H5681" s="362"/>
      <c r="I5681" s="196"/>
      <c r="J5681" s="405"/>
      <c r="AX5681" s="117"/>
      <c r="AY5681" s="117"/>
      <c r="AZ5681" s="117"/>
      <c r="BA5681" s="117"/>
      <c r="BB5681" s="117"/>
      <c r="BC5681" s="117"/>
      <c r="BD5681" s="117"/>
    </row>
    <row r="5682" spans="1:56" ht="15">
      <c r="A5682" s="114"/>
      <c r="B5682" s="303" t="s">
        <v>1122</v>
      </c>
      <c r="C5682" s="362"/>
      <c r="D5682" s="362"/>
      <c r="E5682" s="362"/>
      <c r="F5682" s="362"/>
      <c r="G5682" s="196"/>
      <c r="H5682" s="196"/>
      <c r="I5682" s="196"/>
      <c r="J5682" s="405"/>
      <c r="AX5682" s="117"/>
      <c r="AY5682" s="117"/>
      <c r="AZ5682" s="117"/>
      <c r="BA5682" s="117"/>
      <c r="BB5682" s="117"/>
      <c r="BC5682" s="117"/>
      <c r="BD5682" s="117"/>
    </row>
    <row r="5683" spans="1:56" ht="18">
      <c r="A5683" s="114"/>
      <c r="B5683" s="398" t="s">
        <v>1123</v>
      </c>
      <c r="C5683" s="172"/>
      <c r="D5683" s="173"/>
      <c r="E5683" s="397">
        <f>F5677*C5675</f>
        <v>28.3154670281981</v>
      </c>
      <c r="F5683" s="390" t="s">
        <v>1124</v>
      </c>
      <c r="G5683" s="196"/>
      <c r="H5683" s="362"/>
      <c r="I5683" s="362"/>
      <c r="J5683" s="405"/>
      <c r="AX5683" s="117"/>
      <c r="AY5683" s="117"/>
      <c r="AZ5683" s="117"/>
      <c r="BA5683" s="117"/>
      <c r="BB5683" s="117"/>
      <c r="BC5683" s="117"/>
      <c r="BD5683" s="117"/>
    </row>
    <row r="5684" spans="1:56" ht="18">
      <c r="A5684" s="114"/>
      <c r="B5684" s="398" t="s">
        <v>1125</v>
      </c>
      <c r="C5684" s="172"/>
      <c r="D5684" s="173"/>
      <c r="E5684" s="400">
        <f>E5683-E5695-E5697-C5675*(C5670*C5673)</f>
        <v>20.9832670281981</v>
      </c>
      <c r="F5684" s="390" t="s">
        <v>1124</v>
      </c>
      <c r="G5684" s="196"/>
      <c r="H5684" s="196"/>
      <c r="I5684" s="196"/>
      <c r="J5684" s="405"/>
      <c r="AX5684" s="117"/>
      <c r="AY5684" s="117"/>
      <c r="AZ5684" s="117"/>
      <c r="BA5684" s="117"/>
      <c r="BB5684" s="117"/>
      <c r="BC5684" s="117"/>
      <c r="BD5684" s="117"/>
    </row>
    <row r="5685" spans="1:56" ht="15">
      <c r="A5685" s="114"/>
      <c r="B5685" s="398" t="s">
        <v>1126</v>
      </c>
      <c r="C5685" s="172"/>
      <c r="D5685" s="173"/>
      <c r="E5685" s="400">
        <f>((C5671+2*C5680)*(C5672+2*C5680))/2*C5675</f>
        <v>5.0490000000000013</v>
      </c>
      <c r="F5685" s="390" t="s">
        <v>13</v>
      </c>
      <c r="G5685" s="362"/>
      <c r="H5685" s="362"/>
      <c r="I5685" s="362"/>
      <c r="J5685" s="405"/>
      <c r="AX5685" s="117"/>
      <c r="AY5685" s="117"/>
      <c r="AZ5685" s="117"/>
      <c r="BA5685" s="117"/>
      <c r="BB5685" s="117"/>
      <c r="BC5685" s="117"/>
      <c r="BD5685" s="117"/>
    </row>
    <row r="5686" spans="1:56" ht="15">
      <c r="A5686" s="114"/>
      <c r="B5686" s="362"/>
      <c r="C5686" s="362"/>
      <c r="D5686" s="362"/>
      <c r="E5686" s="401"/>
      <c r="F5686" s="196"/>
      <c r="G5686" s="362"/>
      <c r="H5686" s="362"/>
      <c r="I5686" s="362"/>
      <c r="J5686" s="405"/>
      <c r="AX5686" s="117"/>
      <c r="AY5686" s="117"/>
      <c r="AZ5686" s="117"/>
      <c r="BA5686" s="117"/>
      <c r="BB5686" s="117"/>
      <c r="BC5686" s="117"/>
      <c r="BD5686" s="117"/>
    </row>
    <row r="5687" spans="1:56" ht="15">
      <c r="A5687" s="114"/>
      <c r="B5687" s="303" t="s">
        <v>1162</v>
      </c>
      <c r="C5687" s="362"/>
      <c r="D5687" s="362"/>
      <c r="E5687" s="410"/>
      <c r="F5687" s="362"/>
      <c r="G5687" s="362"/>
      <c r="H5687" s="362"/>
      <c r="I5687" s="362"/>
      <c r="J5687" s="196"/>
      <c r="AX5687" s="117"/>
      <c r="AY5687" s="117"/>
      <c r="AZ5687" s="117"/>
      <c r="BA5687" s="117"/>
      <c r="BB5687" s="117"/>
      <c r="BC5687" s="117"/>
      <c r="BD5687" s="117"/>
    </row>
    <row r="5688" spans="1:56" ht="15">
      <c r="A5688" s="114"/>
      <c r="B5688" s="398" t="s">
        <v>1152</v>
      </c>
      <c r="C5688" s="398"/>
      <c r="D5688" s="398"/>
      <c r="E5688" s="492">
        <v>3</v>
      </c>
      <c r="F5688" s="390" t="s">
        <v>1153</v>
      </c>
      <c r="G5688" s="362"/>
      <c r="H5688" s="362"/>
      <c r="I5688" s="362"/>
      <c r="J5688" s="196"/>
      <c r="AX5688" s="117"/>
      <c r="AY5688" s="117"/>
      <c r="AZ5688" s="117"/>
      <c r="BA5688" s="117"/>
      <c r="BB5688" s="117"/>
      <c r="BC5688" s="117"/>
      <c r="BD5688" s="117"/>
    </row>
    <row r="5689" spans="1:56" ht="15">
      <c r="A5689" s="114"/>
      <c r="B5689" s="398" t="s">
        <v>1154</v>
      </c>
      <c r="C5689" s="21"/>
      <c r="D5689" s="413"/>
      <c r="E5689" s="412">
        <f>C5675*E5688</f>
        <v>3</v>
      </c>
      <c r="F5689" s="390" t="s">
        <v>1153</v>
      </c>
      <c r="G5689" s="362"/>
      <c r="H5689" s="362"/>
      <c r="I5689" s="362"/>
      <c r="J5689" s="196"/>
      <c r="AX5689" s="117"/>
      <c r="AY5689" s="117"/>
      <c r="AZ5689" s="117"/>
      <c r="BA5689" s="117"/>
      <c r="BB5689" s="117"/>
      <c r="BC5689" s="117"/>
      <c r="BD5689" s="117"/>
    </row>
    <row r="5690" spans="1:56" ht="15">
      <c r="A5690" s="114"/>
      <c r="B5690" s="398" t="s">
        <v>1155</v>
      </c>
      <c r="C5690" s="21"/>
      <c r="D5690" s="413"/>
      <c r="E5690" s="411">
        <v>600</v>
      </c>
      <c r="F5690" s="390" t="s">
        <v>1156</v>
      </c>
      <c r="G5690" s="362"/>
      <c r="H5690" s="414"/>
      <c r="I5690" s="362"/>
      <c r="J5690" s="196"/>
      <c r="AX5690" s="117"/>
      <c r="AY5690" s="117"/>
      <c r="AZ5690" s="117"/>
      <c r="BA5690" s="117"/>
      <c r="BB5690" s="117"/>
      <c r="BC5690" s="117"/>
      <c r="BD5690" s="117"/>
    </row>
    <row r="5691" spans="1:56" ht="15">
      <c r="A5691" s="114"/>
      <c r="B5691" s="398" t="s">
        <v>1157</v>
      </c>
      <c r="C5691" s="21"/>
      <c r="D5691" s="413"/>
      <c r="E5691" s="411">
        <v>31</v>
      </c>
      <c r="F5691" s="390" t="s">
        <v>10</v>
      </c>
      <c r="G5691" s="362"/>
      <c r="H5691" s="6"/>
      <c r="I5691" s="362"/>
      <c r="J5691" s="196"/>
      <c r="AX5691" s="117"/>
      <c r="AY5691" s="117"/>
      <c r="AZ5691" s="117"/>
      <c r="BA5691" s="117"/>
      <c r="BB5691" s="117"/>
      <c r="BC5691" s="117"/>
      <c r="BD5691" s="117"/>
    </row>
    <row r="5692" spans="1:56" ht="15">
      <c r="A5692" s="114"/>
      <c r="B5692" s="398" t="s">
        <v>1158</v>
      </c>
      <c r="C5692" s="21"/>
      <c r="D5692" s="413"/>
      <c r="E5692" s="412">
        <f>E5689*E5691</f>
        <v>93</v>
      </c>
      <c r="F5692" s="390" t="s">
        <v>10</v>
      </c>
      <c r="G5692" s="362"/>
      <c r="H5692" s="362"/>
      <c r="I5692" s="362"/>
      <c r="J5692" s="196"/>
      <c r="AX5692" s="117"/>
      <c r="AY5692" s="117"/>
      <c r="AZ5692" s="117"/>
      <c r="BA5692" s="117"/>
      <c r="BB5692" s="117"/>
      <c r="BC5692" s="117"/>
      <c r="BD5692" s="117"/>
    </row>
    <row r="5693" spans="1:56" ht="15">
      <c r="A5693" s="114"/>
      <c r="B5693" s="362"/>
      <c r="C5693" s="362"/>
      <c r="D5693" s="362"/>
      <c r="E5693" s="410"/>
      <c r="F5693" s="362"/>
      <c r="G5693" s="362"/>
      <c r="H5693" s="362"/>
      <c r="I5693" s="362"/>
      <c r="J5693" s="362"/>
      <c r="AX5693" s="117"/>
      <c r="AY5693" s="117"/>
      <c r="AZ5693" s="117"/>
      <c r="BA5693" s="117"/>
      <c r="BB5693" s="117"/>
      <c r="BC5693" s="117"/>
      <c r="BD5693" s="117"/>
    </row>
    <row r="5694" spans="1:56" ht="15">
      <c r="A5694" s="114"/>
      <c r="B5694" s="303" t="s">
        <v>1160</v>
      </c>
      <c r="C5694" s="362"/>
      <c r="D5694" s="362"/>
      <c r="E5694" s="410"/>
      <c r="F5694" s="362"/>
      <c r="G5694" s="362"/>
      <c r="H5694" s="362"/>
      <c r="I5694" s="362"/>
      <c r="J5694" s="196"/>
      <c r="AX5694" s="117"/>
      <c r="AY5694" s="117"/>
      <c r="AZ5694" s="117"/>
      <c r="BA5694" s="117"/>
      <c r="BB5694" s="117"/>
      <c r="BC5694" s="117"/>
      <c r="BD5694" s="117"/>
    </row>
    <row r="5695" spans="1:56" ht="18">
      <c r="A5695" s="114"/>
      <c r="B5695" s="398" t="s">
        <v>1128</v>
      </c>
      <c r="C5695" s="172"/>
      <c r="D5695" s="173"/>
      <c r="E5695" s="402">
        <f>E5685*0.05</f>
        <v>0.25245000000000006</v>
      </c>
      <c r="F5695" s="390" t="s">
        <v>1124</v>
      </c>
      <c r="G5695" s="362"/>
      <c r="H5695" s="362"/>
      <c r="I5695" s="362"/>
      <c r="J5695" s="362"/>
      <c r="AX5695" s="117"/>
      <c r="AY5695" s="117"/>
      <c r="AZ5695" s="117"/>
      <c r="BA5695" s="117"/>
      <c r="BB5695" s="117"/>
      <c r="BC5695" s="117"/>
      <c r="BD5695" s="117"/>
    </row>
    <row r="5696" spans="1:56" ht="15">
      <c r="A5696" s="114"/>
      <c r="B5696" s="398" t="s">
        <v>1129</v>
      </c>
      <c r="C5696" s="172"/>
      <c r="D5696" s="173"/>
      <c r="E5696" s="397">
        <f>(((C5671^2+(C5672/2)^2)^0.5)*2+C5672)*C5674*C5675</f>
        <v>14.396671297903247</v>
      </c>
      <c r="F5696" s="390" t="s">
        <v>13</v>
      </c>
      <c r="G5696" s="362"/>
      <c r="H5696" s="362"/>
      <c r="I5696" s="362"/>
      <c r="J5696" s="362"/>
      <c r="AX5696" s="117"/>
      <c r="AY5696" s="117"/>
      <c r="AZ5696" s="117"/>
      <c r="BA5696" s="117"/>
      <c r="BB5696" s="117"/>
      <c r="BC5696" s="117"/>
      <c r="BD5696" s="117"/>
    </row>
    <row r="5697" spans="1:56" ht="18">
      <c r="A5697" s="114"/>
      <c r="B5697" s="398" t="s">
        <v>1130</v>
      </c>
      <c r="C5697" s="172"/>
      <c r="D5697" s="173"/>
      <c r="E5697" s="402">
        <f>((C5671*C5672)/2)*C5674*C5675</f>
        <v>6.6480000000000006</v>
      </c>
      <c r="F5697" s="390" t="s">
        <v>1124</v>
      </c>
      <c r="G5697" s="362"/>
      <c r="H5697" s="362"/>
      <c r="I5697" s="362"/>
      <c r="J5697" s="362"/>
      <c r="AX5697" s="117"/>
      <c r="AY5697" s="117"/>
      <c r="AZ5697" s="117"/>
      <c r="BA5697" s="117"/>
      <c r="BB5697" s="117"/>
      <c r="BC5697" s="117"/>
      <c r="BD5697" s="117"/>
    </row>
    <row r="5698" spans="1:56" ht="15">
      <c r="A5698" s="114"/>
      <c r="B5698" s="398" t="s">
        <v>1327</v>
      </c>
      <c r="C5698" s="172"/>
      <c r="D5698" s="173"/>
      <c r="E5698" s="493">
        <f>E5697*100</f>
        <v>664.80000000000007</v>
      </c>
      <c r="F5698" s="390" t="s">
        <v>12</v>
      </c>
      <c r="G5698" s="362"/>
      <c r="H5698" s="362"/>
      <c r="I5698" s="362"/>
      <c r="J5698" s="362"/>
      <c r="AX5698" s="117"/>
      <c r="AY5698" s="117"/>
      <c r="AZ5698" s="117"/>
      <c r="BA5698" s="117"/>
      <c r="BB5698" s="117"/>
      <c r="BC5698" s="117"/>
      <c r="BD5698" s="117"/>
    </row>
    <row r="5699" spans="1:56">
      <c r="A5699" s="114"/>
      <c r="B5699" s="115"/>
      <c r="C5699" s="115"/>
      <c r="D5699" s="115"/>
      <c r="E5699" s="115"/>
      <c r="F5699" s="115"/>
      <c r="G5699" s="115"/>
      <c r="H5699" s="115"/>
      <c r="I5699" s="115"/>
      <c r="J5699" s="362"/>
      <c r="AX5699" s="117"/>
      <c r="AY5699" s="117"/>
      <c r="AZ5699" s="117"/>
      <c r="BA5699" s="117"/>
      <c r="BB5699" s="117"/>
      <c r="BC5699" s="117"/>
      <c r="BD5699" s="117"/>
    </row>
    <row r="5700" spans="1:56">
      <c r="A5700" s="114"/>
      <c r="B5700" s="115"/>
      <c r="C5700" s="115"/>
      <c r="D5700" s="115"/>
      <c r="E5700" s="115"/>
      <c r="F5700" s="115"/>
      <c r="G5700" s="115"/>
      <c r="H5700" s="115"/>
      <c r="I5700" s="115"/>
      <c r="J5700" s="415"/>
      <c r="AX5700" s="117"/>
      <c r="AY5700" s="117"/>
      <c r="AZ5700" s="117"/>
      <c r="BA5700" s="117"/>
      <c r="BB5700" s="117"/>
      <c r="BC5700" s="117"/>
      <c r="BD5700" s="117"/>
    </row>
    <row r="5701" spans="1:56">
      <c r="A5701"/>
      <c r="B5701" s="385" t="s">
        <v>1271</v>
      </c>
      <c r="C5701" s="362"/>
      <c r="D5701" s="362"/>
      <c r="E5701" s="362"/>
      <c r="F5701" s="362"/>
      <c r="G5701" s="115"/>
      <c r="H5701" s="115"/>
      <c r="I5701" s="362"/>
      <c r="J5701" s="362"/>
      <c r="AX5701" s="117"/>
      <c r="AY5701" s="117"/>
      <c r="AZ5701" s="117"/>
      <c r="BA5701" s="117"/>
      <c r="BB5701" s="117"/>
      <c r="BC5701" s="117"/>
      <c r="BD5701" s="117"/>
    </row>
    <row r="5702" spans="1:56" ht="15">
      <c r="A5702" s="114"/>
      <c r="B5702" s="362"/>
      <c r="C5702" s="362"/>
      <c r="D5702" s="362"/>
      <c r="E5702" s="362"/>
      <c r="F5702" s="404"/>
      <c r="G5702" s="196"/>
      <c r="H5702" s="196"/>
      <c r="I5702" s="404"/>
      <c r="J5702" s="362"/>
      <c r="AX5702" s="117"/>
      <c r="AY5702" s="117"/>
      <c r="AZ5702" s="117"/>
      <c r="BA5702" s="117"/>
      <c r="BB5702" s="117"/>
      <c r="BC5702" s="117"/>
      <c r="BD5702" s="117"/>
    </row>
    <row r="5703" spans="1:56" ht="18">
      <c r="A5703" s="114"/>
      <c r="B5703" s="388" t="s">
        <v>1141</v>
      </c>
      <c r="C5703" s="389">
        <v>0.75</v>
      </c>
      <c r="D5703" s="390" t="s">
        <v>10</v>
      </c>
      <c r="E5703" s="196"/>
      <c r="F5703" s="405"/>
      <c r="G5703" s="196"/>
      <c r="H5703" s="196"/>
      <c r="I5703" s="405" t="s">
        <v>1143</v>
      </c>
      <c r="J5703" s="362"/>
      <c r="AX5703" s="117"/>
      <c r="AY5703" s="117"/>
      <c r="AZ5703" s="117"/>
      <c r="BA5703" s="117"/>
      <c r="BB5703" s="117"/>
      <c r="BC5703" s="117"/>
      <c r="BD5703" s="117"/>
    </row>
    <row r="5704" spans="1:56" ht="15">
      <c r="A5704" s="114"/>
      <c r="B5704" s="388" t="s">
        <v>1144</v>
      </c>
      <c r="C5704" s="389">
        <v>0.75</v>
      </c>
      <c r="D5704" s="390" t="s">
        <v>10</v>
      </c>
      <c r="E5704" s="196"/>
      <c r="F5704" s="405"/>
      <c r="G5704" s="362"/>
      <c r="H5704" s="362"/>
      <c r="I5704" s="405"/>
      <c r="J5704" s="362"/>
      <c r="AX5704" s="117"/>
      <c r="AY5704" s="117"/>
      <c r="AZ5704" s="117"/>
      <c r="BA5704" s="117"/>
      <c r="BB5704" s="117"/>
      <c r="BC5704" s="117"/>
      <c r="BD5704" s="117"/>
    </row>
    <row r="5705" spans="1:56" ht="15">
      <c r="A5705" s="114"/>
      <c r="B5705" s="388" t="s">
        <v>1145</v>
      </c>
      <c r="C5705" s="389">
        <v>3</v>
      </c>
      <c r="D5705" s="390" t="s">
        <v>10</v>
      </c>
      <c r="E5705" s="196"/>
      <c r="F5705" s="405"/>
      <c r="G5705" s="404"/>
      <c r="H5705" s="404"/>
      <c r="I5705" s="405"/>
      <c r="J5705" s="362"/>
      <c r="AX5705" s="117"/>
      <c r="AY5705" s="117"/>
      <c r="AZ5705" s="117"/>
      <c r="BA5705" s="117"/>
      <c r="BB5705" s="117"/>
      <c r="BC5705" s="117"/>
      <c r="BD5705" s="117"/>
    </row>
    <row r="5706" spans="1:56" ht="18">
      <c r="A5706" s="114"/>
      <c r="B5706" s="388" t="s">
        <v>1146</v>
      </c>
      <c r="C5706" s="389">
        <v>3</v>
      </c>
      <c r="D5706" s="390" t="s">
        <v>10</v>
      </c>
      <c r="E5706" s="196"/>
      <c r="F5706" s="405"/>
      <c r="G5706" s="406" t="s">
        <v>1142</v>
      </c>
      <c r="H5706" s="407">
        <f>C5703*C5704</f>
        <v>0.5625</v>
      </c>
      <c r="I5706" s="405" t="s">
        <v>1143</v>
      </c>
      <c r="J5706" s="362"/>
      <c r="AX5706" s="117"/>
      <c r="AY5706" s="117"/>
      <c r="AZ5706" s="117"/>
      <c r="BA5706" s="117"/>
      <c r="BB5706" s="117"/>
      <c r="BC5706" s="117"/>
      <c r="BD5706" s="117"/>
    </row>
    <row r="5707" spans="1:56" ht="18">
      <c r="A5707" s="114"/>
      <c r="B5707" s="388" t="s">
        <v>1112</v>
      </c>
      <c r="C5707" s="389">
        <v>0.55000000000000004</v>
      </c>
      <c r="D5707" s="390" t="s">
        <v>10</v>
      </c>
      <c r="E5707" s="196"/>
      <c r="F5707" s="405"/>
      <c r="G5707" s="406" t="e">
        <f>TEXT(C5711,"tg 0°=")</f>
        <v>#VALUE!</v>
      </c>
      <c r="H5707" s="408">
        <f>TAN(3.14159265359*C5711/180)</f>
        <v>1.732050807569153</v>
      </c>
      <c r="I5707" s="405" t="s">
        <v>1143</v>
      </c>
      <c r="J5707" s="362"/>
      <c r="AX5707" s="117"/>
      <c r="AY5707" s="117"/>
      <c r="AZ5707" s="117"/>
      <c r="BA5707" s="117"/>
      <c r="BB5707" s="117"/>
      <c r="BC5707" s="117"/>
      <c r="BD5707" s="117"/>
    </row>
    <row r="5708" spans="1:56" ht="15">
      <c r="A5708" s="114"/>
      <c r="B5708" s="388" t="s">
        <v>1113</v>
      </c>
      <c r="C5708" s="389">
        <v>1.5</v>
      </c>
      <c r="D5708" s="390" t="s">
        <v>10</v>
      </c>
      <c r="E5708" s="196"/>
      <c r="F5708" s="405"/>
      <c r="G5708" s="406"/>
      <c r="H5708" s="407"/>
      <c r="I5708" s="405"/>
      <c r="J5708" s="114"/>
      <c r="AW5708" s="117"/>
      <c r="AX5708" s="117"/>
      <c r="AY5708" s="117"/>
      <c r="AZ5708" s="117"/>
      <c r="BA5708" s="117"/>
      <c r="BB5708" s="117"/>
      <c r="BC5708" s="117"/>
      <c r="BD5708" s="117"/>
    </row>
    <row r="5709" spans="1:56" ht="15">
      <c r="A5709" s="114"/>
      <c r="B5709" s="388" t="s">
        <v>1117</v>
      </c>
      <c r="C5709" s="391">
        <v>13</v>
      </c>
      <c r="D5709" s="390" t="s">
        <v>1118</v>
      </c>
      <c r="E5709" s="196"/>
      <c r="F5709" s="405"/>
      <c r="G5709" s="406" t="s">
        <v>1142</v>
      </c>
      <c r="H5709" s="409">
        <f>(C5705+2*C5713+((C5707+C5708+0.05)/H5707)*2)*(C5706+2*C5713+((C5707+C5708+0.05)/H5707)*2)</f>
        <v>41.278969044766463</v>
      </c>
      <c r="I5709" s="405"/>
      <c r="J5709" s="114"/>
      <c r="AW5709" s="117"/>
      <c r="AX5709" s="117"/>
      <c r="AY5709" s="117"/>
      <c r="AZ5709" s="117"/>
      <c r="BA5709" s="117"/>
      <c r="BB5709" s="117"/>
      <c r="BC5709" s="117"/>
      <c r="BD5709" s="117"/>
    </row>
    <row r="5710" spans="1:56" ht="15">
      <c r="A5710" s="114"/>
      <c r="B5710" s="196" t="s">
        <v>1148</v>
      </c>
      <c r="C5710" s="393"/>
      <c r="D5710" s="196"/>
      <c r="E5710" s="196"/>
      <c r="F5710" s="405"/>
      <c r="G5710" s="406" t="s">
        <v>1147</v>
      </c>
      <c r="H5710" s="409">
        <f>(C5705+2*C5713)*(C5706+2*C5713)</f>
        <v>16</v>
      </c>
      <c r="I5710" s="405"/>
      <c r="J5710" s="114"/>
      <c r="AW5710" s="117"/>
      <c r="AX5710" s="117"/>
      <c r="AY5710" s="117"/>
      <c r="AZ5710" s="117"/>
      <c r="BA5710" s="117"/>
      <c r="BB5710" s="117"/>
      <c r="BC5710" s="117"/>
      <c r="BD5710" s="117"/>
    </row>
    <row r="5711" spans="1:56" customFormat="1" ht="15">
      <c r="A5711" s="114"/>
      <c r="B5711" s="388" t="s">
        <v>1149</v>
      </c>
      <c r="C5711" s="389">
        <v>60</v>
      </c>
      <c r="D5711" s="390" t="s">
        <v>1150</v>
      </c>
      <c r="E5711" s="196"/>
      <c r="F5711" s="196"/>
      <c r="G5711" s="406"/>
      <c r="H5711" s="407"/>
      <c r="I5711" s="196"/>
      <c r="J5711" s="362"/>
    </row>
    <row r="5712" spans="1:56" ht="15">
      <c r="A5712" s="114"/>
      <c r="B5712" s="362"/>
      <c r="C5712" s="196"/>
      <c r="D5712" s="196"/>
      <c r="E5712" s="196"/>
      <c r="F5712" s="196"/>
      <c r="G5712" s="406"/>
      <c r="H5712" s="407"/>
      <c r="I5712" s="362"/>
      <c r="J5712" s="404"/>
      <c r="AX5712" s="117"/>
      <c r="AY5712" s="117"/>
      <c r="AZ5712" s="117"/>
      <c r="BA5712" s="117"/>
      <c r="BB5712" s="117"/>
      <c r="BC5712" s="117"/>
      <c r="BD5712" s="117"/>
    </row>
    <row r="5713" spans="1:56" ht="15">
      <c r="A5713" s="114"/>
      <c r="B5713" s="388" t="s">
        <v>1114</v>
      </c>
      <c r="C5713" s="389">
        <v>0.5</v>
      </c>
      <c r="D5713" s="390" t="s">
        <v>10</v>
      </c>
      <c r="E5713" s="288" t="s">
        <v>1120</v>
      </c>
      <c r="F5713" s="196"/>
      <c r="G5713" s="406"/>
      <c r="H5713" s="407"/>
      <c r="I5713" s="114"/>
      <c r="J5713" s="405"/>
      <c r="AX5713" s="117"/>
      <c r="AY5713" s="117"/>
      <c r="AZ5713" s="117"/>
      <c r="BA5713" s="117"/>
      <c r="BB5713" s="117"/>
      <c r="BC5713" s="117"/>
      <c r="BD5713" s="117"/>
    </row>
    <row r="5714" spans="1:56" ht="15">
      <c r="A5714" s="114"/>
      <c r="B5714" s="388" t="s">
        <v>1114</v>
      </c>
      <c r="C5714" s="389">
        <v>0.1</v>
      </c>
      <c r="D5714" s="390" t="s">
        <v>10</v>
      </c>
      <c r="E5714" s="288" t="s">
        <v>1121</v>
      </c>
      <c r="F5714" s="196"/>
      <c r="G5714" s="392"/>
      <c r="H5714" s="393"/>
      <c r="I5714" s="196"/>
      <c r="J5714" s="405"/>
      <c r="AX5714" s="117"/>
      <c r="AY5714" s="117"/>
      <c r="AZ5714" s="117"/>
      <c r="BA5714" s="117"/>
      <c r="BB5714" s="117"/>
      <c r="BC5714" s="117"/>
      <c r="BD5714" s="117"/>
    </row>
    <row r="5715" spans="1:56" ht="15">
      <c r="A5715" s="114"/>
      <c r="B5715" s="362"/>
      <c r="C5715" s="362"/>
      <c r="D5715" s="362"/>
      <c r="E5715" s="362"/>
      <c r="F5715" s="362"/>
      <c r="G5715" s="362"/>
      <c r="H5715" s="362"/>
      <c r="I5715" s="196"/>
      <c r="J5715" s="405"/>
      <c r="AX5715" s="117"/>
      <c r="AY5715" s="117"/>
      <c r="AZ5715" s="117"/>
      <c r="BA5715" s="117"/>
      <c r="BB5715" s="117"/>
      <c r="BC5715" s="117"/>
      <c r="BD5715" s="117"/>
    </row>
    <row r="5716" spans="1:56" ht="15">
      <c r="A5716" s="114"/>
      <c r="B5716" s="303" t="s">
        <v>1122</v>
      </c>
      <c r="C5716" s="362"/>
      <c r="D5716" s="362"/>
      <c r="E5716" s="362"/>
      <c r="F5716" s="362"/>
      <c r="G5716" s="196" t="s">
        <v>1131</v>
      </c>
      <c r="H5716" s="114"/>
      <c r="I5716" s="196"/>
      <c r="J5716" s="405"/>
      <c r="AX5716" s="117"/>
      <c r="AY5716" s="117"/>
      <c r="AZ5716" s="117"/>
      <c r="BA5716" s="117"/>
      <c r="BB5716" s="117"/>
      <c r="BC5716" s="117"/>
      <c r="BD5716" s="117"/>
    </row>
    <row r="5717" spans="1:56" ht="18">
      <c r="A5717" s="114"/>
      <c r="B5717" s="398" t="s">
        <v>1123</v>
      </c>
      <c r="C5717" s="172"/>
      <c r="D5717" s="173"/>
      <c r="E5717" s="397">
        <f>C5709*((H5710+H5709)/2)*(C5707+C5708+0.05)</f>
        <v>781.8579274610621</v>
      </c>
      <c r="F5717" s="390" t="s">
        <v>1124</v>
      </c>
      <c r="G5717" s="196"/>
      <c r="H5717" s="196"/>
      <c r="I5717" s="362"/>
      <c r="J5717" s="405"/>
      <c r="AX5717" s="117"/>
      <c r="AY5717" s="117"/>
      <c r="AZ5717" s="117"/>
      <c r="BA5717" s="117"/>
      <c r="BB5717" s="117"/>
      <c r="BC5717" s="117"/>
      <c r="BD5717" s="117"/>
    </row>
    <row r="5718" spans="1:56" ht="18">
      <c r="A5718" s="114"/>
      <c r="B5718" s="398" t="s">
        <v>1125</v>
      </c>
      <c r="C5718" s="172"/>
      <c r="D5718" s="173"/>
      <c r="E5718" s="400">
        <f>E5717-C5709*(C5705*C5706*C5708+C5705*C5706*0.05+C5703*C5704*C5707)</f>
        <v>596.48605246106217</v>
      </c>
      <c r="F5718" s="390" t="s">
        <v>1124</v>
      </c>
      <c r="G5718" s="196"/>
      <c r="H5718" s="196"/>
      <c r="I5718" s="196"/>
      <c r="J5718" s="405"/>
      <c r="AX5718" s="117"/>
      <c r="AY5718" s="117"/>
      <c r="AZ5718" s="117"/>
      <c r="BA5718" s="117"/>
      <c r="BB5718" s="117"/>
      <c r="BC5718" s="117"/>
      <c r="BD5718" s="117"/>
    </row>
    <row r="5719" spans="1:56" ht="15">
      <c r="A5719" s="114"/>
      <c r="B5719" s="398" t="s">
        <v>1126</v>
      </c>
      <c r="C5719" s="172"/>
      <c r="D5719" s="173"/>
      <c r="E5719" s="400">
        <f>((C5705+2*C5714)*(C5706+2*C5714))*C5709</f>
        <v>133.12000000000003</v>
      </c>
      <c r="F5719" s="390" t="s">
        <v>13</v>
      </c>
      <c r="G5719" s="362"/>
      <c r="H5719" s="362"/>
      <c r="I5719" s="362"/>
      <c r="J5719" s="405"/>
      <c r="AX5719" s="117"/>
      <c r="AY5719" s="117"/>
      <c r="AZ5719" s="117"/>
      <c r="BA5719" s="117"/>
      <c r="BB5719" s="117"/>
      <c r="BC5719" s="117"/>
      <c r="BD5719" s="117"/>
    </row>
    <row r="5720" spans="1:56" ht="15">
      <c r="A5720" s="114"/>
      <c r="B5720" s="362"/>
      <c r="C5720" s="362"/>
      <c r="D5720" s="362"/>
      <c r="E5720" s="401"/>
      <c r="F5720" s="196"/>
      <c r="G5720" s="362"/>
      <c r="H5720" s="362"/>
      <c r="I5720" s="362"/>
      <c r="J5720" s="405"/>
      <c r="AX5720" s="117"/>
      <c r="AY5720" s="117"/>
      <c r="AZ5720" s="117"/>
      <c r="BA5720" s="117"/>
      <c r="BB5720" s="117"/>
      <c r="BC5720" s="117"/>
      <c r="BD5720" s="117"/>
    </row>
    <row r="5721" spans="1:56" ht="15">
      <c r="A5721" s="114"/>
      <c r="B5721" s="303" t="s">
        <v>1162</v>
      </c>
      <c r="C5721" s="362"/>
      <c r="D5721" s="362"/>
      <c r="E5721" s="410"/>
      <c r="F5721" s="362"/>
      <c r="G5721" s="362"/>
      <c r="H5721" s="362"/>
      <c r="I5721" s="362"/>
      <c r="J5721" s="196"/>
      <c r="AX5721" s="117"/>
      <c r="AY5721" s="117"/>
      <c r="AZ5721" s="117"/>
      <c r="BA5721" s="117"/>
      <c r="BB5721" s="117"/>
      <c r="BC5721" s="117"/>
      <c r="BD5721" s="117"/>
    </row>
    <row r="5722" spans="1:56" ht="15">
      <c r="A5722" s="114"/>
      <c r="B5722" s="398" t="s">
        <v>1152</v>
      </c>
      <c r="C5722" s="398"/>
      <c r="D5722" s="366"/>
      <c r="E5722" s="411">
        <v>4</v>
      </c>
      <c r="F5722" s="390" t="s">
        <v>1153</v>
      </c>
      <c r="G5722" s="362"/>
      <c r="H5722" s="362"/>
      <c r="I5722" s="362"/>
      <c r="J5722" s="196"/>
      <c r="AX5722" s="117"/>
      <c r="AY5722" s="117"/>
      <c r="AZ5722" s="117"/>
      <c r="BA5722" s="117"/>
      <c r="BB5722" s="117"/>
      <c r="BC5722" s="117"/>
      <c r="BD5722" s="117"/>
    </row>
    <row r="5723" spans="1:56" ht="15">
      <c r="A5723" s="114"/>
      <c r="B5723" s="399" t="s">
        <v>1154</v>
      </c>
      <c r="C5723" s="31"/>
      <c r="D5723" s="32"/>
      <c r="E5723" s="412">
        <f>C5709*E5722</f>
        <v>52</v>
      </c>
      <c r="F5723" s="390" t="s">
        <v>1153</v>
      </c>
      <c r="G5723" s="362"/>
      <c r="H5723" s="362"/>
      <c r="I5723" s="362"/>
      <c r="J5723" s="196"/>
      <c r="AX5723" s="117"/>
      <c r="AY5723" s="117"/>
      <c r="AZ5723" s="117"/>
      <c r="BA5723" s="117"/>
      <c r="BB5723" s="117"/>
      <c r="BC5723" s="117"/>
      <c r="BD5723" s="117"/>
    </row>
    <row r="5724" spans="1:56" ht="15">
      <c r="A5724" s="114"/>
      <c r="B5724" s="398" t="s">
        <v>1155</v>
      </c>
      <c r="C5724" s="21"/>
      <c r="D5724" s="413"/>
      <c r="E5724" s="411">
        <v>600</v>
      </c>
      <c r="F5724" s="390" t="s">
        <v>1156</v>
      </c>
      <c r="G5724" s="362"/>
      <c r="H5724" s="414"/>
      <c r="I5724" s="362"/>
      <c r="J5724" s="196"/>
      <c r="AX5724" s="117"/>
      <c r="AY5724" s="117"/>
      <c r="AZ5724" s="117"/>
      <c r="BA5724" s="117"/>
      <c r="BB5724" s="117"/>
      <c r="BC5724" s="117"/>
      <c r="BD5724" s="117"/>
    </row>
    <row r="5725" spans="1:56" ht="15">
      <c r="A5725" s="114"/>
      <c r="B5725" s="398" t="s">
        <v>1157</v>
      </c>
      <c r="C5725" s="21"/>
      <c r="D5725" s="413"/>
      <c r="E5725" s="418">
        <v>31</v>
      </c>
      <c r="F5725" s="390" t="s">
        <v>10</v>
      </c>
      <c r="G5725" s="362"/>
      <c r="H5725" s="6"/>
      <c r="I5725" s="362"/>
      <c r="J5725" s="196"/>
      <c r="AX5725" s="117"/>
      <c r="AY5725" s="117"/>
      <c r="AZ5725" s="117"/>
      <c r="BA5725" s="117"/>
      <c r="BB5725" s="117"/>
      <c r="BC5725" s="117"/>
      <c r="BD5725" s="117"/>
    </row>
    <row r="5726" spans="1:56" ht="15">
      <c r="A5726" s="114"/>
      <c r="B5726" s="398" t="s">
        <v>1158</v>
      </c>
      <c r="C5726" s="21"/>
      <c r="D5726" s="413"/>
      <c r="E5726" s="412">
        <f>E5723*E5725</f>
        <v>1612</v>
      </c>
      <c r="F5726" s="390" t="s">
        <v>10</v>
      </c>
      <c r="G5726" s="362"/>
      <c r="H5726" s="362"/>
      <c r="I5726" s="362"/>
      <c r="J5726" s="196"/>
      <c r="AX5726" s="117"/>
      <c r="AY5726" s="117"/>
      <c r="AZ5726" s="117"/>
      <c r="BA5726" s="117"/>
      <c r="BB5726" s="117"/>
      <c r="BC5726" s="117"/>
      <c r="BD5726" s="117"/>
    </row>
    <row r="5727" spans="1:56" ht="15">
      <c r="A5727" s="114"/>
      <c r="B5727" s="362"/>
      <c r="C5727" s="362"/>
      <c r="D5727" s="362"/>
      <c r="E5727" s="410"/>
      <c r="F5727" s="362"/>
      <c r="G5727" s="362"/>
      <c r="H5727" s="362"/>
      <c r="I5727" s="362"/>
      <c r="J5727" s="362"/>
      <c r="AX5727" s="117"/>
      <c r="AY5727" s="117"/>
      <c r="AZ5727" s="117"/>
      <c r="BA5727" s="117"/>
      <c r="BB5727" s="117"/>
      <c r="BC5727" s="117"/>
      <c r="BD5727" s="117"/>
    </row>
    <row r="5728" spans="1:56" ht="15">
      <c r="A5728" s="114"/>
      <c r="B5728" s="303" t="s">
        <v>1160</v>
      </c>
      <c r="C5728" s="362"/>
      <c r="D5728" s="362"/>
      <c r="E5728" s="410"/>
      <c r="F5728" s="362"/>
      <c r="G5728" s="362"/>
      <c r="H5728" s="362"/>
      <c r="I5728" s="362"/>
      <c r="J5728" s="196"/>
      <c r="AX5728" s="117"/>
      <c r="AY5728" s="117"/>
      <c r="AZ5728" s="117"/>
      <c r="BA5728" s="117"/>
      <c r="BB5728" s="117"/>
      <c r="BC5728" s="117"/>
      <c r="BD5728" s="117"/>
    </row>
    <row r="5729" spans="1:56" ht="18">
      <c r="A5729" s="114"/>
      <c r="B5729" s="398" t="s">
        <v>1128</v>
      </c>
      <c r="C5729" s="172"/>
      <c r="D5729" s="173"/>
      <c r="E5729" s="402">
        <f>E5719*0.05</f>
        <v>6.6560000000000024</v>
      </c>
      <c r="F5729" s="390" t="s">
        <v>1124</v>
      </c>
      <c r="G5729" s="362"/>
      <c r="H5729" s="362"/>
      <c r="I5729" s="362"/>
      <c r="J5729" s="362"/>
      <c r="AX5729" s="117"/>
      <c r="AY5729" s="117"/>
      <c r="AZ5729" s="117"/>
      <c r="BA5729" s="117"/>
      <c r="BB5729" s="117"/>
      <c r="BC5729" s="117"/>
      <c r="BD5729" s="117"/>
    </row>
    <row r="5730" spans="1:56" ht="15">
      <c r="A5730" s="114"/>
      <c r="B5730" s="398" t="s">
        <v>1129</v>
      </c>
      <c r="C5730" s="172"/>
      <c r="D5730" s="173"/>
      <c r="E5730" s="397">
        <f>(2*(C5705+C5706)*C5708)*C5709</f>
        <v>234</v>
      </c>
      <c r="F5730" s="390" t="s">
        <v>13</v>
      </c>
      <c r="G5730" s="362"/>
      <c r="H5730" s="362"/>
      <c r="I5730" s="362"/>
      <c r="J5730" s="362"/>
      <c r="AX5730" s="117"/>
      <c r="AY5730" s="117"/>
      <c r="AZ5730" s="117"/>
      <c r="BA5730" s="117"/>
      <c r="BB5730" s="117"/>
      <c r="BC5730" s="117"/>
      <c r="BD5730" s="117"/>
    </row>
    <row r="5731" spans="1:56" ht="18">
      <c r="A5731" s="114"/>
      <c r="B5731" s="398" t="s">
        <v>1130</v>
      </c>
      <c r="C5731" s="172"/>
      <c r="D5731" s="173"/>
      <c r="E5731" s="402">
        <f>(C5705*C5706*C5708)*C5709</f>
        <v>175.5</v>
      </c>
      <c r="F5731" s="390" t="s">
        <v>1124</v>
      </c>
      <c r="G5731" s="362"/>
      <c r="H5731" s="362"/>
      <c r="I5731" s="362"/>
      <c r="J5731" s="362"/>
      <c r="AX5731" s="117"/>
      <c r="AY5731" s="117"/>
      <c r="AZ5731" s="117"/>
      <c r="BA5731" s="117"/>
      <c r="BB5731" s="117"/>
      <c r="BC5731" s="117"/>
      <c r="BD5731" s="117"/>
    </row>
    <row r="5732" spans="1:56">
      <c r="A5732" s="114"/>
      <c r="B5732" s="115"/>
      <c r="C5732" s="115"/>
      <c r="D5732" s="115"/>
      <c r="E5732" s="115"/>
      <c r="F5732" s="115"/>
      <c r="G5732" s="115"/>
      <c r="H5732" s="115"/>
      <c r="I5732" s="115"/>
      <c r="J5732" s="362"/>
      <c r="AX5732" s="117"/>
      <c r="AY5732" s="117"/>
      <c r="AZ5732" s="117"/>
      <c r="BA5732" s="117"/>
      <c r="BB5732" s="117"/>
      <c r="BC5732" s="117"/>
      <c r="BD5732" s="117"/>
    </row>
    <row r="5733" spans="1:56">
      <c r="A5733" s="114"/>
      <c r="B5733" s="115"/>
      <c r="C5733" s="115"/>
      <c r="D5733" s="115"/>
      <c r="E5733" s="115"/>
      <c r="F5733" s="115"/>
      <c r="G5733" s="115"/>
      <c r="H5733" s="115"/>
      <c r="I5733" s="115"/>
      <c r="J5733" s="362"/>
      <c r="AX5733" s="117"/>
      <c r="AY5733" s="117"/>
      <c r="AZ5733" s="117"/>
      <c r="BA5733" s="117"/>
      <c r="BB5733" s="117"/>
      <c r="BC5733" s="117"/>
      <c r="BD5733" s="117"/>
    </row>
    <row r="5734" spans="1:56">
      <c r="A5734" s="114"/>
      <c r="B5734" s="115"/>
      <c r="C5734" s="115"/>
      <c r="D5734" s="115"/>
      <c r="E5734" s="115"/>
      <c r="F5734" s="115"/>
      <c r="G5734" s="115"/>
      <c r="H5734" s="115"/>
      <c r="I5734" s="115"/>
      <c r="J5734" s="415"/>
      <c r="AX5734" s="117"/>
      <c r="AY5734" s="117"/>
      <c r="AZ5734" s="117"/>
      <c r="BA5734" s="117"/>
      <c r="BB5734" s="117"/>
      <c r="BC5734" s="117"/>
      <c r="BD5734" s="117"/>
    </row>
    <row r="5735" spans="1:56">
      <c r="A5735"/>
      <c r="B5735" s="385" t="s">
        <v>1735</v>
      </c>
      <c r="C5735" s="362"/>
      <c r="D5735" s="362"/>
      <c r="E5735" s="362"/>
      <c r="F5735" s="362"/>
      <c r="G5735" s="115"/>
      <c r="H5735" s="115"/>
      <c r="I5735" s="362"/>
      <c r="J5735" s="362"/>
      <c r="AX5735" s="117"/>
      <c r="AY5735" s="117"/>
      <c r="AZ5735" s="117"/>
      <c r="BA5735" s="117"/>
      <c r="BB5735" s="117"/>
      <c r="BC5735" s="117"/>
      <c r="BD5735" s="117"/>
    </row>
    <row r="5736" spans="1:56" ht="15">
      <c r="A5736" s="114"/>
      <c r="B5736" s="362"/>
      <c r="C5736" s="362"/>
      <c r="D5736" s="362"/>
      <c r="E5736" s="362"/>
      <c r="F5736" s="404"/>
      <c r="G5736" s="196"/>
      <c r="H5736" s="196"/>
      <c r="I5736" s="404"/>
      <c r="J5736" s="362"/>
      <c r="AX5736" s="117"/>
      <c r="AY5736" s="117"/>
      <c r="AZ5736" s="117"/>
      <c r="BA5736" s="117"/>
      <c r="BB5736" s="117"/>
      <c r="BC5736" s="117"/>
      <c r="BD5736" s="117"/>
    </row>
    <row r="5737" spans="1:56" ht="18">
      <c r="A5737" s="114"/>
      <c r="B5737" s="388" t="s">
        <v>1141</v>
      </c>
      <c r="C5737" s="389">
        <v>0.3</v>
      </c>
      <c r="D5737" s="390" t="s">
        <v>10</v>
      </c>
      <c r="E5737" s="196"/>
      <c r="F5737" s="405"/>
      <c r="G5737" s="196"/>
      <c r="H5737" s="196"/>
      <c r="I5737" s="405" t="s">
        <v>1143</v>
      </c>
      <c r="J5737" s="362"/>
      <c r="AX5737" s="117"/>
      <c r="AY5737" s="117"/>
      <c r="AZ5737" s="117"/>
      <c r="BA5737" s="117"/>
      <c r="BB5737" s="117"/>
      <c r="BC5737" s="117"/>
      <c r="BD5737" s="117"/>
    </row>
    <row r="5738" spans="1:56" ht="15">
      <c r="A5738" s="114"/>
      <c r="B5738" s="388" t="s">
        <v>1144</v>
      </c>
      <c r="C5738" s="389">
        <v>2.6</v>
      </c>
      <c r="D5738" s="390" t="s">
        <v>10</v>
      </c>
      <c r="E5738" s="196"/>
      <c r="F5738" s="405"/>
      <c r="G5738" s="362"/>
      <c r="H5738" s="362"/>
      <c r="I5738" s="405"/>
      <c r="J5738" s="362"/>
      <c r="AX5738" s="117"/>
      <c r="AY5738" s="117"/>
      <c r="AZ5738" s="117"/>
      <c r="BA5738" s="117"/>
      <c r="BB5738" s="117"/>
      <c r="BC5738" s="117"/>
      <c r="BD5738" s="117"/>
    </row>
    <row r="5739" spans="1:56" ht="15">
      <c r="A5739" s="114"/>
      <c r="B5739" s="388" t="s">
        <v>1145</v>
      </c>
      <c r="C5739" s="389">
        <v>3</v>
      </c>
      <c r="D5739" s="390" t="s">
        <v>10</v>
      </c>
      <c r="E5739" s="196"/>
      <c r="F5739" s="405"/>
      <c r="G5739" s="404"/>
      <c r="H5739" s="404"/>
      <c r="I5739" s="405"/>
      <c r="J5739" s="362"/>
      <c r="AX5739" s="117"/>
      <c r="AY5739" s="117"/>
      <c r="AZ5739" s="117"/>
      <c r="BA5739" s="117"/>
      <c r="BB5739" s="117"/>
      <c r="BC5739" s="117"/>
      <c r="BD5739" s="117"/>
    </row>
    <row r="5740" spans="1:56" ht="18">
      <c r="A5740" s="114"/>
      <c r="B5740" s="388" t="s">
        <v>1146</v>
      </c>
      <c r="C5740" s="389">
        <v>3</v>
      </c>
      <c r="D5740" s="390" t="s">
        <v>10</v>
      </c>
      <c r="E5740" s="196"/>
      <c r="F5740" s="405"/>
      <c r="G5740" s="406" t="s">
        <v>1142</v>
      </c>
      <c r="H5740" s="407">
        <f>C5737*C5738</f>
        <v>0.78</v>
      </c>
      <c r="I5740" s="405" t="s">
        <v>1143</v>
      </c>
      <c r="J5740" s="362"/>
      <c r="AX5740" s="117"/>
      <c r="AY5740" s="117"/>
      <c r="AZ5740" s="117"/>
      <c r="BA5740" s="117"/>
      <c r="BB5740" s="117"/>
      <c r="BC5740" s="117"/>
      <c r="BD5740" s="117"/>
    </row>
    <row r="5741" spans="1:56" ht="18">
      <c r="A5741" s="114"/>
      <c r="B5741" s="388" t="s">
        <v>1112</v>
      </c>
      <c r="C5741" s="389">
        <v>0.55000000000000004</v>
      </c>
      <c r="D5741" s="390" t="s">
        <v>10</v>
      </c>
      <c r="E5741" s="196"/>
      <c r="F5741" s="405"/>
      <c r="G5741" s="406" t="e">
        <f>TEXT(C5745,"tg 0°=")</f>
        <v>#VALUE!</v>
      </c>
      <c r="H5741" s="408">
        <f>TAN(3.14159265359*C5745/180)</f>
        <v>1.732050807569153</v>
      </c>
      <c r="I5741" s="405" t="s">
        <v>1143</v>
      </c>
      <c r="J5741" s="362"/>
      <c r="AX5741" s="117"/>
      <c r="AY5741" s="117"/>
      <c r="AZ5741" s="117"/>
      <c r="BA5741" s="117"/>
      <c r="BB5741" s="117"/>
      <c r="BC5741" s="117"/>
      <c r="BD5741" s="117"/>
    </row>
    <row r="5742" spans="1:56" ht="15">
      <c r="A5742" s="114"/>
      <c r="B5742" s="388" t="s">
        <v>1113</v>
      </c>
      <c r="C5742" s="389">
        <v>1.5</v>
      </c>
      <c r="D5742" s="390" t="s">
        <v>10</v>
      </c>
      <c r="E5742" s="196"/>
      <c r="F5742" s="405"/>
      <c r="G5742" s="406"/>
      <c r="H5742" s="407"/>
      <c r="I5742" s="405"/>
      <c r="J5742" s="114"/>
      <c r="AW5742" s="117"/>
      <c r="AX5742" s="117"/>
      <c r="AY5742" s="117"/>
      <c r="AZ5742" s="117"/>
      <c r="BA5742" s="117"/>
      <c r="BB5742" s="117"/>
      <c r="BC5742" s="117"/>
      <c r="BD5742" s="117"/>
    </row>
    <row r="5743" spans="1:56" ht="15">
      <c r="A5743" s="114"/>
      <c r="B5743" s="388" t="s">
        <v>1117</v>
      </c>
      <c r="C5743" s="391">
        <v>3</v>
      </c>
      <c r="D5743" s="390" t="s">
        <v>1118</v>
      </c>
      <c r="E5743" s="196"/>
      <c r="F5743" s="405"/>
      <c r="G5743" s="406" t="s">
        <v>1142</v>
      </c>
      <c r="H5743" s="409">
        <f>(C5739+2*C5747+((C5741+C5742+0.05)/H5741)*2)*(C5740+2*C5747+((C5741+C5742+0.05)/H5741)*2)</f>
        <v>41.278969044766463</v>
      </c>
      <c r="I5743" s="405"/>
      <c r="J5743" s="114"/>
      <c r="AW5743" s="117"/>
      <c r="AX5743" s="117"/>
      <c r="AY5743" s="117"/>
      <c r="AZ5743" s="117"/>
      <c r="BA5743" s="117"/>
      <c r="BB5743" s="117"/>
      <c r="BC5743" s="117"/>
      <c r="BD5743" s="117"/>
    </row>
    <row r="5744" spans="1:56" ht="15">
      <c r="A5744" s="114"/>
      <c r="B5744" s="196" t="s">
        <v>1148</v>
      </c>
      <c r="C5744" s="393"/>
      <c r="D5744" s="196"/>
      <c r="E5744" s="196"/>
      <c r="F5744" s="405"/>
      <c r="G5744" s="406" t="s">
        <v>1147</v>
      </c>
      <c r="H5744" s="409">
        <f>(C5739+2*C5747)*(C5740+2*C5747)</f>
        <v>16</v>
      </c>
      <c r="I5744" s="405"/>
      <c r="J5744" s="114"/>
      <c r="AW5744" s="117"/>
      <c r="AX5744" s="117"/>
      <c r="AY5744" s="117"/>
      <c r="AZ5744" s="117"/>
      <c r="BA5744" s="117"/>
      <c r="BB5744" s="117"/>
      <c r="BC5744" s="117"/>
      <c r="BD5744" s="117"/>
    </row>
    <row r="5745" spans="1:56" customFormat="1" ht="15">
      <c r="A5745" s="114"/>
      <c r="B5745" s="388" t="s">
        <v>1149</v>
      </c>
      <c r="C5745" s="389">
        <v>60</v>
      </c>
      <c r="D5745" s="390" t="s">
        <v>1150</v>
      </c>
      <c r="E5745" s="196"/>
      <c r="F5745" s="196"/>
      <c r="G5745" s="406"/>
      <c r="H5745" s="407"/>
      <c r="I5745" s="196"/>
      <c r="J5745" s="362"/>
    </row>
    <row r="5746" spans="1:56" ht="15">
      <c r="A5746" s="114"/>
      <c r="B5746" s="362"/>
      <c r="C5746" s="196"/>
      <c r="D5746" s="196"/>
      <c r="E5746" s="196"/>
      <c r="F5746" s="196"/>
      <c r="G5746" s="406"/>
      <c r="H5746" s="407"/>
      <c r="I5746" s="362"/>
      <c r="J5746" s="404"/>
      <c r="AX5746" s="117"/>
      <c r="AY5746" s="117"/>
      <c r="AZ5746" s="117"/>
      <c r="BA5746" s="117"/>
      <c r="BB5746" s="117"/>
      <c r="BC5746" s="117"/>
      <c r="BD5746" s="117"/>
    </row>
    <row r="5747" spans="1:56" ht="15">
      <c r="A5747" s="114"/>
      <c r="B5747" s="388" t="s">
        <v>1114</v>
      </c>
      <c r="C5747" s="389">
        <v>0.5</v>
      </c>
      <c r="D5747" s="390" t="s">
        <v>10</v>
      </c>
      <c r="E5747" s="288" t="s">
        <v>1120</v>
      </c>
      <c r="F5747" s="196"/>
      <c r="G5747" s="406"/>
      <c r="H5747" s="407"/>
      <c r="I5747" s="114"/>
      <c r="J5747" s="405"/>
      <c r="AX5747" s="117"/>
      <c r="AY5747" s="117"/>
      <c r="AZ5747" s="117"/>
      <c r="BA5747" s="117"/>
      <c r="BB5747" s="117"/>
      <c r="BC5747" s="117"/>
      <c r="BD5747" s="117"/>
    </row>
    <row r="5748" spans="1:56" ht="15">
      <c r="A5748" s="114"/>
      <c r="B5748" s="388" t="s">
        <v>1114</v>
      </c>
      <c r="C5748" s="389">
        <v>0.1</v>
      </c>
      <c r="D5748" s="390" t="s">
        <v>10</v>
      </c>
      <c r="E5748" s="288" t="s">
        <v>1121</v>
      </c>
      <c r="F5748" s="196"/>
      <c r="G5748" s="392"/>
      <c r="H5748" s="393"/>
      <c r="I5748" s="196"/>
      <c r="J5748" s="405"/>
      <c r="AX5748" s="117"/>
      <c r="AY5748" s="117"/>
      <c r="AZ5748" s="117"/>
      <c r="BA5748" s="117"/>
      <c r="BB5748" s="117"/>
      <c r="BC5748" s="117"/>
      <c r="BD5748" s="117"/>
    </row>
    <row r="5749" spans="1:56" ht="15">
      <c r="A5749" s="114"/>
      <c r="B5749" s="362"/>
      <c r="C5749" s="362"/>
      <c r="D5749" s="362"/>
      <c r="E5749" s="362"/>
      <c r="F5749" s="362"/>
      <c r="G5749" s="362"/>
      <c r="H5749" s="362"/>
      <c r="I5749" s="196"/>
      <c r="J5749" s="405"/>
      <c r="AX5749" s="117"/>
      <c r="AY5749" s="117"/>
      <c r="AZ5749" s="117"/>
      <c r="BA5749" s="117"/>
      <c r="BB5749" s="117"/>
      <c r="BC5749" s="117"/>
      <c r="BD5749" s="117"/>
    </row>
    <row r="5750" spans="1:56" ht="15">
      <c r="A5750" s="114"/>
      <c r="B5750" s="303" t="s">
        <v>1122</v>
      </c>
      <c r="C5750" s="362"/>
      <c r="D5750" s="362"/>
      <c r="E5750" s="362"/>
      <c r="F5750" s="362"/>
      <c r="G5750" s="196" t="s">
        <v>1131</v>
      </c>
      <c r="H5750" s="114"/>
      <c r="I5750" s="196"/>
      <c r="J5750" s="405"/>
      <c r="AX5750" s="117"/>
      <c r="AY5750" s="117"/>
      <c r="AZ5750" s="117"/>
      <c r="BA5750" s="117"/>
      <c r="BB5750" s="117"/>
      <c r="BC5750" s="117"/>
      <c r="BD5750" s="117"/>
    </row>
    <row r="5751" spans="1:56" ht="18">
      <c r="A5751" s="114"/>
      <c r="B5751" s="398" t="s">
        <v>1123</v>
      </c>
      <c r="C5751" s="172"/>
      <c r="D5751" s="173"/>
      <c r="E5751" s="397">
        <f>C5743*((H5744+H5743)/2)*(C5741+C5742+0.05)</f>
        <v>180.42875249101434</v>
      </c>
      <c r="F5751" s="390" t="s">
        <v>1124</v>
      </c>
      <c r="G5751" s="196"/>
      <c r="H5751" s="196"/>
      <c r="I5751" s="362"/>
      <c r="J5751" s="405"/>
      <c r="AX5751" s="117"/>
      <c r="AY5751" s="117"/>
      <c r="AZ5751" s="117"/>
      <c r="BA5751" s="117"/>
      <c r="BB5751" s="117"/>
      <c r="BC5751" s="117"/>
      <c r="BD5751" s="117"/>
    </row>
    <row r="5752" spans="1:56" ht="18">
      <c r="A5752" s="114"/>
      <c r="B5752" s="398" t="s">
        <v>1125</v>
      </c>
      <c r="C5752" s="172"/>
      <c r="D5752" s="173"/>
      <c r="E5752" s="400">
        <f>E5751-C5743*(C5739*C5740*C5742+C5739*C5740*0.05+C5737*C5738*C5741)</f>
        <v>137.29175249101434</v>
      </c>
      <c r="F5752" s="390" t="s">
        <v>1124</v>
      </c>
      <c r="G5752" s="196"/>
      <c r="H5752" s="196"/>
      <c r="I5752" s="196"/>
      <c r="J5752" s="405"/>
      <c r="AX5752" s="117"/>
      <c r="AY5752" s="117"/>
      <c r="AZ5752" s="117"/>
      <c r="BA5752" s="117"/>
      <c r="BB5752" s="117"/>
      <c r="BC5752" s="117"/>
      <c r="BD5752" s="117"/>
    </row>
    <row r="5753" spans="1:56" ht="15">
      <c r="A5753" s="114"/>
      <c r="B5753" s="398" t="s">
        <v>1126</v>
      </c>
      <c r="C5753" s="172"/>
      <c r="D5753" s="173"/>
      <c r="E5753" s="400">
        <f>((C5739+2*C5748)*(C5740+2*C5748))*C5743</f>
        <v>30.720000000000006</v>
      </c>
      <c r="F5753" s="390" t="s">
        <v>13</v>
      </c>
      <c r="G5753" s="362"/>
      <c r="H5753" s="362"/>
      <c r="I5753" s="362"/>
      <c r="J5753" s="405"/>
      <c r="AX5753" s="117"/>
      <c r="AY5753" s="117"/>
      <c r="AZ5753" s="117"/>
      <c r="BA5753" s="117"/>
      <c r="BB5753" s="117"/>
      <c r="BC5753" s="117"/>
      <c r="BD5753" s="117"/>
    </row>
    <row r="5754" spans="1:56" ht="15">
      <c r="A5754" s="114"/>
      <c r="B5754" s="362"/>
      <c r="C5754" s="362"/>
      <c r="D5754" s="362"/>
      <c r="E5754" s="401"/>
      <c r="F5754" s="196"/>
      <c r="G5754" s="362"/>
      <c r="H5754" s="362"/>
      <c r="I5754" s="362"/>
      <c r="J5754" s="405"/>
      <c r="AX5754" s="117"/>
      <c r="AY5754" s="117"/>
      <c r="AZ5754" s="117"/>
      <c r="BA5754" s="117"/>
      <c r="BB5754" s="117"/>
      <c r="BC5754" s="117"/>
      <c r="BD5754" s="117"/>
    </row>
    <row r="5755" spans="1:56" ht="15">
      <c r="A5755" s="114"/>
      <c r="B5755" s="303" t="s">
        <v>1162</v>
      </c>
      <c r="C5755" s="362"/>
      <c r="D5755" s="362"/>
      <c r="E5755" s="410"/>
      <c r="F5755" s="362"/>
      <c r="G5755" s="362"/>
      <c r="H5755" s="362"/>
      <c r="I5755" s="362"/>
      <c r="J5755" s="196"/>
      <c r="AX5755" s="117"/>
      <c r="AY5755" s="117"/>
      <c r="AZ5755" s="117"/>
      <c r="BA5755" s="117"/>
      <c r="BB5755" s="117"/>
      <c r="BC5755" s="117"/>
      <c r="BD5755" s="117"/>
    </row>
    <row r="5756" spans="1:56" ht="15">
      <c r="A5756" s="114"/>
      <c r="B5756" s="398" t="s">
        <v>1152</v>
      </c>
      <c r="C5756" s="398"/>
      <c r="D5756" s="366"/>
      <c r="E5756" s="411">
        <v>4</v>
      </c>
      <c r="F5756" s="390" t="s">
        <v>1153</v>
      </c>
      <c r="G5756" s="362"/>
      <c r="H5756" s="362"/>
      <c r="I5756" s="362"/>
      <c r="J5756" s="196"/>
      <c r="AX5756" s="117"/>
      <c r="AY5756" s="117"/>
      <c r="AZ5756" s="117"/>
      <c r="BA5756" s="117"/>
      <c r="BB5756" s="117"/>
      <c r="BC5756" s="117"/>
      <c r="BD5756" s="117"/>
    </row>
    <row r="5757" spans="1:56" ht="15">
      <c r="A5757" s="114"/>
      <c r="B5757" s="399" t="s">
        <v>1154</v>
      </c>
      <c r="C5757" s="31"/>
      <c r="D5757" s="32"/>
      <c r="E5757" s="412">
        <f>C5743*E5756</f>
        <v>12</v>
      </c>
      <c r="F5757" s="390" t="s">
        <v>1153</v>
      </c>
      <c r="G5757" s="362"/>
      <c r="H5757" s="362"/>
      <c r="I5757" s="362"/>
      <c r="J5757" s="196"/>
      <c r="AX5757" s="117"/>
      <c r="AY5757" s="117"/>
      <c r="AZ5757" s="117"/>
      <c r="BA5757" s="117"/>
      <c r="BB5757" s="117"/>
      <c r="BC5757" s="117"/>
      <c r="BD5757" s="117"/>
    </row>
    <row r="5758" spans="1:56" ht="15">
      <c r="A5758" s="114"/>
      <c r="B5758" s="398" t="s">
        <v>1155</v>
      </c>
      <c r="C5758" s="21"/>
      <c r="D5758" s="413"/>
      <c r="E5758" s="411">
        <v>600</v>
      </c>
      <c r="F5758" s="390" t="s">
        <v>1156</v>
      </c>
      <c r="G5758" s="362"/>
      <c r="H5758" s="414"/>
      <c r="I5758" s="362"/>
      <c r="J5758" s="196"/>
      <c r="AX5758" s="117"/>
      <c r="AY5758" s="117"/>
      <c r="AZ5758" s="117"/>
      <c r="BA5758" s="117"/>
      <c r="BB5758" s="117"/>
      <c r="BC5758" s="117"/>
      <c r="BD5758" s="117"/>
    </row>
    <row r="5759" spans="1:56" ht="15">
      <c r="A5759" s="114"/>
      <c r="B5759" s="398" t="s">
        <v>1157</v>
      </c>
      <c r="C5759" s="21"/>
      <c r="D5759" s="413"/>
      <c r="E5759" s="418">
        <v>31</v>
      </c>
      <c r="F5759" s="390" t="s">
        <v>10</v>
      </c>
      <c r="G5759" s="362"/>
      <c r="H5759" s="6"/>
      <c r="I5759" s="362"/>
      <c r="J5759" s="196"/>
      <c r="AX5759" s="117"/>
      <c r="AY5759" s="117"/>
      <c r="AZ5759" s="117"/>
      <c r="BA5759" s="117"/>
      <c r="BB5759" s="117"/>
      <c r="BC5759" s="117"/>
      <c r="BD5759" s="117"/>
    </row>
    <row r="5760" spans="1:56" ht="15">
      <c r="A5760" s="114"/>
      <c r="B5760" s="398" t="s">
        <v>1158</v>
      </c>
      <c r="C5760" s="21"/>
      <c r="D5760" s="413"/>
      <c r="E5760" s="412">
        <f>E5757*E5759</f>
        <v>372</v>
      </c>
      <c r="F5760" s="390" t="s">
        <v>10</v>
      </c>
      <c r="G5760" s="362"/>
      <c r="H5760" s="362"/>
      <c r="I5760" s="362"/>
      <c r="J5760" s="196"/>
      <c r="AX5760" s="117"/>
      <c r="AY5760" s="117"/>
      <c r="AZ5760" s="117"/>
      <c r="BA5760" s="117"/>
      <c r="BB5760" s="117"/>
      <c r="BC5760" s="117"/>
      <c r="BD5760" s="117"/>
    </row>
    <row r="5761" spans="1:56" ht="15">
      <c r="A5761" s="114"/>
      <c r="B5761" s="362"/>
      <c r="C5761" s="362"/>
      <c r="D5761" s="362"/>
      <c r="E5761" s="410"/>
      <c r="F5761" s="362"/>
      <c r="G5761" s="362"/>
      <c r="H5761" s="362"/>
      <c r="I5761" s="362"/>
      <c r="J5761" s="362"/>
      <c r="AX5761" s="117"/>
      <c r="AY5761" s="117"/>
      <c r="AZ5761" s="117"/>
      <c r="BA5761" s="117"/>
      <c r="BB5761" s="117"/>
      <c r="BC5761" s="117"/>
      <c r="BD5761" s="117"/>
    </row>
    <row r="5762" spans="1:56" ht="15">
      <c r="A5762" s="114"/>
      <c r="B5762" s="303" t="s">
        <v>1160</v>
      </c>
      <c r="C5762" s="362"/>
      <c r="D5762" s="362"/>
      <c r="E5762" s="410"/>
      <c r="F5762" s="362"/>
      <c r="G5762" s="362"/>
      <c r="H5762" s="362"/>
      <c r="I5762" s="362"/>
      <c r="J5762" s="196"/>
      <c r="AX5762" s="117"/>
      <c r="AY5762" s="117"/>
      <c r="AZ5762" s="117"/>
      <c r="BA5762" s="117"/>
      <c r="BB5762" s="117"/>
      <c r="BC5762" s="117"/>
      <c r="BD5762" s="117"/>
    </row>
    <row r="5763" spans="1:56" ht="18">
      <c r="A5763" s="114"/>
      <c r="B5763" s="398" t="s">
        <v>1128</v>
      </c>
      <c r="C5763" s="172"/>
      <c r="D5763" s="173"/>
      <c r="E5763" s="402">
        <f>E5753*0.05</f>
        <v>1.5360000000000005</v>
      </c>
      <c r="F5763" s="390" t="s">
        <v>1124</v>
      </c>
      <c r="G5763" s="362"/>
      <c r="H5763" s="362"/>
      <c r="I5763" s="362"/>
      <c r="J5763" s="362"/>
      <c r="AX5763" s="117"/>
      <c r="AY5763" s="117"/>
      <c r="AZ5763" s="117"/>
      <c r="BA5763" s="117"/>
      <c r="BB5763" s="117"/>
      <c r="BC5763" s="117"/>
      <c r="BD5763" s="117"/>
    </row>
    <row r="5764" spans="1:56" ht="15">
      <c r="A5764" s="114"/>
      <c r="B5764" s="398" t="s">
        <v>1129</v>
      </c>
      <c r="C5764" s="172"/>
      <c r="D5764" s="173"/>
      <c r="E5764" s="397">
        <f>(2*(C5739+C5740)*C5742)*C5743</f>
        <v>54</v>
      </c>
      <c r="F5764" s="390" t="s">
        <v>13</v>
      </c>
      <c r="G5764" s="362"/>
      <c r="H5764" s="362"/>
      <c r="I5764" s="362"/>
      <c r="J5764" s="362"/>
      <c r="AX5764" s="117"/>
      <c r="AY5764" s="117"/>
      <c r="AZ5764" s="117"/>
      <c r="BA5764" s="117"/>
      <c r="BB5764" s="117"/>
      <c r="BC5764" s="117"/>
      <c r="BD5764" s="117"/>
    </row>
    <row r="5765" spans="1:56" ht="18">
      <c r="A5765" s="114"/>
      <c r="B5765" s="398" t="s">
        <v>1130</v>
      </c>
      <c r="C5765" s="172"/>
      <c r="D5765" s="173"/>
      <c r="E5765" s="402">
        <f>(C5739*C5740*C5742)*C5743</f>
        <v>40.5</v>
      </c>
      <c r="F5765" s="390" t="s">
        <v>1124</v>
      </c>
      <c r="G5765" s="362"/>
      <c r="H5765" s="362"/>
      <c r="I5765" s="362"/>
      <c r="J5765" s="362"/>
      <c r="AX5765" s="117"/>
      <c r="AY5765" s="117"/>
      <c r="AZ5765" s="117"/>
      <c r="BA5765" s="117"/>
      <c r="BB5765" s="117"/>
      <c r="BC5765" s="117"/>
      <c r="BD5765" s="117"/>
    </row>
    <row r="5766" spans="1:56">
      <c r="A5766" s="114"/>
      <c r="B5766" s="115"/>
      <c r="C5766" s="115"/>
      <c r="D5766" s="115"/>
      <c r="E5766" s="115"/>
      <c r="F5766" s="115"/>
      <c r="G5766" s="115"/>
      <c r="H5766" s="115"/>
      <c r="I5766" s="115"/>
      <c r="J5766" s="362"/>
      <c r="AX5766" s="117"/>
      <c r="AY5766" s="117"/>
      <c r="AZ5766" s="117"/>
      <c r="BA5766" s="117"/>
      <c r="BB5766" s="117"/>
      <c r="BC5766" s="117"/>
      <c r="BD5766" s="117"/>
    </row>
    <row r="5767" spans="1:56">
      <c r="A5767"/>
      <c r="B5767" s="385" t="s">
        <v>1736</v>
      </c>
      <c r="C5767" s="686"/>
      <c r="D5767" s="686"/>
      <c r="E5767" s="686"/>
      <c r="F5767" s="686"/>
      <c r="G5767" s="115"/>
      <c r="H5767" s="115"/>
      <c r="I5767" s="686"/>
      <c r="J5767" s="686"/>
      <c r="AX5767" s="117"/>
      <c r="AY5767" s="117"/>
      <c r="AZ5767" s="117"/>
      <c r="BA5767" s="117"/>
      <c r="BB5767" s="117"/>
      <c r="BC5767" s="117"/>
      <c r="BD5767" s="117"/>
    </row>
    <row r="5768" spans="1:56" ht="15">
      <c r="A5768" s="114"/>
      <c r="B5768" s="686"/>
      <c r="C5768" s="686"/>
      <c r="D5768" s="686"/>
      <c r="E5768" s="686"/>
      <c r="F5768" s="404"/>
      <c r="G5768" s="196"/>
      <c r="H5768" s="196"/>
      <c r="I5768" s="404"/>
      <c r="J5768" s="686"/>
      <c r="AX5768" s="117"/>
      <c r="AY5768" s="117"/>
      <c r="AZ5768" s="117"/>
      <c r="BA5768" s="117"/>
      <c r="BB5768" s="117"/>
      <c r="BC5768" s="117"/>
      <c r="BD5768" s="117"/>
    </row>
    <row r="5769" spans="1:56" ht="18">
      <c r="A5769" s="114"/>
      <c r="B5769" s="388" t="s">
        <v>1141</v>
      </c>
      <c r="C5769" s="389">
        <v>0.87</v>
      </c>
      <c r="D5769" s="390" t="s">
        <v>10</v>
      </c>
      <c r="E5769" s="196"/>
      <c r="F5769" s="405"/>
      <c r="G5769" s="196"/>
      <c r="H5769" s="196"/>
      <c r="I5769" s="405" t="s">
        <v>1143</v>
      </c>
      <c r="J5769" s="686"/>
      <c r="AX5769" s="117"/>
      <c r="AY5769" s="117"/>
      <c r="AZ5769" s="117"/>
      <c r="BA5769" s="117"/>
      <c r="BB5769" s="117"/>
      <c r="BC5769" s="117"/>
      <c r="BD5769" s="117"/>
    </row>
    <row r="5770" spans="1:56" ht="15">
      <c r="A5770" s="114"/>
      <c r="B5770" s="388" t="s">
        <v>1144</v>
      </c>
      <c r="C5770" s="389">
        <v>1.1599999999999999</v>
      </c>
      <c r="D5770" s="390" t="s">
        <v>10</v>
      </c>
      <c r="E5770" s="196"/>
      <c r="F5770" s="405"/>
      <c r="G5770" s="686"/>
      <c r="H5770" s="686"/>
      <c r="I5770" s="405"/>
      <c r="J5770" s="686"/>
      <c r="AX5770" s="117"/>
      <c r="AY5770" s="117"/>
      <c r="AZ5770" s="117"/>
      <c r="BA5770" s="117"/>
      <c r="BB5770" s="117"/>
      <c r="BC5770" s="117"/>
      <c r="BD5770" s="117"/>
    </row>
    <row r="5771" spans="1:56" ht="15">
      <c r="A5771" s="114"/>
      <c r="B5771" s="388" t="s">
        <v>1145</v>
      </c>
      <c r="C5771" s="389">
        <v>3</v>
      </c>
      <c r="D5771" s="390" t="s">
        <v>10</v>
      </c>
      <c r="E5771" s="196"/>
      <c r="F5771" s="405"/>
      <c r="G5771" s="404"/>
      <c r="H5771" s="404"/>
      <c r="I5771" s="405"/>
      <c r="J5771" s="686"/>
      <c r="AX5771" s="117"/>
      <c r="AY5771" s="117"/>
      <c r="AZ5771" s="117"/>
      <c r="BA5771" s="117"/>
      <c r="BB5771" s="117"/>
      <c r="BC5771" s="117"/>
      <c r="BD5771" s="117"/>
    </row>
    <row r="5772" spans="1:56" ht="18">
      <c r="A5772" s="114"/>
      <c r="B5772" s="388" t="s">
        <v>1146</v>
      </c>
      <c r="C5772" s="389">
        <v>3</v>
      </c>
      <c r="D5772" s="390" t="s">
        <v>10</v>
      </c>
      <c r="E5772" s="196"/>
      <c r="F5772" s="405"/>
      <c r="G5772" s="406" t="s">
        <v>1142</v>
      </c>
      <c r="H5772" s="407">
        <f>C5769*C5770</f>
        <v>1.0091999999999999</v>
      </c>
      <c r="I5772" s="405" t="s">
        <v>1143</v>
      </c>
      <c r="J5772" s="686"/>
      <c r="AX5772" s="117"/>
      <c r="AY5772" s="117"/>
      <c r="AZ5772" s="117"/>
      <c r="BA5772" s="117"/>
      <c r="BB5772" s="117"/>
      <c r="BC5772" s="117"/>
      <c r="BD5772" s="117"/>
    </row>
    <row r="5773" spans="1:56" ht="18">
      <c r="A5773" s="114"/>
      <c r="B5773" s="388" t="s">
        <v>1112</v>
      </c>
      <c r="C5773" s="389">
        <v>0.55000000000000004</v>
      </c>
      <c r="D5773" s="390" t="s">
        <v>10</v>
      </c>
      <c r="E5773" s="196"/>
      <c r="F5773" s="405"/>
      <c r="G5773" s="406" t="e">
        <f>TEXT(C5777,"tg 0°=")</f>
        <v>#VALUE!</v>
      </c>
      <c r="H5773" s="408">
        <f>TAN(3.14159265359*C5777/180)</f>
        <v>1.732050807569153</v>
      </c>
      <c r="I5773" s="405" t="s">
        <v>1143</v>
      </c>
      <c r="J5773" s="686"/>
      <c r="AX5773" s="117"/>
      <c r="AY5773" s="117"/>
      <c r="AZ5773" s="117"/>
      <c r="BA5773" s="117"/>
      <c r="BB5773" s="117"/>
      <c r="BC5773" s="117"/>
      <c r="BD5773" s="117"/>
    </row>
    <row r="5774" spans="1:56" ht="15">
      <c r="A5774" s="114"/>
      <c r="B5774" s="388" t="s">
        <v>1113</v>
      </c>
      <c r="C5774" s="389">
        <v>1.5</v>
      </c>
      <c r="D5774" s="390" t="s">
        <v>10</v>
      </c>
      <c r="E5774" s="196"/>
      <c r="F5774" s="405"/>
      <c r="G5774" s="406"/>
      <c r="H5774" s="407"/>
      <c r="I5774" s="405"/>
      <c r="J5774" s="114"/>
      <c r="AW5774" s="117"/>
      <c r="AX5774" s="117"/>
      <c r="AY5774" s="117"/>
      <c r="AZ5774" s="117"/>
      <c r="BA5774" s="117"/>
      <c r="BB5774" s="117"/>
      <c r="BC5774" s="117"/>
      <c r="BD5774" s="117"/>
    </row>
    <row r="5775" spans="1:56" ht="15">
      <c r="A5775" s="114"/>
      <c r="B5775" s="388" t="s">
        <v>1117</v>
      </c>
      <c r="C5775" s="391">
        <v>1</v>
      </c>
      <c r="D5775" s="390" t="s">
        <v>1118</v>
      </c>
      <c r="E5775" s="196"/>
      <c r="F5775" s="405"/>
      <c r="G5775" s="406" t="s">
        <v>1142</v>
      </c>
      <c r="H5775" s="409">
        <f>(C5771+2*C5779+((C5773+C5774+0.05)/H5773)*2)*(C5772+2*C5779+((C5773+C5774+0.05)/H5773)*2)</f>
        <v>41.278969044766463</v>
      </c>
      <c r="I5775" s="405"/>
      <c r="J5775" s="114"/>
      <c r="AW5775" s="117"/>
      <c r="AX5775" s="117"/>
      <c r="AY5775" s="117"/>
      <c r="AZ5775" s="117"/>
      <c r="BA5775" s="117"/>
      <c r="BB5775" s="117"/>
      <c r="BC5775" s="117"/>
      <c r="BD5775" s="117"/>
    </row>
    <row r="5776" spans="1:56" ht="15">
      <c r="A5776" s="114"/>
      <c r="B5776" s="196" t="s">
        <v>1148</v>
      </c>
      <c r="C5776" s="393"/>
      <c r="D5776" s="196"/>
      <c r="E5776" s="196"/>
      <c r="F5776" s="405"/>
      <c r="G5776" s="406" t="s">
        <v>1147</v>
      </c>
      <c r="H5776" s="409">
        <f>(C5771+2*C5779)*(C5772+2*C5779)</f>
        <v>16</v>
      </c>
      <c r="I5776" s="405"/>
      <c r="J5776" s="114"/>
      <c r="AW5776" s="117"/>
      <c r="AX5776" s="117"/>
      <c r="AY5776" s="117"/>
      <c r="AZ5776" s="117"/>
      <c r="BA5776" s="117"/>
      <c r="BB5776" s="117"/>
      <c r="BC5776" s="117"/>
      <c r="BD5776" s="117"/>
    </row>
    <row r="5777" spans="1:56" customFormat="1" ht="15">
      <c r="A5777" s="114"/>
      <c r="B5777" s="388" t="s">
        <v>1149</v>
      </c>
      <c r="C5777" s="389">
        <v>60</v>
      </c>
      <c r="D5777" s="390" t="s">
        <v>1150</v>
      </c>
      <c r="E5777" s="196"/>
      <c r="F5777" s="196"/>
      <c r="G5777" s="406"/>
      <c r="H5777" s="407"/>
      <c r="I5777" s="196"/>
      <c r="J5777" s="686"/>
    </row>
    <row r="5778" spans="1:56" ht="15">
      <c r="A5778" s="114"/>
      <c r="B5778" s="686"/>
      <c r="C5778" s="196"/>
      <c r="D5778" s="196"/>
      <c r="E5778" s="196"/>
      <c r="F5778" s="196"/>
      <c r="G5778" s="406"/>
      <c r="H5778" s="407"/>
      <c r="I5778" s="686"/>
      <c r="J5778" s="404"/>
      <c r="AX5778" s="117"/>
      <c r="AY5778" s="117"/>
      <c r="AZ5778" s="117"/>
      <c r="BA5778" s="117"/>
      <c r="BB5778" s="117"/>
      <c r="BC5778" s="117"/>
      <c r="BD5778" s="117"/>
    </row>
    <row r="5779" spans="1:56" ht="15">
      <c r="A5779" s="114"/>
      <c r="B5779" s="388" t="s">
        <v>1114</v>
      </c>
      <c r="C5779" s="389">
        <v>0.5</v>
      </c>
      <c r="D5779" s="390" t="s">
        <v>10</v>
      </c>
      <c r="E5779" s="288" t="s">
        <v>1120</v>
      </c>
      <c r="F5779" s="196"/>
      <c r="G5779" s="406"/>
      <c r="H5779" s="407"/>
      <c r="I5779" s="114"/>
      <c r="J5779" s="405"/>
      <c r="AX5779" s="117"/>
      <c r="AY5779" s="117"/>
      <c r="AZ5779" s="117"/>
      <c r="BA5779" s="117"/>
      <c r="BB5779" s="117"/>
      <c r="BC5779" s="117"/>
      <c r="BD5779" s="117"/>
    </row>
    <row r="5780" spans="1:56" ht="15">
      <c r="A5780" s="114"/>
      <c r="B5780" s="388" t="s">
        <v>1114</v>
      </c>
      <c r="C5780" s="389">
        <v>0.1</v>
      </c>
      <c r="D5780" s="390" t="s">
        <v>10</v>
      </c>
      <c r="E5780" s="288" t="s">
        <v>1121</v>
      </c>
      <c r="F5780" s="196"/>
      <c r="G5780" s="392"/>
      <c r="H5780" s="393"/>
      <c r="I5780" s="196"/>
      <c r="J5780" s="405"/>
      <c r="AX5780" s="117"/>
      <c r="AY5780" s="117"/>
      <c r="AZ5780" s="117"/>
      <c r="BA5780" s="117"/>
      <c r="BB5780" s="117"/>
      <c r="BC5780" s="117"/>
      <c r="BD5780" s="117"/>
    </row>
    <row r="5781" spans="1:56" ht="15">
      <c r="A5781" s="114"/>
      <c r="B5781" s="686"/>
      <c r="C5781" s="686"/>
      <c r="D5781" s="686"/>
      <c r="E5781" s="686"/>
      <c r="F5781" s="686"/>
      <c r="G5781" s="686"/>
      <c r="H5781" s="686"/>
      <c r="I5781" s="196"/>
      <c r="J5781" s="405"/>
      <c r="AX5781" s="117"/>
      <c r="AY5781" s="117"/>
      <c r="AZ5781" s="117"/>
      <c r="BA5781" s="117"/>
      <c r="BB5781" s="117"/>
      <c r="BC5781" s="117"/>
      <c r="BD5781" s="117"/>
    </row>
    <row r="5782" spans="1:56" ht="15">
      <c r="A5782" s="114"/>
      <c r="B5782" s="303" t="s">
        <v>1122</v>
      </c>
      <c r="C5782" s="686"/>
      <c r="D5782" s="686"/>
      <c r="E5782" s="686"/>
      <c r="F5782" s="686"/>
      <c r="G5782" s="196" t="s">
        <v>1131</v>
      </c>
      <c r="H5782" s="114"/>
      <c r="I5782" s="196"/>
      <c r="J5782" s="405"/>
      <c r="AX5782" s="117"/>
      <c r="AY5782" s="117"/>
      <c r="AZ5782" s="117"/>
      <c r="BA5782" s="117"/>
      <c r="BB5782" s="117"/>
      <c r="BC5782" s="117"/>
      <c r="BD5782" s="117"/>
    </row>
    <row r="5783" spans="1:56" ht="18">
      <c r="A5783" s="114"/>
      <c r="B5783" s="398" t="s">
        <v>1123</v>
      </c>
      <c r="C5783" s="172"/>
      <c r="D5783" s="173"/>
      <c r="E5783" s="397">
        <f>C5775*((H5776+H5775)/2)*(C5773+C5774+0.05)</f>
        <v>60.142917497004774</v>
      </c>
      <c r="F5783" s="390" t="s">
        <v>1124</v>
      </c>
      <c r="G5783" s="196"/>
      <c r="H5783" s="196"/>
      <c r="I5783" s="686"/>
      <c r="J5783" s="405"/>
      <c r="AX5783" s="117"/>
      <c r="AY5783" s="117"/>
      <c r="AZ5783" s="117"/>
      <c r="BA5783" s="117"/>
      <c r="BB5783" s="117"/>
      <c r="BC5783" s="117"/>
      <c r="BD5783" s="117"/>
    </row>
    <row r="5784" spans="1:56" ht="18">
      <c r="A5784" s="114"/>
      <c r="B5784" s="398" t="s">
        <v>1125</v>
      </c>
      <c r="C5784" s="172"/>
      <c r="D5784" s="173"/>
      <c r="E5784" s="400">
        <f>E5783-C5775*(C5771*C5772*C5774+C5771*C5772*0.05+C5769*C5770*C5773)</f>
        <v>45.637857497004774</v>
      </c>
      <c r="F5784" s="390" t="s">
        <v>1124</v>
      </c>
      <c r="G5784" s="196"/>
      <c r="H5784" s="196"/>
      <c r="I5784" s="196"/>
      <c r="J5784" s="405"/>
      <c r="AX5784" s="117"/>
      <c r="AY5784" s="117"/>
      <c r="AZ5784" s="117"/>
      <c r="BA5784" s="117"/>
      <c r="BB5784" s="117"/>
      <c r="BC5784" s="117"/>
      <c r="BD5784" s="117"/>
    </row>
    <row r="5785" spans="1:56" ht="15">
      <c r="A5785" s="114"/>
      <c r="B5785" s="398" t="s">
        <v>1126</v>
      </c>
      <c r="C5785" s="172"/>
      <c r="D5785" s="173"/>
      <c r="E5785" s="400">
        <f>((C5771+2*C5780)*(C5772+2*C5780))*C5775</f>
        <v>10.240000000000002</v>
      </c>
      <c r="F5785" s="390" t="s">
        <v>13</v>
      </c>
      <c r="G5785" s="686"/>
      <c r="H5785" s="686"/>
      <c r="I5785" s="686"/>
      <c r="J5785" s="405"/>
      <c r="AX5785" s="117"/>
      <c r="AY5785" s="117"/>
      <c r="AZ5785" s="117"/>
      <c r="BA5785" s="117"/>
      <c r="BB5785" s="117"/>
      <c r="BC5785" s="117"/>
      <c r="BD5785" s="117"/>
    </row>
    <row r="5786" spans="1:56" ht="15">
      <c r="A5786" s="114"/>
      <c r="B5786" s="686"/>
      <c r="C5786" s="686"/>
      <c r="D5786" s="686"/>
      <c r="E5786" s="401"/>
      <c r="F5786" s="196"/>
      <c r="G5786" s="686"/>
      <c r="H5786" s="686"/>
      <c r="I5786" s="686"/>
      <c r="J5786" s="405"/>
      <c r="AX5786" s="117"/>
      <c r="AY5786" s="117"/>
      <c r="AZ5786" s="117"/>
      <c r="BA5786" s="117"/>
      <c r="BB5786" s="117"/>
      <c r="BC5786" s="117"/>
      <c r="BD5786" s="117"/>
    </row>
    <row r="5787" spans="1:56" ht="15">
      <c r="A5787" s="114"/>
      <c r="B5787" s="303" t="s">
        <v>1162</v>
      </c>
      <c r="C5787" s="686"/>
      <c r="D5787" s="686"/>
      <c r="E5787" s="410"/>
      <c r="F5787" s="686"/>
      <c r="G5787" s="686"/>
      <c r="H5787" s="686"/>
      <c r="I5787" s="686"/>
      <c r="J5787" s="196"/>
      <c r="AX5787" s="117"/>
      <c r="AY5787" s="117"/>
      <c r="AZ5787" s="117"/>
      <c r="BA5787" s="117"/>
      <c r="BB5787" s="117"/>
      <c r="BC5787" s="117"/>
      <c r="BD5787" s="117"/>
    </row>
    <row r="5788" spans="1:56" ht="15">
      <c r="A5788" s="114"/>
      <c r="B5788" s="398" t="s">
        <v>1152</v>
      </c>
      <c r="C5788" s="398"/>
      <c r="D5788" s="687"/>
      <c r="E5788" s="411">
        <v>4</v>
      </c>
      <c r="F5788" s="390" t="s">
        <v>1153</v>
      </c>
      <c r="G5788" s="686"/>
      <c r="H5788" s="686"/>
      <c r="I5788" s="686"/>
      <c r="J5788" s="196"/>
      <c r="AX5788" s="117"/>
      <c r="AY5788" s="117"/>
      <c r="AZ5788" s="117"/>
      <c r="BA5788" s="117"/>
      <c r="BB5788" s="117"/>
      <c r="BC5788" s="117"/>
      <c r="BD5788" s="117"/>
    </row>
    <row r="5789" spans="1:56" ht="15">
      <c r="A5789" s="114"/>
      <c r="B5789" s="399" t="s">
        <v>1154</v>
      </c>
      <c r="C5789" s="31"/>
      <c r="D5789" s="32"/>
      <c r="E5789" s="412">
        <f>C5775*E5788</f>
        <v>4</v>
      </c>
      <c r="F5789" s="390" t="s">
        <v>1153</v>
      </c>
      <c r="G5789" s="686"/>
      <c r="H5789" s="686"/>
      <c r="I5789" s="686"/>
      <c r="J5789" s="196"/>
      <c r="AX5789" s="117"/>
      <c r="AY5789" s="117"/>
      <c r="AZ5789" s="117"/>
      <c r="BA5789" s="117"/>
      <c r="BB5789" s="117"/>
      <c r="BC5789" s="117"/>
      <c r="BD5789" s="117"/>
    </row>
    <row r="5790" spans="1:56" ht="15">
      <c r="A5790" s="114"/>
      <c r="B5790" s="398" t="s">
        <v>1155</v>
      </c>
      <c r="C5790" s="21"/>
      <c r="D5790" s="413"/>
      <c r="E5790" s="411">
        <v>400</v>
      </c>
      <c r="F5790" s="390" t="s">
        <v>1156</v>
      </c>
      <c r="G5790" s="686"/>
      <c r="H5790" s="414"/>
      <c r="I5790" s="686"/>
      <c r="J5790" s="196"/>
      <c r="AX5790" s="117"/>
      <c r="AY5790" s="117"/>
      <c r="AZ5790" s="117"/>
      <c r="BA5790" s="117"/>
      <c r="BB5790" s="117"/>
      <c r="BC5790" s="117"/>
      <c r="BD5790" s="117"/>
    </row>
    <row r="5791" spans="1:56" ht="15">
      <c r="A5791" s="114"/>
      <c r="B5791" s="398" t="s">
        <v>1157</v>
      </c>
      <c r="C5791" s="21"/>
      <c r="D5791" s="413"/>
      <c r="E5791" s="418">
        <v>29</v>
      </c>
      <c r="F5791" s="390" t="s">
        <v>10</v>
      </c>
      <c r="G5791" s="686"/>
      <c r="H5791" s="6"/>
      <c r="I5791" s="686"/>
      <c r="J5791" s="196"/>
      <c r="AX5791" s="117"/>
      <c r="AY5791" s="117"/>
      <c r="AZ5791" s="117"/>
      <c r="BA5791" s="117"/>
      <c r="BB5791" s="117"/>
      <c r="BC5791" s="117"/>
      <c r="BD5791" s="117"/>
    </row>
    <row r="5792" spans="1:56" ht="15">
      <c r="A5792" s="114"/>
      <c r="B5792" s="398" t="s">
        <v>1158</v>
      </c>
      <c r="C5792" s="21"/>
      <c r="D5792" s="413"/>
      <c r="E5792" s="412">
        <f>E5789*E5791</f>
        <v>116</v>
      </c>
      <c r="F5792" s="390" t="s">
        <v>10</v>
      </c>
      <c r="G5792" s="686"/>
      <c r="H5792" s="686"/>
      <c r="I5792" s="686"/>
      <c r="J5792" s="196"/>
      <c r="AX5792" s="117"/>
      <c r="AY5792" s="117"/>
      <c r="AZ5792" s="117"/>
      <c r="BA5792" s="117"/>
      <c r="BB5792" s="117"/>
      <c r="BC5792" s="117"/>
      <c r="BD5792" s="117"/>
    </row>
    <row r="5793" spans="1:56" ht="15">
      <c r="A5793" s="114"/>
      <c r="B5793" s="686"/>
      <c r="C5793" s="686"/>
      <c r="D5793" s="686"/>
      <c r="E5793" s="410"/>
      <c r="F5793" s="686"/>
      <c r="G5793" s="686"/>
      <c r="H5793" s="686"/>
      <c r="I5793" s="686"/>
      <c r="J5793" s="686"/>
      <c r="AX5793" s="117"/>
      <c r="AY5793" s="117"/>
      <c r="AZ5793" s="117"/>
      <c r="BA5793" s="117"/>
      <c r="BB5793" s="117"/>
      <c r="BC5793" s="117"/>
      <c r="BD5793" s="117"/>
    </row>
    <row r="5794" spans="1:56" ht="15">
      <c r="A5794" s="114"/>
      <c r="B5794" s="303" t="s">
        <v>1160</v>
      </c>
      <c r="C5794" s="686"/>
      <c r="D5794" s="686"/>
      <c r="E5794" s="410"/>
      <c r="F5794" s="686"/>
      <c r="G5794" s="686"/>
      <c r="H5794" s="686"/>
      <c r="I5794" s="686"/>
      <c r="J5794" s="196"/>
      <c r="AX5794" s="117"/>
      <c r="AY5794" s="117"/>
      <c r="AZ5794" s="117"/>
      <c r="BA5794" s="117"/>
      <c r="BB5794" s="117"/>
      <c r="BC5794" s="117"/>
      <c r="BD5794" s="117"/>
    </row>
    <row r="5795" spans="1:56" ht="18">
      <c r="A5795" s="114"/>
      <c r="B5795" s="398" t="s">
        <v>1128</v>
      </c>
      <c r="C5795" s="172"/>
      <c r="D5795" s="173"/>
      <c r="E5795" s="402">
        <f>E5785*0.05</f>
        <v>0.51200000000000012</v>
      </c>
      <c r="F5795" s="390" t="s">
        <v>1124</v>
      </c>
      <c r="G5795" s="686"/>
      <c r="H5795" s="686"/>
      <c r="I5795" s="686"/>
      <c r="J5795" s="686"/>
      <c r="AX5795" s="117"/>
      <c r="AY5795" s="117"/>
      <c r="AZ5795" s="117"/>
      <c r="BA5795" s="117"/>
      <c r="BB5795" s="117"/>
      <c r="BC5795" s="117"/>
      <c r="BD5795" s="117"/>
    </row>
    <row r="5796" spans="1:56" ht="15">
      <c r="A5796" s="114"/>
      <c r="B5796" s="398" t="s">
        <v>1129</v>
      </c>
      <c r="C5796" s="172"/>
      <c r="D5796" s="173"/>
      <c r="E5796" s="397">
        <f>(2*(C5771+C5772)*C5774)*C5775</f>
        <v>18</v>
      </c>
      <c r="F5796" s="390" t="s">
        <v>13</v>
      </c>
      <c r="G5796" s="686"/>
      <c r="H5796" s="686"/>
      <c r="I5796" s="686"/>
      <c r="J5796" s="686"/>
      <c r="AX5796" s="117"/>
      <c r="AY5796" s="117"/>
      <c r="AZ5796" s="117"/>
      <c r="BA5796" s="117"/>
      <c r="BB5796" s="117"/>
      <c r="BC5796" s="117"/>
      <c r="BD5796" s="117"/>
    </row>
    <row r="5797" spans="1:56" ht="18">
      <c r="A5797" s="114"/>
      <c r="B5797" s="398" t="s">
        <v>1130</v>
      </c>
      <c r="C5797" s="172"/>
      <c r="D5797" s="173"/>
      <c r="E5797" s="402">
        <f>(C5771*C5772*C5774)*C5775</f>
        <v>13.5</v>
      </c>
      <c r="F5797" s="390" t="s">
        <v>1124</v>
      </c>
      <c r="G5797" s="686"/>
      <c r="H5797" s="686"/>
      <c r="I5797" s="686"/>
      <c r="J5797" s="686"/>
      <c r="AX5797" s="117"/>
      <c r="AY5797" s="117"/>
      <c r="AZ5797" s="117"/>
      <c r="BA5797" s="117"/>
      <c r="BB5797" s="117"/>
      <c r="BC5797" s="117"/>
      <c r="BD5797" s="117"/>
    </row>
    <row r="5798" spans="1:56">
      <c r="A5798" s="114"/>
      <c r="B5798" s="115"/>
      <c r="C5798" s="115"/>
      <c r="D5798" s="115"/>
      <c r="E5798" s="115"/>
      <c r="F5798" s="115"/>
      <c r="G5798" s="115"/>
      <c r="H5798" s="115"/>
      <c r="I5798" s="115"/>
      <c r="J5798" s="686"/>
      <c r="AX5798" s="117"/>
      <c r="AY5798" s="117"/>
      <c r="AZ5798" s="117"/>
      <c r="BA5798" s="117"/>
      <c r="BB5798" s="117"/>
      <c r="BC5798" s="117"/>
      <c r="BD5798" s="117"/>
    </row>
    <row r="5799" spans="1:56">
      <c r="A5799" s="114"/>
      <c r="B5799" s="115"/>
      <c r="C5799" s="115"/>
      <c r="D5799" s="115"/>
      <c r="E5799" s="115"/>
      <c r="F5799" s="115"/>
      <c r="G5799" s="115"/>
      <c r="H5799" s="115"/>
      <c r="I5799" s="115"/>
      <c r="J5799" s="362"/>
      <c r="AX5799" s="117"/>
      <c r="AY5799" s="117"/>
      <c r="AZ5799" s="117"/>
      <c r="BA5799" s="117"/>
      <c r="BB5799" s="117"/>
      <c r="BC5799" s="117"/>
      <c r="BD5799" s="117"/>
    </row>
    <row r="5800" spans="1:56">
      <c r="A5800" s="114"/>
      <c r="B5800" s="115"/>
      <c r="C5800" s="115"/>
      <c r="D5800" s="115"/>
      <c r="E5800" s="115"/>
      <c r="F5800" s="115"/>
      <c r="G5800" s="115"/>
      <c r="H5800" s="115"/>
      <c r="I5800" s="115"/>
      <c r="J5800" s="415"/>
      <c r="AX5800" s="117"/>
      <c r="AY5800" s="117"/>
      <c r="AZ5800" s="117"/>
      <c r="BA5800" s="117"/>
      <c r="BB5800" s="117"/>
      <c r="BC5800" s="117"/>
      <c r="BD5800" s="117"/>
    </row>
    <row r="5801" spans="1:56">
      <c r="A5801"/>
      <c r="B5801" s="385" t="s">
        <v>1329</v>
      </c>
      <c r="C5801" s="196"/>
      <c r="D5801" s="196"/>
      <c r="E5801" s="196"/>
      <c r="F5801" s="196"/>
      <c r="G5801" s="196"/>
      <c r="H5801" s="196"/>
      <c r="I5801" s="196"/>
      <c r="J5801" s="362"/>
      <c r="AX5801" s="117"/>
      <c r="AY5801" s="117"/>
      <c r="AZ5801" s="117"/>
      <c r="BA5801" s="117"/>
      <c r="BB5801" s="117"/>
      <c r="BC5801" s="117"/>
      <c r="BD5801" s="117"/>
    </row>
    <row r="5802" spans="1:56" ht="15">
      <c r="A5802" s="114"/>
      <c r="B5802" s="362"/>
      <c r="C5802" s="362"/>
      <c r="D5802" s="362"/>
      <c r="E5802" s="485" t="s">
        <v>1315</v>
      </c>
      <c r="F5802" s="486">
        <f>TAN(RADIANS(C5811))</f>
        <v>1.7320508075688767</v>
      </c>
      <c r="G5802" s="487"/>
      <c r="H5802" s="488"/>
      <c r="I5802" s="488"/>
      <c r="J5802" s="362"/>
      <c r="AX5802" s="117"/>
      <c r="AY5802" s="117"/>
      <c r="AZ5802" s="117"/>
      <c r="BA5802" s="117"/>
      <c r="BB5802" s="117"/>
      <c r="BC5802" s="117"/>
      <c r="BD5802" s="117"/>
    </row>
    <row r="5803" spans="1:56" ht="15">
      <c r="A5803" s="114"/>
      <c r="B5803" s="388" t="s">
        <v>1141</v>
      </c>
      <c r="C5803" s="389">
        <v>0.75</v>
      </c>
      <c r="D5803" s="390" t="s">
        <v>10</v>
      </c>
      <c r="E5803" s="485" t="s">
        <v>1316</v>
      </c>
      <c r="F5803" s="486">
        <f>C5808+C5807+0.05</f>
        <v>2.0999999999999996</v>
      </c>
      <c r="G5803" s="489" t="s">
        <v>10</v>
      </c>
      <c r="H5803" s="488"/>
      <c r="I5803" s="488"/>
      <c r="J5803" s="362"/>
      <c r="AX5803" s="117"/>
      <c r="AY5803" s="117"/>
      <c r="AZ5803" s="117"/>
      <c r="BA5803" s="117"/>
      <c r="BB5803" s="117"/>
      <c r="BC5803" s="117"/>
      <c r="BD5803" s="117"/>
    </row>
    <row r="5804" spans="1:56" ht="15">
      <c r="A5804" s="114"/>
      <c r="B5804" s="388" t="s">
        <v>1144</v>
      </c>
      <c r="C5804" s="389">
        <v>0.75</v>
      </c>
      <c r="D5804" s="390" t="s">
        <v>10</v>
      </c>
      <c r="E5804" s="485" t="s">
        <v>1317</v>
      </c>
      <c r="F5804" s="486">
        <f>F5803/F5802</f>
        <v>1.2124355652982144</v>
      </c>
      <c r="G5804" s="489" t="s">
        <v>10</v>
      </c>
      <c r="H5804" s="488"/>
      <c r="I5804" s="488"/>
      <c r="J5804" s="362"/>
      <c r="AX5804" s="117"/>
      <c r="AY5804" s="117"/>
      <c r="AZ5804" s="117"/>
      <c r="BA5804" s="117"/>
      <c r="BB5804" s="117"/>
      <c r="BC5804" s="117"/>
      <c r="BD5804" s="117"/>
    </row>
    <row r="5805" spans="1:56">
      <c r="A5805" s="114"/>
      <c r="B5805" s="388" t="s">
        <v>1145</v>
      </c>
      <c r="C5805" s="389">
        <v>3.7</v>
      </c>
      <c r="D5805" s="390" t="s">
        <v>10</v>
      </c>
      <c r="E5805" s="485"/>
      <c r="F5805" s="490"/>
      <c r="G5805" s="490"/>
      <c r="H5805" s="488"/>
      <c r="I5805" s="488"/>
      <c r="J5805" s="362"/>
      <c r="AX5805" s="117"/>
      <c r="AY5805" s="117"/>
      <c r="AZ5805" s="117"/>
      <c r="BA5805" s="117"/>
      <c r="BB5805" s="117"/>
      <c r="BC5805" s="117"/>
      <c r="BD5805" s="117"/>
    </row>
    <row r="5806" spans="1:56" ht="15">
      <c r="A5806" s="114"/>
      <c r="B5806" s="388" t="s">
        <v>1146</v>
      </c>
      <c r="C5806" s="389">
        <v>4.2699999999999996</v>
      </c>
      <c r="D5806" s="390" t="s">
        <v>10</v>
      </c>
      <c r="E5806" s="485" t="s">
        <v>1318</v>
      </c>
      <c r="F5806" s="486">
        <f>C5805+2*C5813</f>
        <v>4.7</v>
      </c>
      <c r="G5806" s="489" t="s">
        <v>10</v>
      </c>
      <c r="H5806" s="485" t="s">
        <v>1319</v>
      </c>
      <c r="I5806" s="486">
        <f>C5806+2*C5813</f>
        <v>5.27</v>
      </c>
      <c r="J5806" s="362"/>
      <c r="AX5806" s="117"/>
      <c r="AY5806" s="117"/>
      <c r="AZ5806" s="117"/>
      <c r="BA5806" s="117"/>
      <c r="BB5806" s="117"/>
      <c r="BC5806" s="117"/>
      <c r="BD5806" s="117"/>
    </row>
    <row r="5807" spans="1:56" ht="15">
      <c r="A5807" s="114"/>
      <c r="B5807" s="388" t="s">
        <v>1112</v>
      </c>
      <c r="C5807" s="389">
        <v>0.55000000000000004</v>
      </c>
      <c r="D5807" s="390" t="s">
        <v>10</v>
      </c>
      <c r="E5807" s="485" t="s">
        <v>1320</v>
      </c>
      <c r="F5807" s="486">
        <f>F5806+F5804*2</f>
        <v>7.1248711305964285</v>
      </c>
      <c r="G5807" s="489" t="s">
        <v>10</v>
      </c>
      <c r="H5807" s="485" t="s">
        <v>1321</v>
      </c>
      <c r="I5807" s="486">
        <f>I5806+F5804*2</f>
        <v>7.6948711305964288</v>
      </c>
      <c r="J5807" s="362"/>
      <c r="AX5807" s="117"/>
      <c r="AY5807" s="117"/>
      <c r="AZ5807" s="117"/>
      <c r="BA5807" s="117"/>
      <c r="BB5807" s="117"/>
      <c r="BC5807" s="117"/>
      <c r="BD5807" s="117"/>
    </row>
    <row r="5808" spans="1:56" ht="15">
      <c r="A5808" s="114"/>
      <c r="B5808" s="388" t="s">
        <v>1113</v>
      </c>
      <c r="C5808" s="389">
        <v>1.5</v>
      </c>
      <c r="D5808" s="390" t="s">
        <v>10</v>
      </c>
      <c r="E5808" s="485" t="s">
        <v>1322</v>
      </c>
      <c r="F5808" s="486">
        <f>(F5806+F5807)/2</f>
        <v>5.9124355652982139</v>
      </c>
      <c r="G5808" s="489" t="s">
        <v>10</v>
      </c>
      <c r="H5808" s="485" t="s">
        <v>1323</v>
      </c>
      <c r="I5808" s="486">
        <f>(I5806+I5807)/2</f>
        <v>6.4824355652982142</v>
      </c>
      <c r="J5808" s="114"/>
      <c r="AW5808" s="117"/>
      <c r="AX5808" s="117"/>
      <c r="AY5808" s="117"/>
      <c r="AZ5808" s="117"/>
      <c r="BA5808" s="117"/>
      <c r="BB5808" s="117"/>
      <c r="BC5808" s="117"/>
      <c r="BD5808" s="117"/>
    </row>
    <row r="5809" spans="1:56">
      <c r="A5809" s="114"/>
      <c r="B5809" s="388" t="s">
        <v>1117</v>
      </c>
      <c r="C5809" s="389">
        <v>20</v>
      </c>
      <c r="D5809" s="390" t="s">
        <v>1118</v>
      </c>
      <c r="E5809" s="490"/>
      <c r="F5809" s="490"/>
      <c r="G5809" s="490"/>
      <c r="H5809" s="488"/>
      <c r="I5809" s="488"/>
      <c r="J5809" s="114"/>
      <c r="AW5809" s="117"/>
      <c r="AX5809" s="117"/>
      <c r="AY5809" s="117"/>
      <c r="AZ5809" s="117"/>
      <c r="BA5809" s="117"/>
      <c r="BB5809" s="117"/>
      <c r="BC5809" s="117"/>
      <c r="BD5809" s="117"/>
    </row>
    <row r="5810" spans="1:56" ht="16.5">
      <c r="A5810" s="114"/>
      <c r="B5810" s="196" t="s">
        <v>1148</v>
      </c>
      <c r="C5810" s="393"/>
      <c r="D5810" s="196"/>
      <c r="E5810" s="485" t="s">
        <v>1324</v>
      </c>
      <c r="F5810" s="486">
        <f>((F5808*I5808)/2)*F5803</f>
        <v>40.243331715324345</v>
      </c>
      <c r="G5810" s="489" t="s">
        <v>1325</v>
      </c>
      <c r="H5810" s="488"/>
      <c r="I5810" s="488"/>
      <c r="J5810" s="114"/>
      <c r="AW5810" s="117"/>
      <c r="AX5810" s="117"/>
      <c r="AY5810" s="117"/>
      <c r="AZ5810" s="117"/>
      <c r="BA5810" s="117"/>
      <c r="BB5810" s="117"/>
      <c r="BC5810" s="117"/>
      <c r="BD5810" s="117"/>
    </row>
    <row r="5811" spans="1:56" customFormat="1" ht="15">
      <c r="A5811" s="114"/>
      <c r="B5811" s="388" t="s">
        <v>1149</v>
      </c>
      <c r="C5811" s="389">
        <v>60</v>
      </c>
      <c r="D5811" s="390" t="s">
        <v>1150</v>
      </c>
      <c r="E5811" s="405"/>
      <c r="F5811" s="406"/>
      <c r="G5811" s="407"/>
      <c r="H5811" s="405"/>
      <c r="I5811" s="405"/>
      <c r="J5811" s="362"/>
    </row>
    <row r="5812" spans="1:56" ht="15">
      <c r="A5812" s="114"/>
      <c r="B5812" s="491"/>
      <c r="C5812" s="196"/>
      <c r="D5812" s="196"/>
      <c r="E5812" s="196"/>
      <c r="F5812" s="362"/>
      <c r="G5812" s="362"/>
      <c r="H5812" s="362"/>
      <c r="I5812" s="196"/>
      <c r="J5812" s="404"/>
      <c r="AX5812" s="117"/>
      <c r="AY5812" s="117"/>
      <c r="AZ5812" s="117"/>
      <c r="BA5812" s="117"/>
      <c r="BB5812" s="117"/>
      <c r="BC5812" s="117"/>
      <c r="BD5812" s="117"/>
    </row>
    <row r="5813" spans="1:56">
      <c r="A5813" s="114"/>
      <c r="B5813" s="388" t="s">
        <v>1114</v>
      </c>
      <c r="C5813" s="389">
        <v>0.5</v>
      </c>
      <c r="D5813" s="390" t="s">
        <v>10</v>
      </c>
      <c r="E5813" s="288" t="s">
        <v>1120</v>
      </c>
      <c r="F5813" s="196" t="s">
        <v>1326</v>
      </c>
      <c r="G5813" s="115"/>
      <c r="H5813" s="362"/>
      <c r="I5813" s="362"/>
      <c r="J5813" s="405"/>
      <c r="AX5813" s="117"/>
      <c r="AY5813" s="117"/>
      <c r="AZ5813" s="117"/>
      <c r="BA5813" s="117"/>
      <c r="BB5813" s="117"/>
      <c r="BC5813" s="117"/>
      <c r="BD5813" s="117"/>
    </row>
    <row r="5814" spans="1:56">
      <c r="A5814" s="114"/>
      <c r="B5814" s="388" t="s">
        <v>1114</v>
      </c>
      <c r="C5814" s="389">
        <v>0.1</v>
      </c>
      <c r="D5814" s="390" t="s">
        <v>10</v>
      </c>
      <c r="E5814" s="288" t="s">
        <v>1121</v>
      </c>
      <c r="F5814" s="196"/>
      <c r="G5814" s="115"/>
      <c r="H5814" s="196"/>
      <c r="I5814" s="196"/>
      <c r="J5814" s="405"/>
      <c r="AX5814" s="117"/>
      <c r="AY5814" s="117"/>
      <c r="AZ5814" s="117"/>
      <c r="BA5814" s="117"/>
      <c r="BB5814" s="117"/>
      <c r="BC5814" s="117"/>
      <c r="BD5814" s="117"/>
    </row>
    <row r="5815" spans="1:56">
      <c r="A5815" s="114"/>
      <c r="B5815" s="362"/>
      <c r="C5815" s="362"/>
      <c r="D5815" s="362"/>
      <c r="E5815" s="362"/>
      <c r="F5815" s="362"/>
      <c r="G5815" s="115"/>
      <c r="H5815" s="362"/>
      <c r="I5815" s="196"/>
      <c r="J5815" s="405"/>
      <c r="AX5815" s="117"/>
      <c r="AY5815" s="117"/>
      <c r="AZ5815" s="117"/>
      <c r="BA5815" s="117"/>
      <c r="BB5815" s="117"/>
      <c r="BC5815" s="117"/>
      <c r="BD5815" s="117"/>
    </row>
    <row r="5816" spans="1:56" ht="15">
      <c r="A5816" s="114"/>
      <c r="B5816" s="303" t="s">
        <v>1122</v>
      </c>
      <c r="C5816" s="362"/>
      <c r="D5816" s="362"/>
      <c r="E5816" s="362"/>
      <c r="F5816" s="362"/>
      <c r="G5816" s="196"/>
      <c r="H5816" s="196"/>
      <c r="I5816" s="196"/>
      <c r="J5816" s="405"/>
      <c r="AX5816" s="117"/>
      <c r="AY5816" s="117"/>
      <c r="AZ5816" s="117"/>
      <c r="BA5816" s="117"/>
      <c r="BB5816" s="117"/>
      <c r="BC5816" s="117"/>
      <c r="BD5816" s="117"/>
    </row>
    <row r="5817" spans="1:56" ht="18">
      <c r="A5817" s="114"/>
      <c r="B5817" s="398" t="s">
        <v>1123</v>
      </c>
      <c r="C5817" s="172"/>
      <c r="D5817" s="173"/>
      <c r="E5817" s="397">
        <f>F5810*C5809</f>
        <v>804.86663430648696</v>
      </c>
      <c r="F5817" s="390" t="s">
        <v>1124</v>
      </c>
      <c r="G5817" s="196"/>
      <c r="H5817" s="362"/>
      <c r="I5817" s="362"/>
      <c r="J5817" s="405"/>
      <c r="AX5817" s="117"/>
      <c r="AY5817" s="117"/>
      <c r="AZ5817" s="117"/>
      <c r="BA5817" s="117"/>
      <c r="BB5817" s="117"/>
      <c r="BC5817" s="117"/>
      <c r="BD5817" s="117"/>
    </row>
    <row r="5818" spans="1:56" ht="18">
      <c r="A5818" s="114"/>
      <c r="B5818" s="398" t="s">
        <v>1125</v>
      </c>
      <c r="C5818" s="172"/>
      <c r="D5818" s="173"/>
      <c r="E5818" s="400">
        <f>E5817-E5829-E5831-C5809*(C5803*C5804*C5807)</f>
        <v>552.97763430648695</v>
      </c>
      <c r="F5818" s="390" t="s">
        <v>1124</v>
      </c>
      <c r="G5818" s="196"/>
      <c r="H5818" s="196"/>
      <c r="I5818" s="196"/>
      <c r="J5818" s="405"/>
      <c r="AX5818" s="117"/>
      <c r="AY5818" s="117"/>
      <c r="AZ5818" s="117"/>
      <c r="BA5818" s="117"/>
      <c r="BB5818" s="117"/>
      <c r="BC5818" s="117"/>
      <c r="BD5818" s="117"/>
    </row>
    <row r="5819" spans="1:56" ht="15">
      <c r="A5819" s="114"/>
      <c r="B5819" s="398" t="s">
        <v>1126</v>
      </c>
      <c r="C5819" s="172"/>
      <c r="D5819" s="173"/>
      <c r="E5819" s="400">
        <f>((C5805+2*C5814)*(C5806+2*C5814))/2*C5809</f>
        <v>174.32999999999998</v>
      </c>
      <c r="F5819" s="390" t="s">
        <v>13</v>
      </c>
      <c r="G5819" s="362"/>
      <c r="H5819" s="362"/>
      <c r="I5819" s="362"/>
      <c r="J5819" s="405"/>
      <c r="AX5819" s="117"/>
      <c r="AY5819" s="117"/>
      <c r="AZ5819" s="117"/>
      <c r="BA5819" s="117"/>
      <c r="BB5819" s="117"/>
      <c r="BC5819" s="117"/>
      <c r="BD5819" s="117"/>
    </row>
    <row r="5820" spans="1:56" ht="15">
      <c r="A5820" s="114"/>
      <c r="B5820" s="362"/>
      <c r="C5820" s="362"/>
      <c r="D5820" s="362"/>
      <c r="E5820" s="401"/>
      <c r="F5820" s="196"/>
      <c r="G5820" s="362"/>
      <c r="H5820" s="362"/>
      <c r="I5820" s="362"/>
      <c r="J5820" s="405"/>
      <c r="AX5820" s="117"/>
      <c r="AY5820" s="117"/>
      <c r="AZ5820" s="117"/>
      <c r="BA5820" s="117"/>
      <c r="BB5820" s="117"/>
      <c r="BC5820" s="117"/>
      <c r="BD5820" s="117"/>
    </row>
    <row r="5821" spans="1:56" ht="15">
      <c r="A5821" s="114"/>
      <c r="B5821" s="303" t="s">
        <v>1162</v>
      </c>
      <c r="C5821" s="362"/>
      <c r="D5821" s="362"/>
      <c r="E5821" s="410"/>
      <c r="F5821" s="362"/>
      <c r="G5821" s="362"/>
      <c r="H5821" s="362"/>
      <c r="I5821" s="362"/>
      <c r="J5821" s="196"/>
      <c r="AX5821" s="117"/>
      <c r="AY5821" s="117"/>
      <c r="AZ5821" s="117"/>
      <c r="BA5821" s="117"/>
      <c r="BB5821" s="117"/>
      <c r="BC5821" s="117"/>
      <c r="BD5821" s="117"/>
    </row>
    <row r="5822" spans="1:56" ht="15">
      <c r="A5822" s="114"/>
      <c r="B5822" s="398" t="s">
        <v>1152</v>
      </c>
      <c r="C5822" s="398"/>
      <c r="D5822" s="398"/>
      <c r="E5822" s="492">
        <v>3</v>
      </c>
      <c r="F5822" s="390" t="s">
        <v>1153</v>
      </c>
      <c r="G5822" s="362"/>
      <c r="H5822" s="362"/>
      <c r="I5822" s="362"/>
      <c r="J5822" s="196"/>
      <c r="AX5822" s="117"/>
      <c r="AY5822" s="117"/>
      <c r="AZ5822" s="117"/>
      <c r="BA5822" s="117"/>
      <c r="BB5822" s="117"/>
      <c r="BC5822" s="117"/>
      <c r="BD5822" s="117"/>
    </row>
    <row r="5823" spans="1:56" ht="15">
      <c r="A5823" s="114"/>
      <c r="B5823" s="398" t="s">
        <v>1154</v>
      </c>
      <c r="C5823" s="21"/>
      <c r="D5823" s="413"/>
      <c r="E5823" s="412">
        <f>C5809*E5822</f>
        <v>60</v>
      </c>
      <c r="F5823" s="390" t="s">
        <v>1153</v>
      </c>
      <c r="G5823" s="362"/>
      <c r="H5823" s="362"/>
      <c r="I5823" s="362"/>
      <c r="J5823" s="196"/>
      <c r="AX5823" s="117"/>
      <c r="AY5823" s="117"/>
      <c r="AZ5823" s="117"/>
      <c r="BA5823" s="117"/>
      <c r="BB5823" s="117"/>
      <c r="BC5823" s="117"/>
      <c r="BD5823" s="117"/>
    </row>
    <row r="5824" spans="1:56" ht="15">
      <c r="A5824" s="114"/>
      <c r="B5824" s="398" t="s">
        <v>1155</v>
      </c>
      <c r="C5824" s="21"/>
      <c r="D5824" s="413"/>
      <c r="E5824" s="411">
        <v>700</v>
      </c>
      <c r="F5824" s="390" t="s">
        <v>1156</v>
      </c>
      <c r="G5824" s="362"/>
      <c r="H5824" s="414"/>
      <c r="I5824" s="362"/>
      <c r="J5824" s="196"/>
      <c r="AX5824" s="117"/>
      <c r="AY5824" s="117"/>
      <c r="AZ5824" s="117"/>
      <c r="BA5824" s="117"/>
      <c r="BB5824" s="117"/>
      <c r="BC5824" s="117"/>
      <c r="BD5824" s="117"/>
    </row>
    <row r="5825" spans="1:56" ht="15">
      <c r="A5825" s="114"/>
      <c r="B5825" s="398" t="s">
        <v>1157</v>
      </c>
      <c r="C5825" s="21"/>
      <c r="D5825" s="413"/>
      <c r="E5825" s="411">
        <v>32</v>
      </c>
      <c r="F5825" s="390" t="s">
        <v>10</v>
      </c>
      <c r="G5825" s="362"/>
      <c r="H5825" s="6"/>
      <c r="I5825" s="362"/>
      <c r="J5825" s="196"/>
      <c r="AX5825" s="117"/>
      <c r="AY5825" s="117"/>
      <c r="AZ5825" s="117"/>
      <c r="BA5825" s="117"/>
      <c r="BB5825" s="117"/>
      <c r="BC5825" s="117"/>
      <c r="BD5825" s="117"/>
    </row>
    <row r="5826" spans="1:56" ht="15">
      <c r="A5826" s="114"/>
      <c r="B5826" s="398" t="s">
        <v>1158</v>
      </c>
      <c r="C5826" s="21"/>
      <c r="D5826" s="413"/>
      <c r="E5826" s="412">
        <f>E5823*E5825</f>
        <v>1920</v>
      </c>
      <c r="F5826" s="390" t="s">
        <v>10</v>
      </c>
      <c r="G5826" s="362"/>
      <c r="H5826" s="362"/>
      <c r="I5826" s="362"/>
      <c r="J5826" s="196"/>
      <c r="AX5826" s="117"/>
      <c r="AY5826" s="117"/>
      <c r="AZ5826" s="117"/>
      <c r="BA5826" s="117"/>
      <c r="BB5826" s="117"/>
      <c r="BC5826" s="117"/>
      <c r="BD5826" s="117"/>
    </row>
    <row r="5827" spans="1:56" ht="15">
      <c r="A5827" s="114"/>
      <c r="B5827" s="362"/>
      <c r="C5827" s="362"/>
      <c r="D5827" s="362"/>
      <c r="E5827" s="410"/>
      <c r="F5827" s="362"/>
      <c r="G5827" s="362"/>
      <c r="H5827" s="362"/>
      <c r="I5827" s="362"/>
      <c r="J5827" s="362"/>
      <c r="AX5827" s="117"/>
      <c r="AY5827" s="117"/>
      <c r="AZ5827" s="117"/>
      <c r="BA5827" s="117"/>
      <c r="BB5827" s="117"/>
      <c r="BC5827" s="117"/>
      <c r="BD5827" s="117"/>
    </row>
    <row r="5828" spans="1:56" ht="15">
      <c r="A5828" s="114"/>
      <c r="B5828" s="303" t="s">
        <v>1160</v>
      </c>
      <c r="C5828" s="362"/>
      <c r="D5828" s="362"/>
      <c r="E5828" s="410"/>
      <c r="F5828" s="362"/>
      <c r="G5828" s="362"/>
      <c r="H5828" s="362"/>
      <c r="I5828" s="362"/>
      <c r="J5828" s="196"/>
      <c r="AX5828" s="117"/>
      <c r="AY5828" s="117"/>
      <c r="AZ5828" s="117"/>
      <c r="BA5828" s="117"/>
      <c r="BB5828" s="117"/>
      <c r="BC5828" s="117"/>
      <c r="BD5828" s="117"/>
    </row>
    <row r="5829" spans="1:56" ht="18">
      <c r="A5829" s="114"/>
      <c r="B5829" s="398" t="s">
        <v>1128</v>
      </c>
      <c r="C5829" s="172"/>
      <c r="D5829" s="173"/>
      <c r="E5829" s="402">
        <f>E5819*0.05</f>
        <v>8.7164999999999999</v>
      </c>
      <c r="F5829" s="390" t="s">
        <v>1124</v>
      </c>
      <c r="G5829" s="362"/>
      <c r="H5829" s="362"/>
      <c r="I5829" s="362"/>
      <c r="J5829" s="362"/>
      <c r="AX5829" s="117"/>
      <c r="AY5829" s="117"/>
      <c r="AZ5829" s="117"/>
      <c r="BA5829" s="117"/>
      <c r="BB5829" s="117"/>
      <c r="BC5829" s="117"/>
      <c r="BD5829" s="117"/>
    </row>
    <row r="5830" spans="1:56" ht="15">
      <c r="A5830" s="114"/>
      <c r="B5830" s="398" t="s">
        <v>1129</v>
      </c>
      <c r="C5830" s="172"/>
      <c r="D5830" s="173"/>
      <c r="E5830" s="397">
        <f>(((C5805^2+(C5806/2)^2)^0.5)*2+C5806)*C5808*C5809</f>
        <v>384.40764717425031</v>
      </c>
      <c r="F5830" s="390" t="s">
        <v>13</v>
      </c>
      <c r="G5830" s="362"/>
      <c r="H5830" s="362"/>
      <c r="I5830" s="362"/>
      <c r="J5830" s="362"/>
      <c r="AX5830" s="117"/>
      <c r="AY5830" s="117"/>
      <c r="AZ5830" s="117"/>
      <c r="BA5830" s="117"/>
      <c r="BB5830" s="117"/>
      <c r="BC5830" s="117"/>
      <c r="BD5830" s="117"/>
    </row>
    <row r="5831" spans="1:56" ht="18">
      <c r="A5831" s="114"/>
      <c r="B5831" s="398" t="s">
        <v>1130</v>
      </c>
      <c r="C5831" s="172"/>
      <c r="D5831" s="173"/>
      <c r="E5831" s="402">
        <f>((C5805*C5806)/2)*C5808*C5809</f>
        <v>236.98499999999999</v>
      </c>
      <c r="F5831" s="390" t="s">
        <v>1124</v>
      </c>
      <c r="G5831" s="362"/>
      <c r="H5831" s="362"/>
      <c r="I5831" s="362"/>
      <c r="J5831" s="362"/>
      <c r="AX5831" s="117"/>
      <c r="AY5831" s="117"/>
      <c r="AZ5831" s="117"/>
      <c r="BA5831" s="117"/>
      <c r="BB5831" s="117"/>
      <c r="BC5831" s="117"/>
      <c r="BD5831" s="117"/>
    </row>
    <row r="5832" spans="1:56" ht="15">
      <c r="A5832" s="114"/>
      <c r="B5832" s="398" t="s">
        <v>1327</v>
      </c>
      <c r="C5832" s="172"/>
      <c r="D5832" s="173"/>
      <c r="E5832" s="493">
        <f>E5831*100</f>
        <v>23698.5</v>
      </c>
      <c r="F5832" s="390" t="s">
        <v>12</v>
      </c>
      <c r="G5832" s="362"/>
      <c r="H5832" s="362"/>
      <c r="I5832" s="362"/>
      <c r="J5832" s="362"/>
      <c r="AX5832" s="117"/>
      <c r="AY5832" s="117"/>
      <c r="AZ5832" s="117"/>
      <c r="BA5832" s="117"/>
      <c r="BB5832" s="117"/>
      <c r="BC5832" s="117"/>
      <c r="BD5832" s="117"/>
    </row>
    <row r="5833" spans="1:56">
      <c r="A5833" s="114"/>
      <c r="B5833" s="115"/>
      <c r="C5833" s="115"/>
      <c r="D5833" s="115"/>
      <c r="E5833" s="115"/>
      <c r="F5833" s="115"/>
      <c r="G5833" s="115"/>
      <c r="H5833" s="115"/>
      <c r="I5833" s="115"/>
      <c r="J5833" s="362"/>
      <c r="AX5833" s="117"/>
      <c r="AY5833" s="117"/>
      <c r="AZ5833" s="117"/>
      <c r="BA5833" s="117"/>
      <c r="BB5833" s="117"/>
      <c r="BC5833" s="117"/>
      <c r="BD5833" s="117"/>
    </row>
    <row r="5834" spans="1:56">
      <c r="A5834" s="114"/>
      <c r="B5834" s="115"/>
      <c r="C5834" s="115"/>
      <c r="D5834" s="115"/>
      <c r="E5834" s="115"/>
      <c r="F5834" s="115"/>
      <c r="G5834" s="115"/>
      <c r="H5834" s="115"/>
      <c r="I5834" s="115"/>
      <c r="J5834" s="415"/>
      <c r="AX5834" s="117"/>
      <c r="AY5834" s="117"/>
      <c r="AZ5834" s="117"/>
      <c r="BA5834" s="117"/>
      <c r="BB5834" s="117"/>
      <c r="BC5834" s="117"/>
      <c r="BD5834" s="117"/>
    </row>
    <row r="5835" spans="1:56">
      <c r="A5835" s="114"/>
      <c r="B5835" s="115"/>
      <c r="C5835" s="115"/>
      <c r="D5835" s="115"/>
      <c r="E5835" s="115"/>
      <c r="F5835" s="115"/>
      <c r="G5835" s="115"/>
      <c r="H5835" s="115"/>
      <c r="I5835" s="115"/>
      <c r="J5835" s="362"/>
      <c r="AX5835" s="117"/>
      <c r="AY5835" s="117"/>
      <c r="AZ5835" s="117"/>
      <c r="BA5835" s="117"/>
      <c r="BB5835" s="117"/>
      <c r="BC5835" s="117"/>
      <c r="BD5835" s="117"/>
    </row>
    <row r="5836" spans="1:56">
      <c r="A5836"/>
      <c r="B5836" s="385" t="s">
        <v>1330</v>
      </c>
      <c r="C5836" s="196"/>
      <c r="D5836" s="196"/>
      <c r="E5836" s="196"/>
      <c r="F5836" s="196"/>
      <c r="G5836" s="196"/>
      <c r="H5836" s="196"/>
      <c r="I5836" s="196"/>
      <c r="J5836" s="362"/>
      <c r="AX5836" s="117"/>
      <c r="AY5836" s="117"/>
      <c r="AZ5836" s="117"/>
      <c r="BA5836" s="117"/>
      <c r="BB5836" s="117"/>
      <c r="BC5836" s="117"/>
      <c r="BD5836" s="117"/>
    </row>
    <row r="5837" spans="1:56" ht="15">
      <c r="A5837" s="114"/>
      <c r="B5837" s="362"/>
      <c r="C5837" s="362"/>
      <c r="D5837" s="362"/>
      <c r="E5837" s="485" t="s">
        <v>1315</v>
      </c>
      <c r="F5837" s="486">
        <f>TAN(RADIANS(C5846))</f>
        <v>1.7320508075688767</v>
      </c>
      <c r="G5837" s="487"/>
      <c r="H5837" s="488"/>
      <c r="I5837" s="488"/>
      <c r="J5837" s="362"/>
      <c r="AX5837" s="117"/>
      <c r="AY5837" s="117"/>
      <c r="AZ5837" s="117"/>
      <c r="BA5837" s="117"/>
      <c r="BB5837" s="117"/>
      <c r="BC5837" s="117"/>
      <c r="BD5837" s="117"/>
    </row>
    <row r="5838" spans="1:56" ht="15">
      <c r="A5838" s="114"/>
      <c r="B5838" s="388" t="s">
        <v>1141</v>
      </c>
      <c r="C5838" s="389">
        <v>0.75</v>
      </c>
      <c r="D5838" s="390" t="s">
        <v>10</v>
      </c>
      <c r="E5838" s="485" t="s">
        <v>1316</v>
      </c>
      <c r="F5838" s="486">
        <f>C5843+C5842+0.05</f>
        <v>2.8499999999999996</v>
      </c>
      <c r="G5838" s="489" t="s">
        <v>10</v>
      </c>
      <c r="H5838" s="488"/>
      <c r="I5838" s="488"/>
      <c r="J5838" s="362"/>
      <c r="AX5838" s="117"/>
      <c r="AY5838" s="117"/>
      <c r="AZ5838" s="117"/>
      <c r="BA5838" s="117"/>
      <c r="BB5838" s="117"/>
      <c r="BC5838" s="117"/>
      <c r="BD5838" s="117"/>
    </row>
    <row r="5839" spans="1:56" ht="15">
      <c r="A5839" s="114"/>
      <c r="B5839" s="388" t="s">
        <v>1144</v>
      </c>
      <c r="C5839" s="389">
        <v>0.75</v>
      </c>
      <c r="D5839" s="390" t="s">
        <v>10</v>
      </c>
      <c r="E5839" s="485" t="s">
        <v>1317</v>
      </c>
      <c r="F5839" s="486">
        <f>F5838/F5837</f>
        <v>1.6454482671904338</v>
      </c>
      <c r="G5839" s="489" t="s">
        <v>10</v>
      </c>
      <c r="H5839" s="488"/>
      <c r="I5839" s="488"/>
      <c r="J5839" s="362"/>
      <c r="AX5839" s="117"/>
      <c r="AY5839" s="117"/>
      <c r="AZ5839" s="117"/>
      <c r="BA5839" s="117"/>
      <c r="BB5839" s="117"/>
      <c r="BC5839" s="117"/>
      <c r="BD5839" s="117"/>
    </row>
    <row r="5840" spans="1:56">
      <c r="A5840" s="114"/>
      <c r="B5840" s="388" t="s">
        <v>1145</v>
      </c>
      <c r="C5840" s="389">
        <v>3.7</v>
      </c>
      <c r="D5840" s="390" t="s">
        <v>10</v>
      </c>
      <c r="E5840" s="485"/>
      <c r="F5840" s="490"/>
      <c r="G5840" s="490"/>
      <c r="H5840" s="488"/>
      <c r="I5840" s="488"/>
      <c r="J5840" s="362"/>
      <c r="AX5840" s="117"/>
      <c r="AY5840" s="117"/>
      <c r="AZ5840" s="117"/>
      <c r="BA5840" s="117"/>
      <c r="BB5840" s="117"/>
      <c r="BC5840" s="117"/>
      <c r="BD5840" s="117"/>
    </row>
    <row r="5841" spans="1:56" ht="15">
      <c r="A5841" s="114"/>
      <c r="B5841" s="388" t="s">
        <v>1146</v>
      </c>
      <c r="C5841" s="389">
        <v>4.2699999999999996</v>
      </c>
      <c r="D5841" s="390" t="s">
        <v>10</v>
      </c>
      <c r="E5841" s="485" t="s">
        <v>1318</v>
      </c>
      <c r="F5841" s="486">
        <f>C5840+2*C5848</f>
        <v>4.7</v>
      </c>
      <c r="G5841" s="489" t="s">
        <v>10</v>
      </c>
      <c r="H5841" s="485" t="s">
        <v>1319</v>
      </c>
      <c r="I5841" s="486">
        <f>C5841+2*C5848</f>
        <v>5.27</v>
      </c>
      <c r="J5841" s="362"/>
      <c r="AX5841" s="117"/>
      <c r="AY5841" s="117"/>
      <c r="AZ5841" s="117"/>
      <c r="BA5841" s="117"/>
      <c r="BB5841" s="117"/>
      <c r="BC5841" s="117"/>
      <c r="BD5841" s="117"/>
    </row>
    <row r="5842" spans="1:56" ht="15">
      <c r="A5842" s="114"/>
      <c r="B5842" s="388" t="s">
        <v>1112</v>
      </c>
      <c r="C5842" s="389">
        <v>1.3</v>
      </c>
      <c r="D5842" s="390" t="s">
        <v>10</v>
      </c>
      <c r="E5842" s="485" t="s">
        <v>1320</v>
      </c>
      <c r="F5842" s="486">
        <f>F5841+F5839*2</f>
        <v>7.9908965343808678</v>
      </c>
      <c r="G5842" s="489" t="s">
        <v>10</v>
      </c>
      <c r="H5842" s="485" t="s">
        <v>1321</v>
      </c>
      <c r="I5842" s="486">
        <f>I5841+F5839*2</f>
        <v>8.5608965343808663</v>
      </c>
      <c r="J5842" s="114"/>
      <c r="AW5842" s="117"/>
      <c r="AX5842" s="117"/>
      <c r="AY5842" s="117"/>
      <c r="AZ5842" s="117"/>
      <c r="BA5842" s="117"/>
      <c r="BB5842" s="117"/>
      <c r="BC5842" s="117"/>
      <c r="BD5842" s="117"/>
    </row>
    <row r="5843" spans="1:56" ht="15">
      <c r="A5843" s="114"/>
      <c r="B5843" s="388" t="s">
        <v>1113</v>
      </c>
      <c r="C5843" s="389">
        <v>1.5</v>
      </c>
      <c r="D5843" s="390" t="s">
        <v>10</v>
      </c>
      <c r="E5843" s="485" t="s">
        <v>1322</v>
      </c>
      <c r="F5843" s="486">
        <f>(F5841+F5842)/2</f>
        <v>6.3454482671904344</v>
      </c>
      <c r="G5843" s="489" t="s">
        <v>10</v>
      </c>
      <c r="H5843" s="485" t="s">
        <v>1323</v>
      </c>
      <c r="I5843" s="486">
        <f>(I5841+I5842)/2</f>
        <v>6.9154482671904329</v>
      </c>
      <c r="J5843" s="114"/>
      <c r="AW5843" s="117"/>
      <c r="AX5843" s="117"/>
      <c r="AY5843" s="117"/>
      <c r="AZ5843" s="117"/>
      <c r="BA5843" s="117"/>
      <c r="BB5843" s="117"/>
      <c r="BC5843" s="117"/>
      <c r="BD5843" s="117"/>
    </row>
    <row r="5844" spans="1:56">
      <c r="A5844" s="114"/>
      <c r="B5844" s="388" t="s">
        <v>1117</v>
      </c>
      <c r="C5844" s="389">
        <v>1</v>
      </c>
      <c r="D5844" s="390" t="s">
        <v>1118</v>
      </c>
      <c r="E5844" s="490"/>
      <c r="F5844" s="490"/>
      <c r="G5844" s="490"/>
      <c r="H5844" s="488"/>
      <c r="I5844" s="488"/>
      <c r="J5844" s="114"/>
      <c r="AW5844" s="117"/>
      <c r="AX5844" s="117"/>
      <c r="AY5844" s="117"/>
      <c r="AZ5844" s="117"/>
      <c r="BA5844" s="117"/>
      <c r="BB5844" s="117"/>
      <c r="BC5844" s="117"/>
      <c r="BD5844" s="117"/>
    </row>
    <row r="5845" spans="1:56" customFormat="1" ht="16.5">
      <c r="A5845" s="114"/>
      <c r="B5845" s="196" t="s">
        <v>1148</v>
      </c>
      <c r="C5845" s="393"/>
      <c r="D5845" s="196"/>
      <c r="E5845" s="485" t="s">
        <v>1324</v>
      </c>
      <c r="F5845" s="486">
        <f>((F5843*I5843)/2)*F5838</f>
        <v>62.531307394041285</v>
      </c>
      <c r="G5845" s="489" t="s">
        <v>1325</v>
      </c>
      <c r="H5845" s="488"/>
      <c r="I5845" s="488"/>
      <c r="J5845" s="362"/>
    </row>
    <row r="5846" spans="1:56" ht="15">
      <c r="A5846" s="114"/>
      <c r="B5846" s="388" t="s">
        <v>1149</v>
      </c>
      <c r="C5846" s="389">
        <v>60</v>
      </c>
      <c r="D5846" s="390" t="s">
        <v>1150</v>
      </c>
      <c r="E5846" s="405"/>
      <c r="F5846" s="406"/>
      <c r="G5846" s="407"/>
      <c r="H5846" s="405"/>
      <c r="I5846" s="405"/>
      <c r="J5846" s="404"/>
      <c r="AX5846" s="117"/>
      <c r="AY5846" s="117"/>
      <c r="AZ5846" s="117"/>
      <c r="BA5846" s="117"/>
      <c r="BB5846" s="117"/>
      <c r="BC5846" s="117"/>
      <c r="BD5846" s="117"/>
    </row>
    <row r="5847" spans="1:56" ht="15">
      <c r="A5847" s="114"/>
      <c r="B5847" s="491"/>
      <c r="C5847" s="196"/>
      <c r="D5847" s="196"/>
      <c r="E5847" s="196"/>
      <c r="F5847" s="362"/>
      <c r="G5847" s="362"/>
      <c r="H5847" s="362"/>
      <c r="I5847" s="196"/>
      <c r="J5847" s="405"/>
      <c r="AX5847" s="117"/>
      <c r="AY5847" s="117"/>
      <c r="AZ5847" s="117"/>
      <c r="BA5847" s="117"/>
      <c r="BB5847" s="117"/>
      <c r="BC5847" s="117"/>
      <c r="BD5847" s="117"/>
    </row>
    <row r="5848" spans="1:56">
      <c r="A5848" s="114"/>
      <c r="B5848" s="388" t="s">
        <v>1114</v>
      </c>
      <c r="C5848" s="389">
        <v>0.5</v>
      </c>
      <c r="D5848" s="390" t="s">
        <v>10</v>
      </c>
      <c r="E5848" s="288" t="s">
        <v>1120</v>
      </c>
      <c r="F5848" s="196" t="s">
        <v>1326</v>
      </c>
      <c r="G5848" s="115"/>
      <c r="H5848" s="362"/>
      <c r="I5848" s="362"/>
      <c r="J5848" s="405"/>
      <c r="AX5848" s="117"/>
      <c r="AY5848" s="117"/>
      <c r="AZ5848" s="117"/>
      <c r="BA5848" s="117"/>
      <c r="BB5848" s="117"/>
      <c r="BC5848" s="117"/>
      <c r="BD5848" s="117"/>
    </row>
    <row r="5849" spans="1:56">
      <c r="A5849" s="114"/>
      <c r="B5849" s="388" t="s">
        <v>1114</v>
      </c>
      <c r="C5849" s="389">
        <v>0.1</v>
      </c>
      <c r="D5849" s="390" t="s">
        <v>10</v>
      </c>
      <c r="E5849" s="288" t="s">
        <v>1121</v>
      </c>
      <c r="F5849" s="196"/>
      <c r="G5849" s="115"/>
      <c r="H5849" s="196"/>
      <c r="I5849" s="196"/>
      <c r="J5849" s="405"/>
      <c r="AX5849" s="117"/>
      <c r="AY5849" s="117"/>
      <c r="AZ5849" s="117"/>
      <c r="BA5849" s="117"/>
      <c r="BB5849" s="117"/>
      <c r="BC5849" s="117"/>
      <c r="BD5849" s="117"/>
    </row>
    <row r="5850" spans="1:56">
      <c r="A5850" s="114"/>
      <c r="B5850" s="362"/>
      <c r="C5850" s="362"/>
      <c r="D5850" s="362"/>
      <c r="E5850" s="362"/>
      <c r="F5850" s="362"/>
      <c r="G5850" s="115"/>
      <c r="H5850" s="362"/>
      <c r="I5850" s="196"/>
      <c r="J5850" s="405"/>
      <c r="AX5850" s="117"/>
      <c r="AY5850" s="117"/>
      <c r="AZ5850" s="117"/>
      <c r="BA5850" s="117"/>
      <c r="BB5850" s="117"/>
      <c r="BC5850" s="117"/>
      <c r="BD5850" s="117"/>
    </row>
    <row r="5851" spans="1:56" ht="15">
      <c r="A5851" s="114"/>
      <c r="B5851" s="303" t="s">
        <v>1122</v>
      </c>
      <c r="C5851" s="362"/>
      <c r="D5851" s="362"/>
      <c r="E5851" s="362"/>
      <c r="F5851" s="362"/>
      <c r="G5851" s="196"/>
      <c r="H5851" s="196"/>
      <c r="I5851" s="196"/>
      <c r="J5851" s="405"/>
      <c r="AX5851" s="117"/>
      <c r="AY5851" s="117"/>
      <c r="AZ5851" s="117"/>
      <c r="BA5851" s="117"/>
      <c r="BB5851" s="117"/>
      <c r="BC5851" s="117"/>
      <c r="BD5851" s="117"/>
    </row>
    <row r="5852" spans="1:56" ht="18">
      <c r="A5852" s="114"/>
      <c r="B5852" s="398" t="s">
        <v>1123</v>
      </c>
      <c r="C5852" s="172"/>
      <c r="D5852" s="173"/>
      <c r="E5852" s="397">
        <f>F5845*C5844</f>
        <v>62.531307394041285</v>
      </c>
      <c r="F5852" s="390" t="s">
        <v>1124</v>
      </c>
      <c r="G5852" s="196"/>
      <c r="H5852" s="362"/>
      <c r="I5852" s="362"/>
      <c r="J5852" s="405"/>
      <c r="AX5852" s="117"/>
      <c r="AY5852" s="117"/>
      <c r="AZ5852" s="117"/>
      <c r="BA5852" s="117"/>
      <c r="BB5852" s="117"/>
      <c r="BC5852" s="117"/>
      <c r="BD5852" s="117"/>
    </row>
    <row r="5853" spans="1:56" ht="18">
      <c r="A5853" s="114"/>
      <c r="B5853" s="398" t="s">
        <v>1125</v>
      </c>
      <c r="C5853" s="172"/>
      <c r="D5853" s="173"/>
      <c r="E5853" s="400">
        <f>E5852-E5864-E5866-C5844*(C5838*C5839*C5842)</f>
        <v>49.514982394041283</v>
      </c>
      <c r="F5853" s="390" t="s">
        <v>1124</v>
      </c>
      <c r="G5853" s="196"/>
      <c r="H5853" s="196"/>
      <c r="I5853" s="196"/>
      <c r="J5853" s="405"/>
      <c r="AX5853" s="117"/>
      <c r="AY5853" s="117"/>
      <c r="AZ5853" s="117"/>
      <c r="BA5853" s="117"/>
      <c r="BB5853" s="117"/>
      <c r="BC5853" s="117"/>
      <c r="BD5853" s="117"/>
    </row>
    <row r="5854" spans="1:56" ht="15">
      <c r="A5854" s="114"/>
      <c r="B5854" s="398" t="s">
        <v>1126</v>
      </c>
      <c r="C5854" s="172"/>
      <c r="D5854" s="173"/>
      <c r="E5854" s="400">
        <f>((C5840+2*C5849)*(C5841+2*C5849))/2*C5844</f>
        <v>8.7164999999999999</v>
      </c>
      <c r="F5854" s="390" t="s">
        <v>13</v>
      </c>
      <c r="G5854" s="362"/>
      <c r="H5854" s="362"/>
      <c r="I5854" s="362"/>
      <c r="J5854" s="405"/>
      <c r="AX5854" s="117"/>
      <c r="AY5854" s="117"/>
      <c r="AZ5854" s="117"/>
      <c r="BA5854" s="117"/>
      <c r="BB5854" s="117"/>
      <c r="BC5854" s="117"/>
      <c r="BD5854" s="117"/>
    </row>
    <row r="5855" spans="1:56" ht="15">
      <c r="A5855" s="114"/>
      <c r="B5855" s="362"/>
      <c r="C5855" s="362"/>
      <c r="D5855" s="362"/>
      <c r="E5855" s="401"/>
      <c r="F5855" s="196"/>
      <c r="G5855" s="362"/>
      <c r="H5855" s="362"/>
      <c r="I5855" s="362"/>
      <c r="J5855" s="196"/>
      <c r="AX5855" s="117"/>
      <c r="AY5855" s="117"/>
      <c r="AZ5855" s="117"/>
      <c r="BA5855" s="117"/>
      <c r="BB5855" s="117"/>
      <c r="BC5855" s="117"/>
      <c r="BD5855" s="117"/>
    </row>
    <row r="5856" spans="1:56" ht="15">
      <c r="A5856" s="114"/>
      <c r="B5856" s="303" t="s">
        <v>1162</v>
      </c>
      <c r="C5856" s="362"/>
      <c r="D5856" s="362"/>
      <c r="E5856" s="410"/>
      <c r="F5856" s="362"/>
      <c r="G5856" s="362"/>
      <c r="H5856" s="362"/>
      <c r="I5856" s="362"/>
      <c r="J5856" s="196"/>
      <c r="AX5856" s="117"/>
      <c r="AY5856" s="117"/>
      <c r="AZ5856" s="117"/>
      <c r="BA5856" s="117"/>
      <c r="BB5856" s="117"/>
      <c r="BC5856" s="117"/>
      <c r="BD5856" s="117"/>
    </row>
    <row r="5857" spans="1:56" ht="15">
      <c r="A5857" s="114"/>
      <c r="B5857" s="398" t="s">
        <v>1152</v>
      </c>
      <c r="C5857" s="398"/>
      <c r="D5857" s="398"/>
      <c r="E5857" s="492">
        <v>3</v>
      </c>
      <c r="F5857" s="390" t="s">
        <v>1153</v>
      </c>
      <c r="G5857" s="362"/>
      <c r="H5857" s="362"/>
      <c r="I5857" s="362"/>
      <c r="J5857" s="196"/>
      <c r="AX5857" s="117"/>
      <c r="AY5857" s="117"/>
      <c r="AZ5857" s="117"/>
      <c r="BA5857" s="117"/>
      <c r="BB5857" s="117"/>
      <c r="BC5857" s="117"/>
      <c r="BD5857" s="117"/>
    </row>
    <row r="5858" spans="1:56" ht="15">
      <c r="A5858" s="114"/>
      <c r="B5858" s="398" t="s">
        <v>1154</v>
      </c>
      <c r="C5858" s="21"/>
      <c r="D5858" s="413"/>
      <c r="E5858" s="412">
        <f>C5844*E5857</f>
        <v>3</v>
      </c>
      <c r="F5858" s="390" t="s">
        <v>1153</v>
      </c>
      <c r="G5858" s="362"/>
      <c r="H5858" s="362"/>
      <c r="I5858" s="362"/>
      <c r="J5858" s="196"/>
      <c r="AX5858" s="117"/>
      <c r="AY5858" s="117"/>
      <c r="AZ5858" s="117"/>
      <c r="BA5858" s="117"/>
      <c r="BB5858" s="117"/>
      <c r="BC5858" s="117"/>
      <c r="BD5858" s="117"/>
    </row>
    <row r="5859" spans="1:56" ht="15">
      <c r="A5859" s="114"/>
      <c r="B5859" s="398" t="s">
        <v>1155</v>
      </c>
      <c r="C5859" s="21"/>
      <c r="D5859" s="413"/>
      <c r="E5859" s="411">
        <v>700</v>
      </c>
      <c r="F5859" s="390" t="s">
        <v>1156</v>
      </c>
      <c r="G5859" s="362"/>
      <c r="H5859" s="414"/>
      <c r="I5859" s="362"/>
      <c r="J5859" s="196"/>
      <c r="AX5859" s="117"/>
      <c r="AY5859" s="117"/>
      <c r="AZ5859" s="117"/>
      <c r="BA5859" s="117"/>
      <c r="BB5859" s="117"/>
      <c r="BC5859" s="117"/>
      <c r="BD5859" s="117"/>
    </row>
    <row r="5860" spans="1:56" ht="15">
      <c r="A5860" s="114"/>
      <c r="B5860" s="398" t="s">
        <v>1157</v>
      </c>
      <c r="C5860" s="21"/>
      <c r="D5860" s="413"/>
      <c r="E5860" s="411">
        <v>32</v>
      </c>
      <c r="F5860" s="390" t="s">
        <v>10</v>
      </c>
      <c r="G5860" s="362"/>
      <c r="H5860" s="6"/>
      <c r="I5860" s="362"/>
      <c r="J5860" s="196"/>
      <c r="AX5860" s="117"/>
      <c r="AY5860" s="117"/>
      <c r="AZ5860" s="117"/>
      <c r="BA5860" s="117"/>
      <c r="BB5860" s="117"/>
      <c r="BC5860" s="117"/>
      <c r="BD5860" s="117"/>
    </row>
    <row r="5861" spans="1:56" ht="15">
      <c r="A5861" s="114"/>
      <c r="B5861" s="398" t="s">
        <v>1158</v>
      </c>
      <c r="C5861" s="21"/>
      <c r="D5861" s="413"/>
      <c r="E5861" s="412">
        <f>E5858*E5860</f>
        <v>96</v>
      </c>
      <c r="F5861" s="390" t="s">
        <v>10</v>
      </c>
      <c r="G5861" s="362"/>
      <c r="H5861" s="362"/>
      <c r="I5861" s="362"/>
      <c r="J5861" s="362"/>
      <c r="AX5861" s="117"/>
      <c r="AY5861" s="117"/>
      <c r="AZ5861" s="117"/>
      <c r="BA5861" s="117"/>
      <c r="BB5861" s="117"/>
      <c r="BC5861" s="117"/>
      <c r="BD5861" s="117"/>
    </row>
    <row r="5862" spans="1:56" ht="15">
      <c r="A5862" s="114"/>
      <c r="B5862" s="362"/>
      <c r="C5862" s="362"/>
      <c r="D5862" s="362"/>
      <c r="E5862" s="410"/>
      <c r="F5862" s="362"/>
      <c r="G5862" s="362"/>
      <c r="H5862" s="362"/>
      <c r="I5862" s="362"/>
      <c r="J5862" s="196"/>
      <c r="AX5862" s="117"/>
      <c r="AY5862" s="117"/>
      <c r="AZ5862" s="117"/>
      <c r="BA5862" s="117"/>
      <c r="BB5862" s="117"/>
      <c r="BC5862" s="117"/>
      <c r="BD5862" s="117"/>
    </row>
    <row r="5863" spans="1:56" ht="15">
      <c r="A5863" s="114"/>
      <c r="B5863" s="303" t="s">
        <v>1160</v>
      </c>
      <c r="C5863" s="362"/>
      <c r="D5863" s="362"/>
      <c r="E5863" s="410"/>
      <c r="F5863" s="362"/>
      <c r="G5863" s="362"/>
      <c r="H5863" s="362"/>
      <c r="I5863" s="362"/>
      <c r="J5863" s="362"/>
      <c r="AX5863" s="117"/>
      <c r="AY5863" s="117"/>
      <c r="AZ5863" s="117"/>
      <c r="BA5863" s="117"/>
      <c r="BB5863" s="117"/>
      <c r="BC5863" s="117"/>
      <c r="BD5863" s="117"/>
    </row>
    <row r="5864" spans="1:56" ht="18">
      <c r="A5864" s="114"/>
      <c r="B5864" s="398" t="s">
        <v>1128</v>
      </c>
      <c r="C5864" s="172"/>
      <c r="D5864" s="173"/>
      <c r="E5864" s="402">
        <f>E5854*0.05</f>
        <v>0.43582500000000002</v>
      </c>
      <c r="F5864" s="390" t="s">
        <v>1124</v>
      </c>
      <c r="G5864" s="362"/>
      <c r="H5864" s="362"/>
      <c r="I5864" s="362"/>
      <c r="J5864" s="362"/>
      <c r="AX5864" s="117"/>
      <c r="AY5864" s="117"/>
      <c r="AZ5864" s="117"/>
      <c r="BA5864" s="117"/>
      <c r="BB5864" s="117"/>
      <c r="BC5864" s="117"/>
      <c r="BD5864" s="117"/>
    </row>
    <row r="5865" spans="1:56" ht="15">
      <c r="A5865" s="114"/>
      <c r="B5865" s="398" t="s">
        <v>1129</v>
      </c>
      <c r="C5865" s="172"/>
      <c r="D5865" s="173"/>
      <c r="E5865" s="397">
        <f>(((C5840^2+(C5841/2)^2)^0.5)*2+C5841)*C5843*C5844</f>
        <v>19.220382358712516</v>
      </c>
      <c r="F5865" s="390" t="s">
        <v>13</v>
      </c>
      <c r="G5865" s="362"/>
      <c r="H5865" s="362"/>
      <c r="I5865" s="362"/>
      <c r="J5865" s="362"/>
      <c r="AX5865" s="117"/>
      <c r="AY5865" s="117"/>
      <c r="AZ5865" s="117"/>
      <c r="BA5865" s="117"/>
      <c r="BB5865" s="117"/>
      <c r="BC5865" s="117"/>
      <c r="BD5865" s="117"/>
    </row>
    <row r="5866" spans="1:56" ht="18">
      <c r="A5866" s="114"/>
      <c r="B5866" s="398" t="s">
        <v>1130</v>
      </c>
      <c r="C5866" s="172"/>
      <c r="D5866" s="173"/>
      <c r="E5866" s="402">
        <f>((C5840*C5841)/2)*C5843*C5844</f>
        <v>11.84925</v>
      </c>
      <c r="F5866" s="390" t="s">
        <v>1124</v>
      </c>
      <c r="G5866" s="362"/>
      <c r="H5866" s="362"/>
      <c r="I5866" s="362"/>
      <c r="J5866" s="362"/>
      <c r="AX5866" s="117"/>
      <c r="AY5866" s="117"/>
      <c r="AZ5866" s="117"/>
      <c r="BA5866" s="117"/>
      <c r="BB5866" s="117"/>
      <c r="BC5866" s="117"/>
      <c r="BD5866" s="117"/>
    </row>
    <row r="5867" spans="1:56" ht="15">
      <c r="A5867" s="114"/>
      <c r="B5867" s="398" t="s">
        <v>1327</v>
      </c>
      <c r="C5867" s="172"/>
      <c r="D5867" s="173"/>
      <c r="E5867" s="493">
        <f>E5866*100</f>
        <v>1184.925</v>
      </c>
      <c r="F5867" s="390" t="s">
        <v>12</v>
      </c>
      <c r="G5867" s="362"/>
      <c r="H5867" s="362"/>
      <c r="I5867" s="362"/>
      <c r="J5867" s="362"/>
      <c r="AX5867" s="117"/>
      <c r="AY5867" s="117"/>
      <c r="AZ5867" s="117"/>
      <c r="BA5867" s="117"/>
      <c r="BB5867" s="117"/>
      <c r="BC5867" s="117"/>
      <c r="BD5867" s="117"/>
    </row>
    <row r="5868" spans="1:56">
      <c r="A5868" s="114"/>
      <c r="B5868" s="115"/>
      <c r="C5868" s="115"/>
      <c r="D5868" s="115"/>
      <c r="E5868" s="115"/>
      <c r="F5868" s="115"/>
      <c r="G5868" s="115"/>
      <c r="H5868" s="115"/>
      <c r="I5868" s="115"/>
      <c r="J5868" s="415"/>
      <c r="AX5868" s="117"/>
      <c r="AY5868" s="117"/>
      <c r="AZ5868" s="117"/>
      <c r="BA5868" s="117"/>
      <c r="BB5868" s="117"/>
      <c r="BC5868" s="117"/>
      <c r="BD5868" s="117"/>
    </row>
    <row r="5869" spans="1:56">
      <c r="A5869" s="114"/>
      <c r="B5869" s="115"/>
      <c r="C5869" s="115"/>
      <c r="D5869" s="115"/>
      <c r="E5869" s="115"/>
      <c r="F5869" s="115"/>
      <c r="G5869" s="115"/>
      <c r="H5869" s="115"/>
      <c r="I5869" s="115"/>
      <c r="J5869" s="362"/>
      <c r="AX5869" s="117"/>
      <c r="AY5869" s="117"/>
      <c r="AZ5869" s="117"/>
      <c r="BA5869" s="117"/>
      <c r="BB5869" s="117"/>
      <c r="BC5869" s="117"/>
      <c r="BD5869" s="117"/>
    </row>
    <row r="5870" spans="1:56">
      <c r="A5870"/>
      <c r="B5870" s="385" t="s">
        <v>1273</v>
      </c>
      <c r="C5870" s="362"/>
      <c r="D5870" s="362"/>
      <c r="E5870" s="362"/>
      <c r="F5870" s="362"/>
      <c r="G5870" s="115"/>
      <c r="H5870" s="115"/>
      <c r="I5870" s="362"/>
      <c r="J5870" s="362"/>
      <c r="AX5870" s="117"/>
      <c r="AY5870" s="117"/>
      <c r="AZ5870" s="117"/>
      <c r="BA5870" s="117"/>
      <c r="BB5870" s="117"/>
      <c r="BC5870" s="117"/>
      <c r="BD5870" s="117"/>
    </row>
    <row r="5871" spans="1:56" ht="15">
      <c r="A5871" s="114"/>
      <c r="B5871" s="362"/>
      <c r="C5871" s="362"/>
      <c r="D5871" s="362"/>
      <c r="E5871" s="362"/>
      <c r="F5871" s="404"/>
      <c r="G5871" s="196"/>
      <c r="H5871" s="196"/>
      <c r="I5871" s="404"/>
      <c r="J5871" s="362"/>
      <c r="AX5871" s="117"/>
      <c r="AY5871" s="117"/>
      <c r="AZ5871" s="117"/>
      <c r="BA5871" s="117"/>
      <c r="BB5871" s="117"/>
      <c r="BC5871" s="117"/>
      <c r="BD5871" s="117"/>
    </row>
    <row r="5872" spans="1:56" ht="18">
      <c r="A5872" s="114"/>
      <c r="B5872" s="388" t="s">
        <v>1141</v>
      </c>
      <c r="C5872" s="389">
        <v>0.75</v>
      </c>
      <c r="D5872" s="390" t="s">
        <v>10</v>
      </c>
      <c r="E5872" s="196"/>
      <c r="F5872" s="405"/>
      <c r="G5872" s="196"/>
      <c r="H5872" s="196"/>
      <c r="I5872" s="405" t="s">
        <v>1143</v>
      </c>
      <c r="J5872" s="362"/>
      <c r="AX5872" s="117"/>
      <c r="AY5872" s="117"/>
      <c r="AZ5872" s="117"/>
      <c r="BA5872" s="117"/>
      <c r="BB5872" s="117"/>
      <c r="BC5872" s="117"/>
      <c r="BD5872" s="117"/>
    </row>
    <row r="5873" spans="1:56" ht="15">
      <c r="A5873" s="114"/>
      <c r="B5873" s="388" t="s">
        <v>1144</v>
      </c>
      <c r="C5873" s="389">
        <v>0.75</v>
      </c>
      <c r="D5873" s="390" t="s">
        <v>10</v>
      </c>
      <c r="E5873" s="196"/>
      <c r="F5873" s="405"/>
      <c r="G5873" s="362"/>
      <c r="H5873" s="362"/>
      <c r="I5873" s="405"/>
      <c r="J5873" s="362"/>
      <c r="AX5873" s="117"/>
      <c r="AY5873" s="117"/>
      <c r="AZ5873" s="117"/>
      <c r="BA5873" s="117"/>
      <c r="BB5873" s="117"/>
      <c r="BC5873" s="117"/>
      <c r="BD5873" s="117"/>
    </row>
    <row r="5874" spans="1:56" ht="15">
      <c r="A5874" s="114"/>
      <c r="B5874" s="388" t="s">
        <v>1145</v>
      </c>
      <c r="C5874" s="389">
        <v>4.8</v>
      </c>
      <c r="D5874" s="390" t="s">
        <v>10</v>
      </c>
      <c r="E5874" s="196"/>
      <c r="F5874" s="405"/>
      <c r="G5874" s="404"/>
      <c r="H5874" s="404"/>
      <c r="I5874" s="405"/>
      <c r="J5874" s="362"/>
      <c r="AX5874" s="117"/>
      <c r="AY5874" s="117"/>
      <c r="AZ5874" s="117"/>
      <c r="BA5874" s="117"/>
      <c r="BB5874" s="117"/>
      <c r="BC5874" s="117"/>
      <c r="BD5874" s="117"/>
    </row>
    <row r="5875" spans="1:56" ht="18">
      <c r="A5875" s="114"/>
      <c r="B5875" s="388" t="s">
        <v>1146</v>
      </c>
      <c r="C5875" s="389">
        <v>3</v>
      </c>
      <c r="D5875" s="390" t="s">
        <v>10</v>
      </c>
      <c r="E5875" s="196"/>
      <c r="F5875" s="405"/>
      <c r="G5875" s="406" t="s">
        <v>1142</v>
      </c>
      <c r="H5875" s="407">
        <f>C5872*C5873</f>
        <v>0.5625</v>
      </c>
      <c r="I5875" s="405" t="s">
        <v>1143</v>
      </c>
      <c r="J5875" s="362"/>
      <c r="AX5875" s="117"/>
      <c r="AY5875" s="117"/>
      <c r="AZ5875" s="117"/>
      <c r="BA5875" s="117"/>
      <c r="BB5875" s="117"/>
      <c r="BC5875" s="117"/>
      <c r="BD5875" s="117"/>
    </row>
    <row r="5876" spans="1:56" ht="18">
      <c r="A5876" s="114"/>
      <c r="B5876" s="388" t="s">
        <v>1112</v>
      </c>
      <c r="C5876" s="389">
        <v>0.55000000000000004</v>
      </c>
      <c r="D5876" s="390" t="s">
        <v>10</v>
      </c>
      <c r="E5876" s="196"/>
      <c r="F5876" s="405"/>
      <c r="G5876" s="406" t="e">
        <f>TEXT(C5880,"tg 0°=")</f>
        <v>#VALUE!</v>
      </c>
      <c r="H5876" s="408">
        <f>TAN(3.14159265359*C5880/180)</f>
        <v>1.732050807569153</v>
      </c>
      <c r="I5876" s="405" t="s">
        <v>1143</v>
      </c>
      <c r="J5876" s="114"/>
      <c r="AW5876" s="117"/>
      <c r="AX5876" s="117"/>
      <c r="AY5876" s="117"/>
      <c r="AZ5876" s="117"/>
      <c r="BA5876" s="117"/>
      <c r="BB5876" s="117"/>
      <c r="BC5876" s="117"/>
      <c r="BD5876" s="117"/>
    </row>
    <row r="5877" spans="1:56" ht="15">
      <c r="A5877" s="114"/>
      <c r="B5877" s="388" t="s">
        <v>1113</v>
      </c>
      <c r="C5877" s="389">
        <v>3</v>
      </c>
      <c r="D5877" s="390" t="s">
        <v>10</v>
      </c>
      <c r="E5877" s="196"/>
      <c r="F5877" s="405"/>
      <c r="G5877" s="406"/>
      <c r="H5877" s="407"/>
      <c r="I5877" s="405"/>
      <c r="J5877" s="114"/>
      <c r="AW5877" s="117"/>
      <c r="AX5877" s="117"/>
      <c r="AY5877" s="117"/>
      <c r="AZ5877" s="117"/>
      <c r="BA5877" s="117"/>
      <c r="BB5877" s="117"/>
      <c r="BC5877" s="117"/>
      <c r="BD5877" s="117"/>
    </row>
    <row r="5878" spans="1:56" ht="15">
      <c r="A5878" s="114"/>
      <c r="B5878" s="388" t="s">
        <v>1117</v>
      </c>
      <c r="C5878" s="391">
        <v>1</v>
      </c>
      <c r="D5878" s="390" t="s">
        <v>1118</v>
      </c>
      <c r="E5878" s="196"/>
      <c r="F5878" s="405"/>
      <c r="G5878" s="406" t="s">
        <v>1142</v>
      </c>
      <c r="H5878" s="409">
        <f>(C5874+2*C5882+((C5876+C5877+0.05)/H5876)*2)*(C5875+2*C5882+((C5876+C5877+0.05)/H5876)*2)</f>
        <v>81.217834994008001</v>
      </c>
      <c r="I5878" s="405"/>
      <c r="J5878" s="114"/>
      <c r="AW5878" s="117"/>
      <c r="AX5878" s="117"/>
      <c r="AY5878" s="117"/>
      <c r="AZ5878" s="117"/>
      <c r="BA5878" s="117"/>
      <c r="BB5878" s="117"/>
      <c r="BC5878" s="117"/>
      <c r="BD5878" s="117"/>
    </row>
    <row r="5879" spans="1:56" customFormat="1" ht="15">
      <c r="A5879" s="114"/>
      <c r="B5879" s="196" t="s">
        <v>1148</v>
      </c>
      <c r="C5879" s="393"/>
      <c r="D5879" s="196"/>
      <c r="E5879" s="196"/>
      <c r="F5879" s="405"/>
      <c r="G5879" s="406" t="s">
        <v>1147</v>
      </c>
      <c r="H5879" s="409">
        <f>(C5874+2*C5882)*(C5875+2*C5882)</f>
        <v>23.2</v>
      </c>
      <c r="I5879" s="405"/>
      <c r="J5879" s="362"/>
    </row>
    <row r="5880" spans="1:56" ht="15">
      <c r="A5880" s="114"/>
      <c r="B5880" s="388" t="s">
        <v>1149</v>
      </c>
      <c r="C5880" s="389">
        <v>60</v>
      </c>
      <c r="D5880" s="390" t="s">
        <v>1150</v>
      </c>
      <c r="E5880" s="196"/>
      <c r="F5880" s="196"/>
      <c r="G5880" s="406"/>
      <c r="H5880" s="407"/>
      <c r="I5880" s="196"/>
      <c r="J5880" s="404"/>
      <c r="AX5880" s="117"/>
      <c r="AY5880" s="117"/>
      <c r="AZ5880" s="117"/>
      <c r="BA5880" s="117"/>
      <c r="BB5880" s="117"/>
      <c r="BC5880" s="117"/>
      <c r="BD5880" s="117"/>
    </row>
    <row r="5881" spans="1:56" ht="15">
      <c r="A5881" s="114"/>
      <c r="B5881" s="362"/>
      <c r="C5881" s="196"/>
      <c r="D5881" s="196"/>
      <c r="E5881" s="196"/>
      <c r="F5881" s="196"/>
      <c r="G5881" s="406"/>
      <c r="H5881" s="407"/>
      <c r="I5881" s="362"/>
      <c r="J5881" s="405"/>
      <c r="AX5881" s="117"/>
      <c r="AY5881" s="117"/>
      <c r="AZ5881" s="117"/>
      <c r="BA5881" s="117"/>
      <c r="BB5881" s="117"/>
      <c r="BC5881" s="117"/>
      <c r="BD5881" s="117"/>
    </row>
    <row r="5882" spans="1:56" ht="15">
      <c r="A5882" s="114"/>
      <c r="B5882" s="388" t="s">
        <v>1114</v>
      </c>
      <c r="C5882" s="389">
        <v>0.5</v>
      </c>
      <c r="D5882" s="390" t="s">
        <v>10</v>
      </c>
      <c r="E5882" s="288" t="s">
        <v>1120</v>
      </c>
      <c r="F5882" s="196"/>
      <c r="G5882" s="406"/>
      <c r="H5882" s="407"/>
      <c r="I5882" s="114"/>
      <c r="J5882" s="405"/>
      <c r="AX5882" s="117"/>
      <c r="AY5882" s="117"/>
      <c r="AZ5882" s="117"/>
      <c r="BA5882" s="117"/>
      <c r="BB5882" s="117"/>
      <c r="BC5882" s="117"/>
      <c r="BD5882" s="117"/>
    </row>
    <row r="5883" spans="1:56" ht="15">
      <c r="A5883" s="114"/>
      <c r="B5883" s="388" t="s">
        <v>1114</v>
      </c>
      <c r="C5883" s="389">
        <v>0.1</v>
      </c>
      <c r="D5883" s="390" t="s">
        <v>10</v>
      </c>
      <c r="E5883" s="288" t="s">
        <v>1121</v>
      </c>
      <c r="F5883" s="196"/>
      <c r="G5883" s="392"/>
      <c r="H5883" s="393"/>
      <c r="I5883" s="196"/>
      <c r="J5883" s="405"/>
      <c r="AX5883" s="117"/>
      <c r="AY5883" s="117"/>
      <c r="AZ5883" s="117"/>
      <c r="BA5883" s="117"/>
      <c r="BB5883" s="117"/>
      <c r="BC5883" s="117"/>
      <c r="BD5883" s="117"/>
    </row>
    <row r="5884" spans="1:56" ht="15">
      <c r="A5884" s="114"/>
      <c r="B5884" s="362"/>
      <c r="C5884" s="362"/>
      <c r="D5884" s="362"/>
      <c r="E5884" s="362"/>
      <c r="F5884" s="362"/>
      <c r="G5884" s="362"/>
      <c r="H5884" s="362"/>
      <c r="I5884" s="196"/>
      <c r="J5884" s="405"/>
      <c r="AX5884" s="117"/>
      <c r="AY5884" s="117"/>
      <c r="AZ5884" s="117"/>
      <c r="BA5884" s="117"/>
      <c r="BB5884" s="117"/>
      <c r="BC5884" s="117"/>
      <c r="BD5884" s="117"/>
    </row>
    <row r="5885" spans="1:56" ht="15">
      <c r="A5885" s="114"/>
      <c r="B5885" s="303" t="s">
        <v>1122</v>
      </c>
      <c r="C5885" s="362"/>
      <c r="D5885" s="362"/>
      <c r="E5885" s="362"/>
      <c r="F5885" s="362"/>
      <c r="G5885" s="196" t="s">
        <v>1131</v>
      </c>
      <c r="H5885" s="114"/>
      <c r="I5885" s="196"/>
      <c r="J5885" s="405"/>
      <c r="AX5885" s="117"/>
      <c r="AY5885" s="117"/>
      <c r="AZ5885" s="117"/>
      <c r="BA5885" s="117"/>
      <c r="BB5885" s="117"/>
      <c r="BC5885" s="117"/>
      <c r="BD5885" s="117"/>
    </row>
    <row r="5886" spans="1:56" ht="18">
      <c r="A5886" s="114"/>
      <c r="B5886" s="398" t="s">
        <v>1123</v>
      </c>
      <c r="C5886" s="172"/>
      <c r="D5886" s="173"/>
      <c r="E5886" s="397">
        <f>C5878*((H5879+H5878)/2)*(C5876+C5877+0.05)</f>
        <v>187.95210298921438</v>
      </c>
      <c r="F5886" s="390" t="s">
        <v>1124</v>
      </c>
      <c r="G5886" s="196"/>
      <c r="H5886" s="196"/>
      <c r="I5886" s="362"/>
      <c r="J5886" s="405"/>
      <c r="AX5886" s="117"/>
      <c r="AY5886" s="117"/>
      <c r="AZ5886" s="117"/>
      <c r="BA5886" s="117"/>
      <c r="BB5886" s="117"/>
      <c r="BC5886" s="117"/>
      <c r="BD5886" s="117"/>
    </row>
    <row r="5887" spans="1:56" ht="18">
      <c r="A5887" s="114"/>
      <c r="B5887" s="398" t="s">
        <v>1125</v>
      </c>
      <c r="C5887" s="172"/>
      <c r="D5887" s="173"/>
      <c r="E5887" s="400">
        <f>E5886-C5878*(C5874*C5875*C5877+C5874*C5875*0.05+C5872*C5873*C5876)</f>
        <v>143.72272798921438</v>
      </c>
      <c r="F5887" s="390" t="s">
        <v>1124</v>
      </c>
      <c r="G5887" s="196"/>
      <c r="H5887" s="196"/>
      <c r="I5887" s="196"/>
      <c r="J5887" s="405"/>
      <c r="AX5887" s="117"/>
      <c r="AY5887" s="117"/>
      <c r="AZ5887" s="117"/>
      <c r="BA5887" s="117"/>
      <c r="BB5887" s="117"/>
      <c r="BC5887" s="117"/>
      <c r="BD5887" s="117"/>
    </row>
    <row r="5888" spans="1:56" ht="15">
      <c r="A5888" s="114"/>
      <c r="B5888" s="398" t="s">
        <v>1126</v>
      </c>
      <c r="C5888" s="172"/>
      <c r="D5888" s="173"/>
      <c r="E5888" s="400">
        <f>((C5874+2*C5883)*(C5875+2*C5883))*C5878</f>
        <v>16</v>
      </c>
      <c r="F5888" s="390" t="s">
        <v>13</v>
      </c>
      <c r="G5888" s="362"/>
      <c r="H5888" s="362"/>
      <c r="I5888" s="362"/>
      <c r="J5888" s="405"/>
      <c r="AX5888" s="117"/>
      <c r="AY5888" s="117"/>
      <c r="AZ5888" s="117"/>
      <c r="BA5888" s="117"/>
      <c r="BB5888" s="117"/>
      <c r="BC5888" s="117"/>
      <c r="BD5888" s="117"/>
    </row>
    <row r="5889" spans="1:56" ht="15">
      <c r="A5889" s="114"/>
      <c r="B5889" s="362"/>
      <c r="C5889" s="362"/>
      <c r="D5889" s="362"/>
      <c r="E5889" s="401"/>
      <c r="F5889" s="196"/>
      <c r="G5889" s="362"/>
      <c r="H5889" s="362"/>
      <c r="I5889" s="362"/>
      <c r="J5889" s="196"/>
      <c r="AX5889" s="117"/>
      <c r="AY5889" s="117"/>
      <c r="AZ5889" s="117"/>
      <c r="BA5889" s="117"/>
      <c r="BB5889" s="117"/>
      <c r="BC5889" s="117"/>
      <c r="BD5889" s="117"/>
    </row>
    <row r="5890" spans="1:56" ht="15">
      <c r="A5890" s="114"/>
      <c r="B5890" s="303" t="s">
        <v>1162</v>
      </c>
      <c r="C5890" s="362"/>
      <c r="D5890" s="362"/>
      <c r="E5890" s="410"/>
      <c r="F5890" s="362"/>
      <c r="G5890" s="362"/>
      <c r="H5890" s="362"/>
      <c r="I5890" s="362"/>
      <c r="J5890" s="196"/>
      <c r="AX5890" s="117"/>
      <c r="AY5890" s="117"/>
      <c r="AZ5890" s="117"/>
      <c r="BA5890" s="117"/>
      <c r="BB5890" s="117"/>
      <c r="BC5890" s="117"/>
      <c r="BD5890" s="117"/>
    </row>
    <row r="5891" spans="1:56" ht="15">
      <c r="A5891" s="114"/>
      <c r="B5891" s="398" t="s">
        <v>1152</v>
      </c>
      <c r="C5891" s="398"/>
      <c r="D5891" s="366"/>
      <c r="E5891" s="411">
        <v>6</v>
      </c>
      <c r="F5891" s="390" t="s">
        <v>1153</v>
      </c>
      <c r="G5891" s="362"/>
      <c r="H5891" s="362"/>
      <c r="I5891" s="362"/>
      <c r="J5891" s="196"/>
      <c r="AX5891" s="117"/>
      <c r="AY5891" s="117"/>
      <c r="AZ5891" s="117"/>
      <c r="BA5891" s="117"/>
      <c r="BB5891" s="117"/>
      <c r="BC5891" s="117"/>
      <c r="BD5891" s="117"/>
    </row>
    <row r="5892" spans="1:56" ht="15">
      <c r="A5892" s="114"/>
      <c r="B5892" s="399" t="s">
        <v>1154</v>
      </c>
      <c r="C5892" s="31"/>
      <c r="D5892" s="32"/>
      <c r="E5892" s="412">
        <f>C5878*E5891</f>
        <v>6</v>
      </c>
      <c r="F5892" s="390" t="s">
        <v>1153</v>
      </c>
      <c r="G5892" s="362"/>
      <c r="H5892" s="362"/>
      <c r="I5892" s="362"/>
      <c r="J5892" s="196"/>
      <c r="AX5892" s="117"/>
      <c r="AY5892" s="117"/>
      <c r="AZ5892" s="117"/>
      <c r="BA5892" s="117"/>
      <c r="BB5892" s="117"/>
      <c r="BC5892" s="117"/>
      <c r="BD5892" s="117"/>
    </row>
    <row r="5893" spans="1:56" ht="15">
      <c r="A5893" s="114"/>
      <c r="B5893" s="398" t="s">
        <v>1155</v>
      </c>
      <c r="C5893" s="21"/>
      <c r="D5893" s="413"/>
      <c r="E5893" s="411">
        <v>600</v>
      </c>
      <c r="F5893" s="390" t="s">
        <v>1156</v>
      </c>
      <c r="G5893" s="362"/>
      <c r="H5893" s="414"/>
      <c r="I5893" s="362"/>
      <c r="J5893" s="196"/>
      <c r="AX5893" s="117"/>
      <c r="AY5893" s="117"/>
      <c r="AZ5893" s="117"/>
      <c r="BA5893" s="117"/>
      <c r="BB5893" s="117"/>
      <c r="BC5893" s="117"/>
      <c r="BD5893" s="117"/>
    </row>
    <row r="5894" spans="1:56" ht="15">
      <c r="A5894" s="114"/>
      <c r="B5894" s="398" t="s">
        <v>1157</v>
      </c>
      <c r="C5894" s="21"/>
      <c r="D5894" s="413"/>
      <c r="E5894" s="418">
        <v>31</v>
      </c>
      <c r="F5894" s="390" t="s">
        <v>10</v>
      </c>
      <c r="G5894" s="362"/>
      <c r="H5894" s="6"/>
      <c r="I5894" s="362"/>
      <c r="J5894" s="196"/>
      <c r="AX5894" s="117"/>
      <c r="AY5894" s="117"/>
      <c r="AZ5894" s="117"/>
      <c r="BA5894" s="117"/>
      <c r="BB5894" s="117"/>
      <c r="BC5894" s="117"/>
      <c r="BD5894" s="117"/>
    </row>
    <row r="5895" spans="1:56" ht="15">
      <c r="A5895" s="114"/>
      <c r="B5895" s="398" t="s">
        <v>1158</v>
      </c>
      <c r="C5895" s="21"/>
      <c r="D5895" s="413"/>
      <c r="E5895" s="412">
        <f>E5892*E5894</f>
        <v>186</v>
      </c>
      <c r="F5895" s="390" t="s">
        <v>10</v>
      </c>
      <c r="G5895" s="362"/>
      <c r="H5895" s="362"/>
      <c r="I5895" s="362"/>
      <c r="J5895" s="362"/>
      <c r="AX5895" s="117"/>
      <c r="AY5895" s="117"/>
      <c r="AZ5895" s="117"/>
      <c r="BA5895" s="117"/>
      <c r="BB5895" s="117"/>
      <c r="BC5895" s="117"/>
      <c r="BD5895" s="117"/>
    </row>
    <row r="5896" spans="1:56" ht="15">
      <c r="A5896" s="114"/>
      <c r="B5896" s="362"/>
      <c r="C5896" s="362"/>
      <c r="D5896" s="362"/>
      <c r="E5896" s="410"/>
      <c r="F5896" s="362"/>
      <c r="G5896" s="362"/>
      <c r="H5896" s="362"/>
      <c r="I5896" s="362"/>
      <c r="J5896" s="196"/>
      <c r="AX5896" s="117"/>
      <c r="AY5896" s="117"/>
      <c r="AZ5896" s="117"/>
      <c r="BA5896" s="117"/>
      <c r="BB5896" s="117"/>
      <c r="BC5896" s="117"/>
      <c r="BD5896" s="117"/>
    </row>
    <row r="5897" spans="1:56" ht="15">
      <c r="A5897" s="114"/>
      <c r="B5897" s="303" t="s">
        <v>1160</v>
      </c>
      <c r="C5897" s="362"/>
      <c r="D5897" s="362"/>
      <c r="E5897" s="410"/>
      <c r="F5897" s="362"/>
      <c r="G5897" s="362"/>
      <c r="H5897" s="362"/>
      <c r="I5897" s="362"/>
      <c r="J5897" s="362"/>
      <c r="AX5897" s="117"/>
      <c r="AY5897" s="117"/>
      <c r="AZ5897" s="117"/>
      <c r="BA5897" s="117"/>
      <c r="BB5897" s="117"/>
      <c r="BC5897" s="117"/>
      <c r="BD5897" s="117"/>
    </row>
    <row r="5898" spans="1:56" ht="18">
      <c r="A5898" s="114"/>
      <c r="B5898" s="398" t="s">
        <v>1128</v>
      </c>
      <c r="C5898" s="172"/>
      <c r="D5898" s="173"/>
      <c r="E5898" s="402">
        <f>E5888*0.05</f>
        <v>0.8</v>
      </c>
      <c r="F5898" s="390" t="s">
        <v>1124</v>
      </c>
      <c r="G5898" s="362"/>
      <c r="H5898" s="362"/>
      <c r="I5898" s="362"/>
      <c r="J5898" s="362"/>
      <c r="AX5898" s="117"/>
      <c r="AY5898" s="117"/>
      <c r="AZ5898" s="117"/>
      <c r="BA5898" s="117"/>
      <c r="BB5898" s="117"/>
      <c r="BC5898" s="117"/>
      <c r="BD5898" s="117"/>
    </row>
    <row r="5899" spans="1:56" ht="15">
      <c r="A5899" s="114"/>
      <c r="B5899" s="398" t="s">
        <v>1129</v>
      </c>
      <c r="C5899" s="172"/>
      <c r="D5899" s="173"/>
      <c r="E5899" s="397">
        <f>(2*(C5874+C5875)*C5877)*C5878</f>
        <v>46.8</v>
      </c>
      <c r="F5899" s="390" t="s">
        <v>13</v>
      </c>
      <c r="G5899" s="362"/>
      <c r="H5899" s="362"/>
      <c r="I5899" s="362"/>
      <c r="J5899" s="362"/>
      <c r="AX5899" s="117"/>
      <c r="AY5899" s="117"/>
      <c r="AZ5899" s="117"/>
      <c r="BA5899" s="117"/>
      <c r="BB5899" s="117"/>
      <c r="BC5899" s="117"/>
      <c r="BD5899" s="117"/>
    </row>
    <row r="5900" spans="1:56" ht="18">
      <c r="A5900" s="114"/>
      <c r="B5900" s="398" t="s">
        <v>1130</v>
      </c>
      <c r="C5900" s="172"/>
      <c r="D5900" s="173"/>
      <c r="E5900" s="402">
        <f>(C5874*C5875*C5877)*C5878</f>
        <v>43.199999999999996</v>
      </c>
      <c r="F5900" s="390" t="s">
        <v>1124</v>
      </c>
      <c r="G5900" s="362"/>
      <c r="H5900" s="362"/>
      <c r="I5900" s="362"/>
      <c r="J5900" s="362"/>
      <c r="AX5900" s="117"/>
      <c r="AY5900" s="117"/>
      <c r="AZ5900" s="117"/>
      <c r="BA5900" s="117"/>
      <c r="BB5900" s="117"/>
      <c r="BC5900" s="117"/>
      <c r="BD5900" s="117"/>
    </row>
    <row r="5901" spans="1:56">
      <c r="A5901" s="114"/>
      <c r="B5901" s="115"/>
      <c r="C5901" s="115"/>
      <c r="D5901" s="115"/>
      <c r="E5901" s="115"/>
      <c r="F5901" s="115"/>
      <c r="G5901" s="115"/>
      <c r="H5901" s="115"/>
      <c r="I5901" s="115"/>
      <c r="J5901" s="362"/>
      <c r="AX5901" s="117"/>
      <c r="AY5901" s="117"/>
      <c r="AZ5901" s="117"/>
      <c r="BA5901" s="117"/>
      <c r="BB5901" s="117"/>
      <c r="BC5901" s="117"/>
      <c r="BD5901" s="117"/>
    </row>
    <row r="5902" spans="1:56">
      <c r="A5902" s="114"/>
      <c r="B5902" s="115"/>
      <c r="C5902" s="115"/>
      <c r="D5902" s="115"/>
      <c r="E5902" s="115"/>
      <c r="F5902" s="115"/>
      <c r="G5902" s="115"/>
      <c r="H5902" s="115"/>
      <c r="I5902" s="115"/>
      <c r="J5902" s="415"/>
      <c r="AX5902" s="117"/>
      <c r="AY5902" s="117"/>
      <c r="AZ5902" s="117"/>
      <c r="BA5902" s="117"/>
      <c r="BB5902" s="117"/>
      <c r="BC5902" s="117"/>
      <c r="BD5902" s="117"/>
    </row>
    <row r="5903" spans="1:56">
      <c r="A5903" s="114"/>
      <c r="B5903" s="115"/>
      <c r="C5903" s="115"/>
      <c r="D5903" s="115"/>
      <c r="E5903" s="115"/>
      <c r="F5903" s="115"/>
      <c r="G5903" s="115"/>
      <c r="H5903" s="115"/>
      <c r="I5903" s="115"/>
      <c r="J5903" s="362"/>
      <c r="AX5903" s="117"/>
      <c r="AY5903" s="117"/>
      <c r="AZ5903" s="117"/>
      <c r="BA5903" s="117"/>
      <c r="BB5903" s="117"/>
      <c r="BC5903" s="117"/>
      <c r="BD5903" s="117"/>
    </row>
    <row r="5904" spans="1:56">
      <c r="A5904"/>
      <c r="B5904" s="385" t="s">
        <v>1331</v>
      </c>
      <c r="C5904" s="362"/>
      <c r="D5904" s="362"/>
      <c r="E5904" s="362"/>
      <c r="F5904" s="362"/>
      <c r="G5904" s="115"/>
      <c r="H5904" s="115"/>
      <c r="I5904" s="362"/>
      <c r="J5904" s="362"/>
      <c r="AX5904" s="117"/>
      <c r="AY5904" s="117"/>
      <c r="AZ5904" s="117"/>
      <c r="BA5904" s="117"/>
      <c r="BB5904" s="117"/>
      <c r="BC5904" s="117"/>
      <c r="BD5904" s="117"/>
    </row>
    <row r="5905" spans="1:56" ht="15">
      <c r="A5905" s="114"/>
      <c r="B5905" s="362"/>
      <c r="C5905" s="362"/>
      <c r="D5905" s="362"/>
      <c r="E5905" s="362"/>
      <c r="F5905" s="404"/>
      <c r="G5905" s="196"/>
      <c r="H5905" s="196"/>
      <c r="I5905" s="404"/>
      <c r="J5905" s="362"/>
      <c r="AX5905" s="117"/>
      <c r="AY5905" s="117"/>
      <c r="AZ5905" s="117"/>
      <c r="BA5905" s="117"/>
      <c r="BB5905" s="117"/>
      <c r="BC5905" s="117"/>
      <c r="BD5905" s="117"/>
    </row>
    <row r="5906" spans="1:56" ht="15.75" customHeight="1">
      <c r="A5906" s="114"/>
      <c r="B5906" s="388" t="s">
        <v>1141</v>
      </c>
      <c r="C5906" s="389">
        <v>0.75</v>
      </c>
      <c r="D5906" s="390" t="s">
        <v>10</v>
      </c>
      <c r="E5906" s="196"/>
      <c r="F5906" s="405"/>
      <c r="G5906" s="196"/>
      <c r="H5906" s="196"/>
      <c r="I5906" s="405" t="s">
        <v>1143</v>
      </c>
      <c r="J5906" s="362"/>
      <c r="AX5906" s="117"/>
      <c r="AY5906" s="117"/>
      <c r="AZ5906" s="117"/>
      <c r="BA5906" s="117"/>
      <c r="BB5906" s="117"/>
      <c r="BC5906" s="117"/>
      <c r="BD5906" s="117"/>
    </row>
    <row r="5907" spans="1:56" ht="15.75" customHeight="1">
      <c r="A5907" s="114"/>
      <c r="B5907" s="388" t="s">
        <v>1144</v>
      </c>
      <c r="C5907" s="389">
        <v>0.75</v>
      </c>
      <c r="D5907" s="390" t="s">
        <v>10</v>
      </c>
      <c r="E5907" s="196"/>
      <c r="F5907" s="405"/>
      <c r="G5907" s="362"/>
      <c r="H5907" s="362"/>
      <c r="I5907" s="405"/>
      <c r="J5907" s="362"/>
      <c r="AX5907" s="117"/>
      <c r="AY5907" s="117"/>
      <c r="AZ5907" s="117"/>
      <c r="BA5907" s="117"/>
      <c r="BB5907" s="117"/>
      <c r="BC5907" s="117"/>
      <c r="BD5907" s="117"/>
    </row>
    <row r="5908" spans="1:56" ht="16.5" customHeight="1">
      <c r="A5908" s="114"/>
      <c r="B5908" s="388" t="s">
        <v>1145</v>
      </c>
      <c r="C5908" s="389">
        <v>4</v>
      </c>
      <c r="D5908" s="390" t="s">
        <v>10</v>
      </c>
      <c r="E5908" s="196"/>
      <c r="F5908" s="405"/>
      <c r="G5908" s="404"/>
      <c r="H5908" s="404"/>
      <c r="I5908" s="405"/>
      <c r="J5908" s="362"/>
      <c r="AX5908" s="117"/>
      <c r="AY5908" s="117"/>
      <c r="AZ5908" s="117"/>
      <c r="BA5908" s="117"/>
      <c r="BB5908" s="117"/>
      <c r="BC5908" s="117"/>
      <c r="BD5908" s="117"/>
    </row>
    <row r="5909" spans="1:56" ht="15" customHeight="1">
      <c r="A5909" s="114"/>
      <c r="B5909" s="388" t="s">
        <v>1146</v>
      </c>
      <c r="C5909" s="389">
        <v>4</v>
      </c>
      <c r="D5909" s="390" t="s">
        <v>10</v>
      </c>
      <c r="E5909" s="196"/>
      <c r="F5909" s="405"/>
      <c r="G5909" s="406" t="s">
        <v>1142</v>
      </c>
      <c r="H5909" s="407">
        <f>C5906*C5907</f>
        <v>0.5625</v>
      </c>
      <c r="I5909" s="405" t="s">
        <v>1143</v>
      </c>
      <c r="J5909" s="362"/>
      <c r="AX5909" s="117"/>
      <c r="AY5909" s="117"/>
      <c r="AZ5909" s="117"/>
      <c r="BA5909" s="117"/>
      <c r="BB5909" s="117"/>
      <c r="BC5909" s="117"/>
      <c r="BD5909" s="117"/>
    </row>
    <row r="5910" spans="1:56" ht="18">
      <c r="A5910" s="114"/>
      <c r="B5910" s="388" t="s">
        <v>1112</v>
      </c>
      <c r="C5910" s="389">
        <v>0.55000000000000004</v>
      </c>
      <c r="D5910" s="390" t="s">
        <v>10</v>
      </c>
      <c r="E5910" s="196"/>
      <c r="F5910" s="405"/>
      <c r="G5910" s="406" t="e">
        <f>TEXT(C5914,"tg 0°=")</f>
        <v>#VALUE!</v>
      </c>
      <c r="H5910" s="408">
        <f>TAN(3.14159265359*C5914/180)</f>
        <v>1.732050807569153</v>
      </c>
      <c r="I5910" s="405" t="s">
        <v>1143</v>
      </c>
      <c r="J5910" s="114"/>
      <c r="AW5910" s="117"/>
      <c r="AX5910" s="117"/>
      <c r="AY5910" s="117"/>
      <c r="AZ5910" s="117"/>
      <c r="BA5910" s="117"/>
      <c r="BB5910" s="117"/>
      <c r="BC5910" s="117"/>
      <c r="BD5910" s="117"/>
    </row>
    <row r="5911" spans="1:56" ht="15">
      <c r="A5911" s="114"/>
      <c r="B5911" s="388" t="s">
        <v>1113</v>
      </c>
      <c r="C5911" s="389">
        <v>1.5</v>
      </c>
      <c r="D5911" s="390" t="s">
        <v>10</v>
      </c>
      <c r="E5911" s="196"/>
      <c r="F5911" s="405"/>
      <c r="G5911" s="406"/>
      <c r="H5911" s="407"/>
      <c r="I5911" s="405"/>
      <c r="J5911" s="114"/>
      <c r="AW5911" s="117"/>
      <c r="AX5911" s="117"/>
      <c r="AY5911" s="117"/>
      <c r="AZ5911" s="117"/>
      <c r="BA5911" s="117"/>
      <c r="BB5911" s="117"/>
      <c r="BC5911" s="117"/>
      <c r="BD5911" s="117"/>
    </row>
    <row r="5912" spans="1:56" ht="15">
      <c r="A5912" s="114"/>
      <c r="B5912" s="388" t="s">
        <v>1117</v>
      </c>
      <c r="C5912" s="391">
        <v>26</v>
      </c>
      <c r="D5912" s="390" t="s">
        <v>1118</v>
      </c>
      <c r="E5912" s="196"/>
      <c r="F5912" s="405"/>
      <c r="G5912" s="406" t="s">
        <v>1142</v>
      </c>
      <c r="H5912" s="409">
        <f>(C5908+2*C5916+((C5910+C5911+0.05)/H5910)*2)*(C5909+2*C5916+((C5910+C5911+0.05)/H5910)*2)</f>
        <v>55.128711305958547</v>
      </c>
      <c r="I5912" s="405"/>
      <c r="J5912" s="114"/>
      <c r="AW5912" s="117"/>
      <c r="AX5912" s="117"/>
      <c r="AY5912" s="117"/>
      <c r="AZ5912" s="117"/>
      <c r="BA5912" s="117"/>
      <c r="BB5912" s="117"/>
      <c r="BC5912" s="117"/>
      <c r="BD5912" s="117"/>
    </row>
    <row r="5913" spans="1:56" customFormat="1" ht="15">
      <c r="A5913" s="114"/>
      <c r="B5913" s="196" t="s">
        <v>1148</v>
      </c>
      <c r="C5913" s="393"/>
      <c r="D5913" s="196"/>
      <c r="E5913" s="196"/>
      <c r="F5913" s="405"/>
      <c r="G5913" s="406" t="s">
        <v>1147</v>
      </c>
      <c r="H5913" s="409">
        <f>(C5908+2*C5916)*(C5909+2*C5916)</f>
        <v>25</v>
      </c>
      <c r="I5913" s="405"/>
      <c r="J5913" s="362"/>
    </row>
    <row r="5914" spans="1:56" ht="15">
      <c r="A5914" s="114"/>
      <c r="B5914" s="388" t="s">
        <v>1149</v>
      </c>
      <c r="C5914" s="389">
        <v>60</v>
      </c>
      <c r="D5914" s="390" t="s">
        <v>1150</v>
      </c>
      <c r="E5914" s="196"/>
      <c r="F5914" s="196"/>
      <c r="G5914" s="406"/>
      <c r="H5914" s="407"/>
      <c r="I5914" s="196"/>
      <c r="J5914" s="404"/>
      <c r="AX5914" s="117"/>
      <c r="AY5914" s="117"/>
      <c r="AZ5914" s="117"/>
      <c r="BA5914" s="117"/>
      <c r="BB5914" s="117"/>
      <c r="BC5914" s="117"/>
      <c r="BD5914" s="117"/>
    </row>
    <row r="5915" spans="1:56" ht="15">
      <c r="A5915" s="114"/>
      <c r="B5915" s="362"/>
      <c r="C5915" s="196"/>
      <c r="D5915" s="196"/>
      <c r="E5915" s="196"/>
      <c r="F5915" s="196"/>
      <c r="G5915" s="406"/>
      <c r="H5915" s="407"/>
      <c r="I5915" s="362"/>
      <c r="J5915" s="405"/>
      <c r="AX5915" s="117"/>
      <c r="AY5915" s="117"/>
      <c r="AZ5915" s="117"/>
      <c r="BA5915" s="117"/>
      <c r="BB5915" s="117"/>
      <c r="BC5915" s="117"/>
      <c r="BD5915" s="117"/>
    </row>
    <row r="5916" spans="1:56" ht="15">
      <c r="A5916" s="114"/>
      <c r="B5916" s="388" t="s">
        <v>1114</v>
      </c>
      <c r="C5916" s="389">
        <v>0.5</v>
      </c>
      <c r="D5916" s="390" t="s">
        <v>10</v>
      </c>
      <c r="E5916" s="288" t="s">
        <v>1120</v>
      </c>
      <c r="F5916" s="196"/>
      <c r="G5916" s="406"/>
      <c r="H5916" s="407"/>
      <c r="I5916" s="114"/>
      <c r="J5916" s="405"/>
      <c r="AX5916" s="117"/>
      <c r="AY5916" s="117"/>
      <c r="AZ5916" s="117"/>
      <c r="BA5916" s="117"/>
      <c r="BB5916" s="117"/>
      <c r="BC5916" s="117"/>
      <c r="BD5916" s="117"/>
    </row>
    <row r="5917" spans="1:56" ht="15">
      <c r="A5917" s="114"/>
      <c r="B5917" s="388" t="s">
        <v>1114</v>
      </c>
      <c r="C5917" s="389">
        <v>0.1</v>
      </c>
      <c r="D5917" s="390" t="s">
        <v>10</v>
      </c>
      <c r="E5917" s="288" t="s">
        <v>1121</v>
      </c>
      <c r="F5917" s="196"/>
      <c r="G5917" s="392"/>
      <c r="H5917" s="393"/>
      <c r="I5917" s="196"/>
      <c r="J5917" s="405"/>
      <c r="AX5917" s="117"/>
      <c r="AY5917" s="117"/>
      <c r="AZ5917" s="117"/>
      <c r="BA5917" s="117"/>
      <c r="BB5917" s="117"/>
      <c r="BC5917" s="117"/>
      <c r="BD5917" s="117"/>
    </row>
    <row r="5918" spans="1:56" ht="15">
      <c r="A5918" s="114"/>
      <c r="B5918" s="362"/>
      <c r="C5918" s="362"/>
      <c r="D5918" s="362"/>
      <c r="E5918" s="362"/>
      <c r="F5918" s="362"/>
      <c r="G5918" s="362"/>
      <c r="H5918" s="362"/>
      <c r="I5918" s="196"/>
      <c r="J5918" s="405"/>
      <c r="AX5918" s="117"/>
      <c r="AY5918" s="117"/>
      <c r="AZ5918" s="117"/>
      <c r="BA5918" s="117"/>
      <c r="BB5918" s="117"/>
      <c r="BC5918" s="117"/>
      <c r="BD5918" s="117"/>
    </row>
    <row r="5919" spans="1:56" ht="15">
      <c r="A5919" s="114"/>
      <c r="B5919" s="303" t="s">
        <v>1122</v>
      </c>
      <c r="C5919" s="362"/>
      <c r="D5919" s="362"/>
      <c r="E5919" s="362"/>
      <c r="F5919" s="362"/>
      <c r="G5919" s="196" t="s">
        <v>1131</v>
      </c>
      <c r="H5919" s="114"/>
      <c r="I5919" s="196"/>
      <c r="J5919" s="405"/>
      <c r="AX5919" s="117"/>
      <c r="AY5919" s="117"/>
      <c r="AZ5919" s="117"/>
      <c r="BA5919" s="117"/>
      <c r="BB5919" s="117"/>
      <c r="BC5919" s="117"/>
      <c r="BD5919" s="117"/>
    </row>
    <row r="5920" spans="1:56" ht="18">
      <c r="A5920" s="114"/>
      <c r="B5920" s="398" t="s">
        <v>1123</v>
      </c>
      <c r="C5920" s="172"/>
      <c r="D5920" s="173"/>
      <c r="E5920" s="397">
        <f>C5912*((H5913+H5912)/2)*(C5910+C5911+0.05)</f>
        <v>2187.5138186526679</v>
      </c>
      <c r="F5920" s="390" t="s">
        <v>1124</v>
      </c>
      <c r="G5920" s="196"/>
      <c r="H5920" s="196"/>
      <c r="I5920" s="362"/>
      <c r="J5920" s="405"/>
      <c r="AX5920" s="117"/>
      <c r="AY5920" s="117"/>
      <c r="AZ5920" s="117"/>
      <c r="BA5920" s="117"/>
      <c r="BB5920" s="117"/>
      <c r="BC5920" s="117"/>
      <c r="BD5920" s="117"/>
    </row>
    <row r="5921" spans="1:56" ht="18">
      <c r="A5921" s="114"/>
      <c r="B5921" s="398" t="s">
        <v>1125</v>
      </c>
      <c r="C5921" s="172"/>
      <c r="D5921" s="173"/>
      <c r="E5921" s="400">
        <f>E5920-C5912*(C5908*C5909*C5911+C5908*C5909*0.05+C5906*C5907*C5910)</f>
        <v>1534.6700686526679</v>
      </c>
      <c r="F5921" s="390" t="s">
        <v>1124</v>
      </c>
      <c r="G5921" s="196"/>
      <c r="H5921" s="196"/>
      <c r="I5921" s="196"/>
      <c r="J5921" s="405"/>
      <c r="AX5921" s="117"/>
      <c r="AY5921" s="117"/>
      <c r="AZ5921" s="117"/>
      <c r="BA5921" s="117"/>
      <c r="BB5921" s="117"/>
      <c r="BC5921" s="117"/>
      <c r="BD5921" s="117"/>
    </row>
    <row r="5922" spans="1:56" ht="15">
      <c r="A5922" s="114"/>
      <c r="B5922" s="398" t="s">
        <v>1126</v>
      </c>
      <c r="C5922" s="172"/>
      <c r="D5922" s="173"/>
      <c r="E5922" s="400">
        <f>((C5908+2*C5917)*(C5909+2*C5917))*C5912</f>
        <v>458.64</v>
      </c>
      <c r="F5922" s="390" t="s">
        <v>13</v>
      </c>
      <c r="G5922" s="362"/>
      <c r="H5922" s="362"/>
      <c r="I5922" s="362"/>
      <c r="J5922" s="196"/>
      <c r="AX5922" s="117"/>
      <c r="AY5922" s="117"/>
      <c r="AZ5922" s="117"/>
      <c r="BA5922" s="117"/>
      <c r="BB5922" s="117"/>
      <c r="BC5922" s="117"/>
      <c r="BD5922" s="117"/>
    </row>
    <row r="5923" spans="1:56" ht="15">
      <c r="A5923" s="114"/>
      <c r="B5923" s="362"/>
      <c r="C5923" s="362"/>
      <c r="D5923" s="362"/>
      <c r="E5923" s="401"/>
      <c r="F5923" s="196"/>
      <c r="G5923" s="362"/>
      <c r="H5923" s="362"/>
      <c r="I5923" s="362"/>
      <c r="J5923" s="196"/>
      <c r="AX5923" s="117"/>
      <c r="AY5923" s="117"/>
      <c r="AZ5923" s="117"/>
      <c r="BA5923" s="117"/>
      <c r="BB5923" s="117"/>
      <c r="BC5923" s="117"/>
      <c r="BD5923" s="117"/>
    </row>
    <row r="5924" spans="1:56" ht="15">
      <c r="A5924" s="114"/>
      <c r="B5924" s="303" t="s">
        <v>1162</v>
      </c>
      <c r="C5924" s="362"/>
      <c r="D5924" s="362"/>
      <c r="E5924" s="410"/>
      <c r="F5924" s="362"/>
      <c r="G5924" s="362"/>
      <c r="H5924" s="362"/>
      <c r="I5924" s="362"/>
      <c r="J5924" s="196"/>
      <c r="AX5924" s="117"/>
      <c r="AY5924" s="117"/>
      <c r="AZ5924" s="117"/>
      <c r="BA5924" s="117"/>
      <c r="BB5924" s="117"/>
      <c r="BC5924" s="117"/>
      <c r="BD5924" s="117"/>
    </row>
    <row r="5925" spans="1:56" ht="15">
      <c r="A5925" s="114"/>
      <c r="B5925" s="398" t="s">
        <v>1152</v>
      </c>
      <c r="C5925" s="398"/>
      <c r="D5925" s="366"/>
      <c r="E5925" s="411">
        <v>4</v>
      </c>
      <c r="F5925" s="390" t="s">
        <v>1153</v>
      </c>
      <c r="G5925" s="362"/>
      <c r="H5925" s="362"/>
      <c r="I5925" s="362"/>
      <c r="J5925" s="196"/>
      <c r="AX5925" s="117"/>
      <c r="AY5925" s="117"/>
      <c r="AZ5925" s="117"/>
      <c r="BA5925" s="117"/>
      <c r="BB5925" s="117"/>
      <c r="BC5925" s="117"/>
      <c r="BD5925" s="117"/>
    </row>
    <row r="5926" spans="1:56" ht="15">
      <c r="A5926" s="114"/>
      <c r="B5926" s="399" t="s">
        <v>1154</v>
      </c>
      <c r="C5926" s="31"/>
      <c r="D5926" s="32"/>
      <c r="E5926" s="412">
        <f>C5912*E5925</f>
        <v>104</v>
      </c>
      <c r="F5926" s="390" t="s">
        <v>1153</v>
      </c>
      <c r="G5926" s="362"/>
      <c r="H5926" s="362"/>
      <c r="I5926" s="362"/>
      <c r="J5926" s="196"/>
      <c r="AX5926" s="117"/>
      <c r="AY5926" s="117"/>
      <c r="AZ5926" s="117"/>
      <c r="BA5926" s="117"/>
      <c r="BB5926" s="117"/>
      <c r="BC5926" s="117"/>
      <c r="BD5926" s="117"/>
    </row>
    <row r="5927" spans="1:56" ht="15">
      <c r="A5927" s="114"/>
      <c r="B5927" s="398" t="s">
        <v>1155</v>
      </c>
      <c r="C5927" s="21"/>
      <c r="D5927" s="413"/>
      <c r="E5927" s="411">
        <v>700</v>
      </c>
      <c r="F5927" s="390" t="s">
        <v>1156</v>
      </c>
      <c r="G5927" s="362"/>
      <c r="H5927" s="414"/>
      <c r="I5927" s="362"/>
      <c r="J5927" s="196"/>
      <c r="AX5927" s="117"/>
      <c r="AY5927" s="117"/>
      <c r="AZ5927" s="117"/>
      <c r="BA5927" s="117"/>
      <c r="BB5927" s="117"/>
      <c r="BC5927" s="117"/>
      <c r="BD5927" s="117"/>
    </row>
    <row r="5928" spans="1:56" ht="15">
      <c r="A5928" s="114"/>
      <c r="B5928" s="398" t="s">
        <v>1157</v>
      </c>
      <c r="C5928" s="21"/>
      <c r="D5928" s="413"/>
      <c r="E5928" s="418">
        <v>32</v>
      </c>
      <c r="F5928" s="390" t="s">
        <v>10</v>
      </c>
      <c r="G5928" s="362"/>
      <c r="H5928" s="6"/>
      <c r="I5928" s="362"/>
      <c r="J5928" s="362"/>
      <c r="AX5928" s="117"/>
      <c r="AY5928" s="117"/>
      <c r="AZ5928" s="117"/>
      <c r="BA5928" s="117"/>
      <c r="BB5928" s="117"/>
      <c r="BC5928" s="117"/>
      <c r="BD5928" s="117"/>
    </row>
    <row r="5929" spans="1:56" ht="15">
      <c r="A5929" s="114"/>
      <c r="B5929" s="398" t="s">
        <v>1158</v>
      </c>
      <c r="C5929" s="21"/>
      <c r="D5929" s="413"/>
      <c r="E5929" s="412">
        <f>E5926*E5928</f>
        <v>3328</v>
      </c>
      <c r="F5929" s="390" t="s">
        <v>10</v>
      </c>
      <c r="G5929" s="362"/>
      <c r="H5929" s="362"/>
      <c r="I5929" s="362"/>
      <c r="J5929" s="196"/>
      <c r="AX5929" s="117"/>
      <c r="AY5929" s="117"/>
      <c r="AZ5929" s="117"/>
      <c r="BA5929" s="117"/>
      <c r="BB5929" s="117"/>
      <c r="BC5929" s="117"/>
      <c r="BD5929" s="117"/>
    </row>
    <row r="5930" spans="1:56" ht="15">
      <c r="A5930" s="114"/>
      <c r="B5930" s="362"/>
      <c r="C5930" s="362"/>
      <c r="D5930" s="362"/>
      <c r="E5930" s="410"/>
      <c r="F5930" s="362"/>
      <c r="G5930" s="362"/>
      <c r="H5930" s="362"/>
      <c r="I5930" s="362"/>
      <c r="J5930" s="362"/>
      <c r="AX5930" s="117"/>
      <c r="AY5930" s="117"/>
      <c r="AZ5930" s="117"/>
      <c r="BA5930" s="117"/>
      <c r="BB5930" s="117"/>
      <c r="BC5930" s="117"/>
      <c r="BD5930" s="117"/>
    </row>
    <row r="5931" spans="1:56" ht="15">
      <c r="A5931" s="114"/>
      <c r="B5931" s="303" t="s">
        <v>1160</v>
      </c>
      <c r="C5931" s="362"/>
      <c r="D5931" s="362"/>
      <c r="E5931" s="410"/>
      <c r="F5931" s="362"/>
      <c r="G5931" s="362"/>
      <c r="H5931" s="362"/>
      <c r="I5931" s="362"/>
      <c r="J5931" s="362"/>
      <c r="AX5931" s="117"/>
      <c r="AY5931" s="117"/>
      <c r="AZ5931" s="117"/>
      <c r="BA5931" s="117"/>
      <c r="BB5931" s="117"/>
      <c r="BC5931" s="117"/>
      <c r="BD5931" s="117"/>
    </row>
    <row r="5932" spans="1:56" ht="18">
      <c r="A5932" s="114"/>
      <c r="B5932" s="398" t="s">
        <v>1128</v>
      </c>
      <c r="C5932" s="172"/>
      <c r="D5932" s="173"/>
      <c r="E5932" s="402">
        <f>E5922*0.05</f>
        <v>22.932000000000002</v>
      </c>
      <c r="F5932" s="390" t="s">
        <v>1124</v>
      </c>
      <c r="G5932" s="362"/>
      <c r="H5932" s="362"/>
      <c r="I5932" s="362"/>
      <c r="J5932" s="362"/>
      <c r="AX5932" s="117"/>
      <c r="AY5932" s="117"/>
      <c r="AZ5932" s="117"/>
      <c r="BA5932" s="117"/>
      <c r="BB5932" s="117"/>
      <c r="BC5932" s="117"/>
      <c r="BD5932" s="117"/>
    </row>
    <row r="5933" spans="1:56" ht="15">
      <c r="A5933" s="114"/>
      <c r="B5933" s="398" t="s">
        <v>1129</v>
      </c>
      <c r="C5933" s="172"/>
      <c r="D5933" s="173"/>
      <c r="E5933" s="397">
        <f>(2*(C5908+C5909)*C5911)*C5912</f>
        <v>624</v>
      </c>
      <c r="F5933" s="390" t="s">
        <v>13</v>
      </c>
      <c r="G5933" s="362"/>
      <c r="H5933" s="362"/>
      <c r="I5933" s="362"/>
      <c r="J5933" s="362"/>
      <c r="AX5933" s="117"/>
      <c r="AY5933" s="117"/>
      <c r="AZ5933" s="117"/>
      <c r="BA5933" s="117"/>
      <c r="BB5933" s="117"/>
      <c r="BC5933" s="117"/>
      <c r="BD5933" s="117"/>
    </row>
    <row r="5934" spans="1:56" ht="18">
      <c r="A5934" s="114"/>
      <c r="B5934" s="398" t="s">
        <v>1130</v>
      </c>
      <c r="C5934" s="172"/>
      <c r="D5934" s="173"/>
      <c r="E5934" s="402">
        <f>(C5908*C5909*C5911)*C5912</f>
        <v>624</v>
      </c>
      <c r="F5934" s="390" t="s">
        <v>1124</v>
      </c>
      <c r="G5934" s="362"/>
      <c r="H5934" s="362"/>
      <c r="I5934" s="362"/>
      <c r="J5934" s="362"/>
      <c r="AX5934" s="117"/>
      <c r="AY5934" s="117"/>
      <c r="AZ5934" s="117"/>
      <c r="BA5934" s="117"/>
      <c r="BB5934" s="117"/>
      <c r="BC5934" s="117"/>
      <c r="BD5934" s="117"/>
    </row>
    <row r="5935" spans="1:56">
      <c r="A5935" s="114"/>
      <c r="B5935" s="115"/>
      <c r="C5935" s="115"/>
      <c r="D5935" s="115"/>
      <c r="E5935" s="115"/>
      <c r="F5935" s="115"/>
      <c r="G5935" s="115"/>
      <c r="H5935" s="115"/>
      <c r="I5935" s="115"/>
      <c r="J5935" s="415"/>
      <c r="AX5935" s="117"/>
      <c r="AY5935" s="117"/>
      <c r="AZ5935" s="117"/>
      <c r="BA5935" s="117"/>
      <c r="BB5935" s="117"/>
      <c r="BC5935" s="117"/>
      <c r="BD5935" s="117"/>
    </row>
    <row r="5936" spans="1:56">
      <c r="A5936" s="114"/>
      <c r="B5936" s="115"/>
      <c r="C5936" s="115"/>
      <c r="D5936" s="115"/>
      <c r="E5936" s="115"/>
      <c r="F5936" s="115"/>
      <c r="G5936" s="115"/>
      <c r="H5936" s="115"/>
      <c r="I5936" s="115"/>
      <c r="J5936" s="362"/>
      <c r="AX5936" s="117"/>
      <c r="AY5936" s="117"/>
      <c r="AZ5936" s="117"/>
      <c r="BA5936" s="117"/>
      <c r="BB5936" s="117"/>
      <c r="BC5936" s="117"/>
      <c r="BD5936" s="117"/>
    </row>
    <row r="5937" spans="1:56">
      <c r="A5937" s="114"/>
      <c r="B5937" s="115"/>
      <c r="C5937" s="115"/>
      <c r="D5937" s="115"/>
      <c r="E5937" s="115"/>
      <c r="F5937" s="115"/>
      <c r="G5937" s="115"/>
      <c r="H5937" s="115"/>
      <c r="I5937" s="115"/>
      <c r="J5937" s="362"/>
      <c r="AX5937" s="117"/>
      <c r="AY5937" s="117"/>
      <c r="AZ5937" s="117"/>
      <c r="BA5937" s="117"/>
      <c r="BB5937" s="117"/>
      <c r="BC5937" s="117"/>
      <c r="BD5937" s="117"/>
    </row>
    <row r="5938" spans="1:56">
      <c r="A5938"/>
      <c r="B5938" s="385" t="s">
        <v>1332</v>
      </c>
      <c r="C5938" s="362"/>
      <c r="D5938" s="362"/>
      <c r="E5938" s="362"/>
      <c r="F5938" s="362"/>
      <c r="G5938" s="115"/>
      <c r="H5938" s="115"/>
      <c r="I5938" s="362"/>
      <c r="J5938" s="362"/>
      <c r="AX5938" s="117"/>
      <c r="AY5938" s="117"/>
      <c r="AZ5938" s="117"/>
      <c r="BA5938" s="117"/>
      <c r="BB5938" s="117"/>
      <c r="BC5938" s="117"/>
      <c r="BD5938" s="117"/>
    </row>
    <row r="5939" spans="1:56" ht="15">
      <c r="A5939" s="114"/>
      <c r="B5939" s="362"/>
      <c r="C5939" s="362"/>
      <c r="D5939" s="362"/>
      <c r="E5939" s="362"/>
      <c r="F5939" s="404"/>
      <c r="G5939" s="196"/>
      <c r="H5939" s="196"/>
      <c r="I5939" s="404"/>
      <c r="J5939" s="362"/>
      <c r="AX5939" s="117"/>
      <c r="AY5939" s="117"/>
      <c r="AZ5939" s="117"/>
      <c r="BA5939" s="117"/>
      <c r="BB5939" s="117"/>
      <c r="BC5939" s="117"/>
      <c r="BD5939" s="117"/>
    </row>
    <row r="5940" spans="1:56" ht="18">
      <c r="A5940" s="114"/>
      <c r="B5940" s="388" t="s">
        <v>1141</v>
      </c>
      <c r="C5940" s="389">
        <v>0.75</v>
      </c>
      <c r="D5940" s="390" t="s">
        <v>10</v>
      </c>
      <c r="E5940" s="196"/>
      <c r="F5940" s="405"/>
      <c r="G5940" s="196"/>
      <c r="H5940" s="196"/>
      <c r="I5940" s="405" t="s">
        <v>1143</v>
      </c>
      <c r="J5940" s="362"/>
      <c r="AX5940" s="117"/>
      <c r="AY5940" s="117"/>
      <c r="AZ5940" s="117"/>
      <c r="BA5940" s="117"/>
      <c r="BB5940" s="117"/>
      <c r="BC5940" s="117"/>
      <c r="BD5940" s="117"/>
    </row>
    <row r="5941" spans="1:56" ht="15">
      <c r="A5941" s="114"/>
      <c r="B5941" s="388" t="s">
        <v>1144</v>
      </c>
      <c r="C5941" s="389">
        <v>0.75</v>
      </c>
      <c r="D5941" s="390" t="s">
        <v>10</v>
      </c>
      <c r="E5941" s="196"/>
      <c r="F5941" s="405"/>
      <c r="G5941" s="362"/>
      <c r="H5941" s="362"/>
      <c r="I5941" s="405"/>
      <c r="J5941" s="362"/>
      <c r="AX5941" s="117"/>
      <c r="AY5941" s="117"/>
      <c r="AZ5941" s="117"/>
      <c r="BA5941" s="117"/>
      <c r="BB5941" s="117"/>
      <c r="BC5941" s="117"/>
      <c r="BD5941" s="117"/>
    </row>
    <row r="5942" spans="1:56" ht="15">
      <c r="A5942" s="114"/>
      <c r="B5942" s="388" t="s">
        <v>1145</v>
      </c>
      <c r="C5942" s="389">
        <v>4</v>
      </c>
      <c r="D5942" s="390" t="s">
        <v>10</v>
      </c>
      <c r="E5942" s="196"/>
      <c r="F5942" s="405"/>
      <c r="G5942" s="404"/>
      <c r="H5942" s="404"/>
      <c r="I5942" s="405"/>
      <c r="J5942" s="362"/>
      <c r="AX5942" s="117"/>
      <c r="AY5942" s="117"/>
      <c r="AZ5942" s="117"/>
      <c r="BA5942" s="117"/>
      <c r="BB5942" s="117"/>
      <c r="BC5942" s="117"/>
      <c r="BD5942" s="117"/>
    </row>
    <row r="5943" spans="1:56" ht="18">
      <c r="A5943" s="114"/>
      <c r="B5943" s="388" t="s">
        <v>1146</v>
      </c>
      <c r="C5943" s="389">
        <v>4</v>
      </c>
      <c r="D5943" s="390" t="s">
        <v>10</v>
      </c>
      <c r="E5943" s="196"/>
      <c r="F5943" s="405"/>
      <c r="G5943" s="406" t="s">
        <v>1142</v>
      </c>
      <c r="H5943" s="407">
        <f>C5940*C5941</f>
        <v>0.5625</v>
      </c>
      <c r="I5943" s="405" t="s">
        <v>1143</v>
      </c>
      <c r="J5943" s="114"/>
      <c r="AW5943" s="117"/>
      <c r="AX5943" s="117"/>
      <c r="AY5943" s="117"/>
      <c r="AZ5943" s="117"/>
      <c r="BA5943" s="117"/>
      <c r="BB5943" s="117"/>
      <c r="BC5943" s="117"/>
      <c r="BD5943" s="117"/>
    </row>
    <row r="5944" spans="1:56" ht="18">
      <c r="A5944" s="114"/>
      <c r="B5944" s="388" t="s">
        <v>1112</v>
      </c>
      <c r="C5944" s="389">
        <v>1.3</v>
      </c>
      <c r="D5944" s="390" t="s">
        <v>10</v>
      </c>
      <c r="E5944" s="196"/>
      <c r="F5944" s="405"/>
      <c r="G5944" s="406" t="e">
        <f>TEXT(C5948,"tg 0°=")</f>
        <v>#VALUE!</v>
      </c>
      <c r="H5944" s="408">
        <f>TAN(3.14159265359*C5948/180)</f>
        <v>1.732050807569153</v>
      </c>
      <c r="I5944" s="405" t="s">
        <v>1143</v>
      </c>
      <c r="J5944" s="114"/>
      <c r="AW5944" s="117"/>
      <c r="AX5944" s="117"/>
      <c r="AY5944" s="117"/>
      <c r="AZ5944" s="117"/>
      <c r="BA5944" s="117"/>
      <c r="BB5944" s="117"/>
      <c r="BC5944" s="117"/>
      <c r="BD5944" s="117"/>
    </row>
    <row r="5945" spans="1:56" ht="15">
      <c r="A5945" s="114"/>
      <c r="B5945" s="388" t="s">
        <v>1113</v>
      </c>
      <c r="C5945" s="389">
        <v>1.5</v>
      </c>
      <c r="D5945" s="390" t="s">
        <v>10</v>
      </c>
      <c r="E5945" s="196"/>
      <c r="F5945" s="405"/>
      <c r="G5945" s="406"/>
      <c r="H5945" s="407"/>
      <c r="I5945" s="405"/>
      <c r="J5945" s="114"/>
      <c r="AW5945" s="117"/>
      <c r="AX5945" s="117"/>
      <c r="AY5945" s="117"/>
      <c r="AZ5945" s="117"/>
      <c r="BA5945" s="117"/>
      <c r="BB5945" s="117"/>
      <c r="BC5945" s="117"/>
      <c r="BD5945" s="117"/>
    </row>
    <row r="5946" spans="1:56" customFormat="1" ht="15">
      <c r="A5946" s="114"/>
      <c r="B5946" s="388" t="s">
        <v>1117</v>
      </c>
      <c r="C5946" s="391">
        <v>1</v>
      </c>
      <c r="D5946" s="390" t="s">
        <v>1118</v>
      </c>
      <c r="E5946" s="196"/>
      <c r="F5946" s="405"/>
      <c r="G5946" s="406" t="s">
        <v>1142</v>
      </c>
      <c r="H5946" s="409">
        <f>(C5942+2*C5950+((C5944+C5945+0.05)/H5944)*2)*(C5943+2*C5950+((C5944+C5945+0.05)/H5944)*2)</f>
        <v>68.738965343799975</v>
      </c>
      <c r="I5946" s="405"/>
      <c r="J5946" s="362"/>
    </row>
    <row r="5947" spans="1:56" ht="15">
      <c r="A5947" s="114"/>
      <c r="B5947" s="196" t="s">
        <v>1148</v>
      </c>
      <c r="C5947" s="393"/>
      <c r="D5947" s="196"/>
      <c r="E5947" s="196"/>
      <c r="F5947" s="405"/>
      <c r="G5947" s="406" t="s">
        <v>1147</v>
      </c>
      <c r="H5947" s="409">
        <f>(C5942+2*C5950)*(C5943+2*C5950)</f>
        <v>25</v>
      </c>
      <c r="I5947" s="405"/>
      <c r="J5947" s="404"/>
      <c r="AX5947" s="117"/>
      <c r="AY5947" s="117"/>
      <c r="AZ5947" s="117"/>
      <c r="BA5947" s="117"/>
      <c r="BB5947" s="117"/>
      <c r="BC5947" s="117"/>
      <c r="BD5947" s="117"/>
    </row>
    <row r="5948" spans="1:56" ht="15">
      <c r="A5948" s="114"/>
      <c r="B5948" s="388" t="s">
        <v>1149</v>
      </c>
      <c r="C5948" s="389">
        <v>60</v>
      </c>
      <c r="D5948" s="390" t="s">
        <v>1150</v>
      </c>
      <c r="E5948" s="196"/>
      <c r="F5948" s="196"/>
      <c r="G5948" s="406"/>
      <c r="H5948" s="407"/>
      <c r="I5948" s="196"/>
      <c r="J5948" s="405"/>
      <c r="AX5948" s="117"/>
      <c r="AY5948" s="117"/>
      <c r="AZ5948" s="117"/>
      <c r="BA5948" s="117"/>
      <c r="BB5948" s="117"/>
      <c r="BC5948" s="117"/>
      <c r="BD5948" s="117"/>
    </row>
    <row r="5949" spans="1:56" ht="15">
      <c r="A5949" s="114"/>
      <c r="B5949" s="362"/>
      <c r="C5949" s="196"/>
      <c r="D5949" s="196"/>
      <c r="E5949" s="196"/>
      <c r="F5949" s="196"/>
      <c r="G5949" s="406"/>
      <c r="H5949" s="407"/>
      <c r="I5949" s="362"/>
      <c r="J5949" s="405"/>
      <c r="AX5949" s="117"/>
      <c r="AY5949" s="117"/>
      <c r="AZ5949" s="117"/>
      <c r="BA5949" s="117"/>
      <c r="BB5949" s="117"/>
      <c r="BC5949" s="117"/>
      <c r="BD5949" s="117"/>
    </row>
    <row r="5950" spans="1:56" ht="15">
      <c r="A5950" s="114"/>
      <c r="B5950" s="388" t="s">
        <v>1114</v>
      </c>
      <c r="C5950" s="389">
        <v>0.5</v>
      </c>
      <c r="D5950" s="390" t="s">
        <v>10</v>
      </c>
      <c r="E5950" s="288" t="s">
        <v>1120</v>
      </c>
      <c r="F5950" s="196"/>
      <c r="G5950" s="406"/>
      <c r="H5950" s="407"/>
      <c r="I5950" s="114"/>
      <c r="J5950" s="405"/>
      <c r="AX5950" s="117"/>
      <c r="AY5950" s="117"/>
      <c r="AZ5950" s="117"/>
      <c r="BA5950" s="117"/>
      <c r="BB5950" s="117"/>
      <c r="BC5950" s="117"/>
      <c r="BD5950" s="117"/>
    </row>
    <row r="5951" spans="1:56" ht="15">
      <c r="A5951" s="114"/>
      <c r="B5951" s="388" t="s">
        <v>1114</v>
      </c>
      <c r="C5951" s="389">
        <v>0.1</v>
      </c>
      <c r="D5951" s="390" t="s">
        <v>10</v>
      </c>
      <c r="E5951" s="288" t="s">
        <v>1121</v>
      </c>
      <c r="F5951" s="196"/>
      <c r="G5951" s="392"/>
      <c r="H5951" s="393"/>
      <c r="I5951" s="196"/>
      <c r="J5951" s="405"/>
      <c r="AX5951" s="117"/>
      <c r="AY5951" s="117"/>
      <c r="AZ5951" s="117"/>
      <c r="BA5951" s="117"/>
      <c r="BB5951" s="117"/>
      <c r="BC5951" s="117"/>
      <c r="BD5951" s="117"/>
    </row>
    <row r="5952" spans="1:56" ht="15">
      <c r="A5952" s="114"/>
      <c r="B5952" s="362"/>
      <c r="C5952" s="362"/>
      <c r="D5952" s="362"/>
      <c r="E5952" s="362"/>
      <c r="F5952" s="362"/>
      <c r="G5952" s="362"/>
      <c r="H5952" s="362"/>
      <c r="I5952" s="196"/>
      <c r="J5952" s="405"/>
      <c r="AX5952" s="117"/>
      <c r="AY5952" s="117"/>
      <c r="AZ5952" s="117"/>
      <c r="BA5952" s="117"/>
      <c r="BB5952" s="117"/>
      <c r="BC5952" s="117"/>
      <c r="BD5952" s="117"/>
    </row>
    <row r="5953" spans="1:56" ht="15">
      <c r="A5953" s="114"/>
      <c r="B5953" s="303" t="s">
        <v>1122</v>
      </c>
      <c r="C5953" s="362"/>
      <c r="D5953" s="362"/>
      <c r="E5953" s="362"/>
      <c r="F5953" s="362"/>
      <c r="G5953" s="196" t="s">
        <v>1131</v>
      </c>
      <c r="H5953" s="114"/>
      <c r="I5953" s="196"/>
      <c r="J5953" s="405"/>
      <c r="AX5953" s="117"/>
      <c r="AY5953" s="117"/>
      <c r="AZ5953" s="117"/>
      <c r="BA5953" s="117"/>
      <c r="BB5953" s="117"/>
      <c r="BC5953" s="117"/>
      <c r="BD5953" s="117"/>
    </row>
    <row r="5954" spans="1:56" ht="18">
      <c r="A5954" s="114"/>
      <c r="B5954" s="398" t="s">
        <v>1123</v>
      </c>
      <c r="C5954" s="172"/>
      <c r="D5954" s="173"/>
      <c r="E5954" s="397">
        <f>C5946*((H5947+H5946)/2)*(C5944+C5945+0.05)</f>
        <v>133.57802561491494</v>
      </c>
      <c r="F5954" s="390" t="s">
        <v>1124</v>
      </c>
      <c r="G5954" s="196"/>
      <c r="H5954" s="196"/>
      <c r="I5954" s="362"/>
      <c r="J5954" s="405"/>
      <c r="AX5954" s="117"/>
      <c r="AY5954" s="117"/>
      <c r="AZ5954" s="117"/>
      <c r="BA5954" s="117"/>
      <c r="BB5954" s="117"/>
      <c r="BC5954" s="117"/>
      <c r="BD5954" s="117"/>
    </row>
    <row r="5955" spans="1:56" ht="18">
      <c r="A5955" s="114"/>
      <c r="B5955" s="398" t="s">
        <v>1125</v>
      </c>
      <c r="C5955" s="172"/>
      <c r="D5955" s="173"/>
      <c r="E5955" s="400">
        <f>E5954-C5946*(C5942*C5943*C5945+C5942*C5943*0.05+C5940*C5941*C5944)</f>
        <v>108.04677561491494</v>
      </c>
      <c r="F5955" s="390" t="s">
        <v>1124</v>
      </c>
      <c r="G5955" s="196"/>
      <c r="H5955" s="196"/>
      <c r="I5955" s="196"/>
      <c r="J5955" s="196"/>
      <c r="AX5955" s="117"/>
      <c r="AY5955" s="117"/>
      <c r="AZ5955" s="117"/>
      <c r="BA5955" s="117"/>
      <c r="BB5955" s="117"/>
      <c r="BC5955" s="117"/>
      <c r="BD5955" s="117"/>
    </row>
    <row r="5956" spans="1:56" ht="15">
      <c r="A5956" s="114"/>
      <c r="B5956" s="398" t="s">
        <v>1126</v>
      </c>
      <c r="C5956" s="172"/>
      <c r="D5956" s="173"/>
      <c r="E5956" s="400">
        <f>((C5942+2*C5951)*(C5943+2*C5951))*C5946</f>
        <v>17.64</v>
      </c>
      <c r="F5956" s="390" t="s">
        <v>13</v>
      </c>
      <c r="G5956" s="362"/>
      <c r="H5956" s="362"/>
      <c r="I5956" s="362"/>
      <c r="J5956" s="196"/>
      <c r="AX5956" s="117"/>
      <c r="AY5956" s="117"/>
      <c r="AZ5956" s="117"/>
      <c r="BA5956" s="117"/>
      <c r="BB5956" s="117"/>
      <c r="BC5956" s="117"/>
      <c r="BD5956" s="117"/>
    </row>
    <row r="5957" spans="1:56" ht="15">
      <c r="A5957" s="114"/>
      <c r="B5957" s="362"/>
      <c r="C5957" s="362"/>
      <c r="D5957" s="362"/>
      <c r="E5957" s="401"/>
      <c r="F5957" s="196"/>
      <c r="G5957" s="362"/>
      <c r="H5957" s="362"/>
      <c r="I5957" s="362"/>
      <c r="J5957" s="196"/>
      <c r="AX5957" s="117"/>
      <c r="AY5957" s="117"/>
      <c r="AZ5957" s="117"/>
      <c r="BA5957" s="117"/>
      <c r="BB5957" s="117"/>
      <c r="BC5957" s="117"/>
      <c r="BD5957" s="117"/>
    </row>
    <row r="5958" spans="1:56" ht="15">
      <c r="A5958" s="114"/>
      <c r="B5958" s="303" t="s">
        <v>1162</v>
      </c>
      <c r="C5958" s="362"/>
      <c r="D5958" s="362"/>
      <c r="E5958" s="410"/>
      <c r="F5958" s="362"/>
      <c r="G5958" s="362"/>
      <c r="H5958" s="362"/>
      <c r="I5958" s="362"/>
      <c r="J5958" s="196"/>
      <c r="AX5958" s="117"/>
      <c r="AY5958" s="117"/>
      <c r="AZ5958" s="117"/>
      <c r="BA5958" s="117"/>
      <c r="BB5958" s="117"/>
      <c r="BC5958" s="117"/>
      <c r="BD5958" s="117"/>
    </row>
    <row r="5959" spans="1:56" ht="15">
      <c r="A5959" s="114"/>
      <c r="B5959" s="398" t="s">
        <v>1152</v>
      </c>
      <c r="C5959" s="398"/>
      <c r="D5959" s="366"/>
      <c r="E5959" s="411">
        <v>4</v>
      </c>
      <c r="F5959" s="390" t="s">
        <v>1153</v>
      </c>
      <c r="G5959" s="362"/>
      <c r="H5959" s="362"/>
      <c r="I5959" s="362"/>
      <c r="J5959" s="196"/>
      <c r="AX5959" s="117"/>
      <c r="AY5959" s="117"/>
      <c r="AZ5959" s="117"/>
      <c r="BA5959" s="117"/>
      <c r="BB5959" s="117"/>
      <c r="BC5959" s="117"/>
      <c r="BD5959" s="117"/>
    </row>
    <row r="5960" spans="1:56" ht="15">
      <c r="A5960" s="114"/>
      <c r="B5960" s="399" t="s">
        <v>1154</v>
      </c>
      <c r="C5960" s="31"/>
      <c r="D5960" s="32"/>
      <c r="E5960" s="412">
        <f>C5946*E5959</f>
        <v>4</v>
      </c>
      <c r="F5960" s="390" t="s">
        <v>1153</v>
      </c>
      <c r="G5960" s="362"/>
      <c r="H5960" s="362"/>
      <c r="I5960" s="362"/>
      <c r="J5960" s="196"/>
      <c r="AX5960" s="117"/>
      <c r="AY5960" s="117"/>
      <c r="AZ5960" s="117"/>
      <c r="BA5960" s="117"/>
      <c r="BB5960" s="117"/>
      <c r="BC5960" s="117"/>
      <c r="BD5960" s="117"/>
    </row>
    <row r="5961" spans="1:56" ht="15">
      <c r="A5961" s="114"/>
      <c r="B5961" s="398" t="s">
        <v>1155</v>
      </c>
      <c r="C5961" s="21"/>
      <c r="D5961" s="413"/>
      <c r="E5961" s="411">
        <v>700</v>
      </c>
      <c r="F5961" s="390" t="s">
        <v>1156</v>
      </c>
      <c r="G5961" s="362"/>
      <c r="H5961" s="414"/>
      <c r="I5961" s="362"/>
      <c r="J5961" s="362"/>
      <c r="AX5961" s="117"/>
      <c r="AY5961" s="117"/>
      <c r="AZ5961" s="117"/>
      <c r="BA5961" s="117"/>
      <c r="BB5961" s="117"/>
      <c r="BC5961" s="117"/>
      <c r="BD5961" s="117"/>
    </row>
    <row r="5962" spans="1:56" ht="15">
      <c r="A5962" s="114"/>
      <c r="B5962" s="398" t="s">
        <v>1157</v>
      </c>
      <c r="C5962" s="21"/>
      <c r="D5962" s="413"/>
      <c r="E5962" s="418">
        <v>32</v>
      </c>
      <c r="F5962" s="390" t="s">
        <v>10</v>
      </c>
      <c r="G5962" s="362"/>
      <c r="H5962" s="6"/>
      <c r="I5962" s="362"/>
      <c r="J5962" s="196"/>
      <c r="AX5962" s="117"/>
      <c r="AY5962" s="117"/>
      <c r="AZ5962" s="117"/>
      <c r="BA5962" s="117"/>
      <c r="BB5962" s="117"/>
      <c r="BC5962" s="117"/>
      <c r="BD5962" s="117"/>
    </row>
    <row r="5963" spans="1:56" ht="15">
      <c r="A5963" s="114"/>
      <c r="B5963" s="398" t="s">
        <v>1158</v>
      </c>
      <c r="C5963" s="21"/>
      <c r="D5963" s="413"/>
      <c r="E5963" s="412">
        <f>E5960*E5962</f>
        <v>128</v>
      </c>
      <c r="F5963" s="390" t="s">
        <v>10</v>
      </c>
      <c r="G5963" s="362"/>
      <c r="H5963" s="362"/>
      <c r="I5963" s="362"/>
      <c r="J5963" s="362"/>
      <c r="AX5963" s="117"/>
      <c r="AY5963" s="117"/>
      <c r="AZ5963" s="117"/>
      <c r="BA5963" s="117"/>
      <c r="BB5963" s="117"/>
      <c r="BC5963" s="117"/>
      <c r="BD5963" s="117"/>
    </row>
    <row r="5964" spans="1:56" ht="15">
      <c r="A5964" s="114"/>
      <c r="B5964" s="362"/>
      <c r="C5964" s="362"/>
      <c r="D5964" s="362"/>
      <c r="E5964" s="410"/>
      <c r="F5964" s="362"/>
      <c r="G5964" s="362"/>
      <c r="H5964" s="362"/>
      <c r="I5964" s="362"/>
      <c r="J5964" s="362"/>
      <c r="AX5964" s="117"/>
      <c r="AY5964" s="117"/>
      <c r="AZ5964" s="117"/>
      <c r="BA5964" s="117"/>
      <c r="BB5964" s="117"/>
      <c r="BC5964" s="117"/>
      <c r="BD5964" s="117"/>
    </row>
    <row r="5965" spans="1:56" ht="15">
      <c r="A5965" s="114"/>
      <c r="B5965" s="303" t="s">
        <v>1160</v>
      </c>
      <c r="C5965" s="362"/>
      <c r="D5965" s="362"/>
      <c r="E5965" s="410"/>
      <c r="F5965" s="362"/>
      <c r="G5965" s="362"/>
      <c r="H5965" s="362"/>
      <c r="I5965" s="362"/>
      <c r="J5965" s="362"/>
      <c r="AX5965" s="117"/>
      <c r="AY5965" s="117"/>
      <c r="AZ5965" s="117"/>
      <c r="BA5965" s="117"/>
      <c r="BB5965" s="117"/>
      <c r="BC5965" s="117"/>
      <c r="BD5965" s="117"/>
    </row>
    <row r="5966" spans="1:56" ht="18">
      <c r="A5966" s="114"/>
      <c r="B5966" s="398" t="s">
        <v>1128</v>
      </c>
      <c r="C5966" s="172"/>
      <c r="D5966" s="173"/>
      <c r="E5966" s="402">
        <f>E5956*0.05</f>
        <v>0.88200000000000012</v>
      </c>
      <c r="F5966" s="390" t="s">
        <v>1124</v>
      </c>
      <c r="G5966" s="362"/>
      <c r="H5966" s="362"/>
      <c r="I5966" s="362"/>
      <c r="J5966" s="362"/>
      <c r="AX5966" s="117"/>
      <c r="AY5966" s="117"/>
      <c r="AZ5966" s="117"/>
      <c r="BA5966" s="117"/>
      <c r="BB5966" s="117"/>
      <c r="BC5966" s="117"/>
      <c r="BD5966" s="117"/>
    </row>
    <row r="5967" spans="1:56" ht="15">
      <c r="A5967" s="114"/>
      <c r="B5967" s="398" t="s">
        <v>1129</v>
      </c>
      <c r="C5967" s="172"/>
      <c r="D5967" s="173"/>
      <c r="E5967" s="397">
        <f>(2*(C5942+C5943)*C5945)*C5946</f>
        <v>24</v>
      </c>
      <c r="F5967" s="390" t="s">
        <v>13</v>
      </c>
      <c r="G5967" s="362"/>
      <c r="H5967" s="362"/>
      <c r="I5967" s="362"/>
      <c r="J5967" s="362"/>
      <c r="AX5967" s="117"/>
      <c r="AY5967" s="117"/>
      <c r="AZ5967" s="117"/>
      <c r="BA5967" s="117"/>
      <c r="BB5967" s="117"/>
      <c r="BC5967" s="117"/>
      <c r="BD5967" s="117"/>
    </row>
    <row r="5968" spans="1:56" ht="18">
      <c r="A5968" s="114"/>
      <c r="B5968" s="398" t="s">
        <v>1130</v>
      </c>
      <c r="C5968" s="172"/>
      <c r="D5968" s="173"/>
      <c r="E5968" s="402">
        <f>(C5942*C5943*C5945)*C5946</f>
        <v>24</v>
      </c>
      <c r="F5968" s="390" t="s">
        <v>1124</v>
      </c>
      <c r="G5968" s="362"/>
      <c r="H5968" s="362"/>
      <c r="I5968" s="362"/>
      <c r="J5968" s="415"/>
      <c r="AX5968" s="117"/>
      <c r="AY5968" s="117"/>
      <c r="AZ5968" s="117"/>
      <c r="BA5968" s="117"/>
      <c r="BB5968" s="117"/>
      <c r="BC5968" s="117"/>
      <c r="BD5968" s="117"/>
    </row>
    <row r="5969" spans="1:56">
      <c r="A5969" s="114"/>
      <c r="B5969" s="115"/>
      <c r="C5969" s="115"/>
      <c r="D5969" s="115"/>
      <c r="E5969" s="115"/>
      <c r="F5969" s="115"/>
      <c r="G5969" s="115"/>
      <c r="H5969" s="115"/>
      <c r="I5969" s="115"/>
      <c r="J5969" s="362"/>
      <c r="AX5969" s="117"/>
      <c r="AY5969" s="117"/>
      <c r="AZ5969" s="117"/>
      <c r="BA5969" s="117"/>
      <c r="BB5969" s="117"/>
      <c r="BC5969" s="117"/>
      <c r="BD5969" s="117"/>
    </row>
    <row r="5970" spans="1:56">
      <c r="A5970" s="114"/>
      <c r="B5970" s="115"/>
      <c r="C5970" s="115"/>
      <c r="D5970" s="115"/>
      <c r="E5970" s="115"/>
      <c r="F5970" s="115"/>
      <c r="G5970" s="115"/>
      <c r="H5970" s="115"/>
      <c r="I5970" s="115"/>
      <c r="J5970" s="362"/>
      <c r="AX5970" s="117"/>
      <c r="AY5970" s="117"/>
      <c r="AZ5970" s="117"/>
      <c r="BA5970" s="117"/>
      <c r="BB5970" s="117"/>
      <c r="BC5970" s="117"/>
      <c r="BD5970" s="117"/>
    </row>
    <row r="5971" spans="1:56">
      <c r="A5971" s="114"/>
      <c r="B5971" s="115"/>
      <c r="C5971" s="115"/>
      <c r="D5971" s="115"/>
      <c r="E5971" s="115"/>
      <c r="F5971" s="115"/>
      <c r="G5971" s="115"/>
      <c r="H5971" s="115"/>
      <c r="I5971" s="115"/>
      <c r="J5971" s="362"/>
      <c r="AX5971" s="117"/>
      <c r="AY5971" s="117"/>
      <c r="AZ5971" s="117"/>
      <c r="BA5971" s="117"/>
      <c r="BB5971" s="117"/>
      <c r="BC5971" s="117"/>
      <c r="BD5971" s="117"/>
    </row>
    <row r="5972" spans="1:56">
      <c r="A5972"/>
      <c r="B5972" s="385" t="s">
        <v>1333</v>
      </c>
      <c r="C5972" s="362"/>
      <c r="D5972" s="362"/>
      <c r="E5972" s="362"/>
      <c r="F5972" s="362"/>
      <c r="G5972" s="115"/>
      <c r="H5972" s="115"/>
      <c r="I5972" s="362"/>
      <c r="J5972" s="362"/>
      <c r="AX5972" s="117"/>
      <c r="AY5972" s="117"/>
      <c r="AZ5972" s="117"/>
      <c r="BA5972" s="117"/>
      <c r="BB5972" s="117"/>
      <c r="BC5972" s="117"/>
      <c r="BD5972" s="117"/>
    </row>
    <row r="5973" spans="1:56" ht="15">
      <c r="A5973" s="114"/>
      <c r="B5973" s="362"/>
      <c r="C5973" s="362"/>
      <c r="D5973" s="362"/>
      <c r="E5973" s="362"/>
      <c r="F5973" s="404"/>
      <c r="G5973" s="196"/>
      <c r="H5973" s="196"/>
      <c r="I5973" s="404"/>
      <c r="J5973" s="362"/>
      <c r="AX5973" s="117"/>
      <c r="AY5973" s="117"/>
      <c r="AZ5973" s="117"/>
      <c r="BA5973" s="117"/>
      <c r="BB5973" s="117"/>
      <c r="BC5973" s="117"/>
      <c r="BD5973" s="117"/>
    </row>
    <row r="5974" spans="1:56" ht="18">
      <c r="A5974" s="114"/>
      <c r="B5974" s="388" t="s">
        <v>1141</v>
      </c>
      <c r="C5974" s="389">
        <v>0.75</v>
      </c>
      <c r="D5974" s="390" t="s">
        <v>10</v>
      </c>
      <c r="E5974" s="196"/>
      <c r="F5974" s="405"/>
      <c r="G5974" s="196"/>
      <c r="H5974" s="196"/>
      <c r="I5974" s="405" t="s">
        <v>1143</v>
      </c>
      <c r="J5974" s="362"/>
      <c r="AX5974" s="117"/>
      <c r="AY5974" s="117"/>
      <c r="AZ5974" s="117"/>
      <c r="BA5974" s="117"/>
      <c r="BB5974" s="117"/>
      <c r="BC5974" s="117"/>
      <c r="BD5974" s="117"/>
    </row>
    <row r="5975" spans="1:56" ht="15">
      <c r="A5975" s="114"/>
      <c r="B5975" s="388" t="s">
        <v>1144</v>
      </c>
      <c r="C5975" s="389">
        <v>0.75</v>
      </c>
      <c r="D5975" s="390" t="s">
        <v>10</v>
      </c>
      <c r="E5975" s="196"/>
      <c r="F5975" s="405"/>
      <c r="G5975" s="362"/>
      <c r="H5975" s="362"/>
      <c r="I5975" s="405"/>
      <c r="J5975" s="362"/>
      <c r="AX5975" s="117"/>
      <c r="AY5975" s="117"/>
      <c r="AZ5975" s="117"/>
      <c r="BA5975" s="117"/>
      <c r="BB5975" s="117"/>
      <c r="BC5975" s="117"/>
      <c r="BD5975" s="117"/>
    </row>
    <row r="5976" spans="1:56" ht="15">
      <c r="A5976" s="114"/>
      <c r="B5976" s="388" t="s">
        <v>1145</v>
      </c>
      <c r="C5976" s="389">
        <v>6.4</v>
      </c>
      <c r="D5976" s="390" t="s">
        <v>10</v>
      </c>
      <c r="E5976" s="196"/>
      <c r="F5976" s="405"/>
      <c r="G5976" s="404"/>
      <c r="H5976" s="404"/>
      <c r="I5976" s="405"/>
      <c r="J5976" s="114"/>
      <c r="AW5976" s="117"/>
      <c r="AX5976" s="117"/>
      <c r="AY5976" s="117"/>
      <c r="AZ5976" s="117"/>
      <c r="BA5976" s="117"/>
      <c r="BB5976" s="117"/>
      <c r="BC5976" s="117"/>
      <c r="BD5976" s="117"/>
    </row>
    <row r="5977" spans="1:56" ht="18">
      <c r="A5977" s="114"/>
      <c r="B5977" s="388" t="s">
        <v>1146</v>
      </c>
      <c r="C5977" s="389">
        <v>4</v>
      </c>
      <c r="D5977" s="390" t="s">
        <v>10</v>
      </c>
      <c r="E5977" s="196"/>
      <c r="F5977" s="405"/>
      <c r="G5977" s="406" t="s">
        <v>1142</v>
      </c>
      <c r="H5977" s="407">
        <f>C5974*C5975</f>
        <v>0.5625</v>
      </c>
      <c r="I5977" s="405" t="s">
        <v>1143</v>
      </c>
      <c r="J5977" s="114"/>
      <c r="AW5977" s="117"/>
      <c r="AX5977" s="117"/>
      <c r="AY5977" s="117"/>
      <c r="AZ5977" s="117"/>
      <c r="BA5977" s="117"/>
      <c r="BB5977" s="117"/>
      <c r="BC5977" s="117"/>
      <c r="BD5977" s="117"/>
    </row>
    <row r="5978" spans="1:56" ht="18">
      <c r="A5978" s="114"/>
      <c r="B5978" s="388" t="s">
        <v>1112</v>
      </c>
      <c r="C5978" s="389">
        <v>0.55000000000000004</v>
      </c>
      <c r="D5978" s="390" t="s">
        <v>10</v>
      </c>
      <c r="E5978" s="196"/>
      <c r="F5978" s="405"/>
      <c r="G5978" s="406" t="e">
        <f>TEXT(C5982,"tg 0°=")</f>
        <v>#VALUE!</v>
      </c>
      <c r="H5978" s="408">
        <f>TAN(3.14159265359*C5982/180)</f>
        <v>1.732050807569153</v>
      </c>
      <c r="I5978" s="405" t="s">
        <v>1143</v>
      </c>
      <c r="J5978" s="114"/>
      <c r="AW5978" s="117"/>
      <c r="AX5978" s="117"/>
      <c r="AY5978" s="117"/>
      <c r="AZ5978" s="117"/>
      <c r="BA5978" s="117"/>
      <c r="BB5978" s="117"/>
      <c r="BC5978" s="117"/>
      <c r="BD5978" s="117"/>
    </row>
    <row r="5979" spans="1:56" customFormat="1" ht="15">
      <c r="A5979" s="114"/>
      <c r="B5979" s="388" t="s">
        <v>1113</v>
      </c>
      <c r="C5979" s="389">
        <v>3</v>
      </c>
      <c r="D5979" s="390" t="s">
        <v>10</v>
      </c>
      <c r="E5979" s="196"/>
      <c r="F5979" s="405"/>
      <c r="G5979" s="406"/>
      <c r="H5979" s="407"/>
      <c r="I5979" s="405"/>
      <c r="J5979" s="362"/>
    </row>
    <row r="5980" spans="1:56" ht="15">
      <c r="A5980" s="114"/>
      <c r="B5980" s="388" t="s">
        <v>1117</v>
      </c>
      <c r="C5980" s="391">
        <v>2</v>
      </c>
      <c r="D5980" s="390" t="s">
        <v>1118</v>
      </c>
      <c r="E5980" s="196"/>
      <c r="F5980" s="405"/>
      <c r="G5980" s="406" t="s">
        <v>1142</v>
      </c>
      <c r="H5980" s="409">
        <f>(C5976+2*C5984+((C5978+C5979+0.05)/H5978)*2)*(C5977+2*C5984+((C5978+C5979+0.05)/H5978)*2)</f>
        <v>105.82583203323608</v>
      </c>
      <c r="I5980" s="405"/>
      <c r="J5980" s="404"/>
      <c r="AX5980" s="117"/>
      <c r="AY5980" s="117"/>
      <c r="AZ5980" s="117"/>
      <c r="BA5980" s="117"/>
      <c r="BB5980" s="117"/>
      <c r="BC5980" s="117"/>
      <c r="BD5980" s="117"/>
    </row>
    <row r="5981" spans="1:56" ht="15">
      <c r="A5981" s="114"/>
      <c r="B5981" s="196" t="s">
        <v>1148</v>
      </c>
      <c r="C5981" s="393"/>
      <c r="D5981" s="196"/>
      <c r="E5981" s="196"/>
      <c r="F5981" s="405"/>
      <c r="G5981" s="406" t="s">
        <v>1147</v>
      </c>
      <c r="H5981" s="409">
        <f>(C5976+2*C5984)*(C5977+2*C5984)</f>
        <v>37</v>
      </c>
      <c r="I5981" s="405"/>
      <c r="J5981" s="405"/>
      <c r="AX5981" s="117"/>
      <c r="AY5981" s="117"/>
      <c r="AZ5981" s="117"/>
      <c r="BA5981" s="117"/>
      <c r="BB5981" s="117"/>
      <c r="BC5981" s="117"/>
      <c r="BD5981" s="117"/>
    </row>
    <row r="5982" spans="1:56" ht="15">
      <c r="A5982" s="114"/>
      <c r="B5982" s="388" t="s">
        <v>1149</v>
      </c>
      <c r="C5982" s="389">
        <v>60</v>
      </c>
      <c r="D5982" s="390" t="s">
        <v>1150</v>
      </c>
      <c r="E5982" s="196"/>
      <c r="F5982" s="196"/>
      <c r="G5982" s="406"/>
      <c r="H5982" s="407"/>
      <c r="I5982" s="196"/>
      <c r="J5982" s="405"/>
      <c r="AX5982" s="117"/>
      <c r="AY5982" s="117"/>
      <c r="AZ5982" s="117"/>
      <c r="BA5982" s="117"/>
      <c r="BB5982" s="117"/>
      <c r="BC5982" s="117"/>
      <c r="BD5982" s="117"/>
    </row>
    <row r="5983" spans="1:56" ht="15">
      <c r="A5983" s="114"/>
      <c r="B5983" s="362"/>
      <c r="C5983" s="196"/>
      <c r="D5983" s="196"/>
      <c r="E5983" s="196"/>
      <c r="F5983" s="196"/>
      <c r="G5983" s="406"/>
      <c r="H5983" s="407"/>
      <c r="I5983" s="362"/>
      <c r="J5983" s="405"/>
      <c r="AX5983" s="117"/>
      <c r="AY5983" s="117"/>
      <c r="AZ5983" s="117"/>
      <c r="BA5983" s="117"/>
      <c r="BB5983" s="117"/>
      <c r="BC5983" s="117"/>
      <c r="BD5983" s="117"/>
    </row>
    <row r="5984" spans="1:56" ht="15">
      <c r="A5984" s="114"/>
      <c r="B5984" s="388" t="s">
        <v>1114</v>
      </c>
      <c r="C5984" s="389">
        <v>0.5</v>
      </c>
      <c r="D5984" s="390" t="s">
        <v>10</v>
      </c>
      <c r="E5984" s="288" t="s">
        <v>1120</v>
      </c>
      <c r="F5984" s="196"/>
      <c r="G5984" s="406"/>
      <c r="H5984" s="407"/>
      <c r="I5984" s="114"/>
      <c r="J5984" s="405"/>
      <c r="AX5984" s="117"/>
      <c r="AY5984" s="117"/>
      <c r="AZ5984" s="117"/>
      <c r="BA5984" s="117"/>
      <c r="BB5984" s="117"/>
      <c r="BC5984" s="117"/>
      <c r="BD5984" s="117"/>
    </row>
    <row r="5985" spans="1:56" ht="15">
      <c r="A5985" s="114"/>
      <c r="B5985" s="388" t="s">
        <v>1114</v>
      </c>
      <c r="C5985" s="389">
        <v>0.1</v>
      </c>
      <c r="D5985" s="390" t="s">
        <v>10</v>
      </c>
      <c r="E5985" s="288" t="s">
        <v>1121</v>
      </c>
      <c r="F5985" s="196"/>
      <c r="G5985" s="392"/>
      <c r="H5985" s="393"/>
      <c r="I5985" s="196"/>
      <c r="J5985" s="405"/>
      <c r="AX5985" s="117"/>
      <c r="AY5985" s="117"/>
      <c r="AZ5985" s="117"/>
      <c r="BA5985" s="117"/>
      <c r="BB5985" s="117"/>
      <c r="BC5985" s="117"/>
      <c r="BD5985" s="117"/>
    </row>
    <row r="5986" spans="1:56" ht="15">
      <c r="A5986" s="114"/>
      <c r="B5986" s="362"/>
      <c r="C5986" s="362"/>
      <c r="D5986" s="362"/>
      <c r="E5986" s="362"/>
      <c r="F5986" s="362"/>
      <c r="G5986" s="362"/>
      <c r="H5986" s="362"/>
      <c r="I5986" s="196"/>
      <c r="J5986" s="405"/>
      <c r="AX5986" s="117"/>
      <c r="AY5986" s="117"/>
      <c r="AZ5986" s="117"/>
      <c r="BA5986" s="117"/>
      <c r="BB5986" s="117"/>
      <c r="BC5986" s="117"/>
      <c r="BD5986" s="117"/>
    </row>
    <row r="5987" spans="1:56" ht="15">
      <c r="A5987" s="114"/>
      <c r="B5987" s="303" t="s">
        <v>1122</v>
      </c>
      <c r="C5987" s="362"/>
      <c r="D5987" s="362"/>
      <c r="E5987" s="362"/>
      <c r="F5987" s="362"/>
      <c r="G5987" s="196" t="s">
        <v>1131</v>
      </c>
      <c r="H5987" s="114"/>
      <c r="I5987" s="196"/>
      <c r="J5987" s="405"/>
      <c r="AX5987" s="117"/>
      <c r="AY5987" s="117"/>
      <c r="AZ5987" s="117"/>
      <c r="BA5987" s="117"/>
      <c r="BB5987" s="117"/>
      <c r="BC5987" s="117"/>
      <c r="BD5987" s="117"/>
    </row>
    <row r="5988" spans="1:56" ht="18">
      <c r="A5988" s="114"/>
      <c r="B5988" s="398" t="s">
        <v>1123</v>
      </c>
      <c r="C5988" s="172"/>
      <c r="D5988" s="173"/>
      <c r="E5988" s="397">
        <f>C5980*((H5981+H5980)/2)*(C5978+C5979+0.05)</f>
        <v>514.17299531964989</v>
      </c>
      <c r="F5988" s="390" t="s">
        <v>1124</v>
      </c>
      <c r="G5988" s="196"/>
      <c r="H5988" s="196"/>
      <c r="I5988" s="362"/>
      <c r="J5988" s="405"/>
      <c r="AX5988" s="117"/>
      <c r="AY5988" s="117"/>
      <c r="AZ5988" s="117"/>
      <c r="BA5988" s="117"/>
      <c r="BB5988" s="117"/>
      <c r="BC5988" s="117"/>
      <c r="BD5988" s="117"/>
    </row>
    <row r="5989" spans="1:56" ht="18">
      <c r="A5989" s="114"/>
      <c r="B5989" s="398" t="s">
        <v>1125</v>
      </c>
      <c r="C5989" s="172"/>
      <c r="D5989" s="173"/>
      <c r="E5989" s="400">
        <f>E5988-C5980*(C5976*C5977*C5979+C5976*C5977*0.05+C5974*C5975*C5978)</f>
        <v>357.39424531964983</v>
      </c>
      <c r="F5989" s="390" t="s">
        <v>1124</v>
      </c>
      <c r="G5989" s="196"/>
      <c r="H5989" s="196"/>
      <c r="I5989" s="196"/>
      <c r="J5989" s="196"/>
      <c r="AX5989" s="117"/>
      <c r="AY5989" s="117"/>
      <c r="AZ5989" s="117"/>
      <c r="BA5989" s="117"/>
      <c r="BB5989" s="117"/>
      <c r="BC5989" s="117"/>
      <c r="BD5989" s="117"/>
    </row>
    <row r="5990" spans="1:56" ht="15">
      <c r="A5990" s="114"/>
      <c r="B5990" s="398" t="s">
        <v>1126</v>
      </c>
      <c r="C5990" s="172"/>
      <c r="D5990" s="173"/>
      <c r="E5990" s="400">
        <f>((C5976+2*C5985)*(C5977+2*C5985))*C5980</f>
        <v>55.440000000000005</v>
      </c>
      <c r="F5990" s="390" t="s">
        <v>13</v>
      </c>
      <c r="G5990" s="362"/>
      <c r="H5990" s="362"/>
      <c r="I5990" s="362"/>
      <c r="J5990" s="196"/>
      <c r="AX5990" s="117"/>
      <c r="AY5990" s="117"/>
      <c r="AZ5990" s="117"/>
      <c r="BA5990" s="117"/>
      <c r="BB5990" s="117"/>
      <c r="BC5990" s="117"/>
      <c r="BD5990" s="117"/>
    </row>
    <row r="5991" spans="1:56" ht="15">
      <c r="A5991" s="114"/>
      <c r="B5991" s="362"/>
      <c r="C5991" s="362"/>
      <c r="D5991" s="362"/>
      <c r="E5991" s="401"/>
      <c r="F5991" s="196"/>
      <c r="G5991" s="362"/>
      <c r="H5991" s="362"/>
      <c r="I5991" s="362"/>
      <c r="J5991" s="196"/>
      <c r="AX5991" s="117"/>
      <c r="AY5991" s="117"/>
      <c r="AZ5991" s="117"/>
      <c r="BA5991" s="117"/>
      <c r="BB5991" s="117"/>
      <c r="BC5991" s="117"/>
      <c r="BD5991" s="117"/>
    </row>
    <row r="5992" spans="1:56" ht="15">
      <c r="A5992" s="114"/>
      <c r="B5992" s="303" t="s">
        <v>1162</v>
      </c>
      <c r="C5992" s="362"/>
      <c r="D5992" s="362"/>
      <c r="E5992" s="410"/>
      <c r="F5992" s="362"/>
      <c r="G5992" s="362"/>
      <c r="H5992" s="362"/>
      <c r="I5992" s="362"/>
      <c r="J5992" s="196"/>
      <c r="AX5992" s="117"/>
      <c r="AY5992" s="117"/>
      <c r="AZ5992" s="117"/>
      <c r="BA5992" s="117"/>
      <c r="BB5992" s="117"/>
      <c r="BC5992" s="117"/>
      <c r="BD5992" s="117"/>
    </row>
    <row r="5993" spans="1:56" ht="15">
      <c r="A5993" s="114"/>
      <c r="B5993" s="398" t="s">
        <v>1152</v>
      </c>
      <c r="C5993" s="398"/>
      <c r="D5993" s="366"/>
      <c r="E5993" s="411">
        <v>6</v>
      </c>
      <c r="F5993" s="390" t="s">
        <v>1153</v>
      </c>
      <c r="G5993" s="362"/>
      <c r="H5993" s="362"/>
      <c r="I5993" s="362"/>
      <c r="J5993" s="196"/>
      <c r="AX5993" s="117"/>
      <c r="AY5993" s="117"/>
      <c r="AZ5993" s="117"/>
      <c r="BA5993" s="117"/>
      <c r="BB5993" s="117"/>
      <c r="BC5993" s="117"/>
      <c r="BD5993" s="117"/>
    </row>
    <row r="5994" spans="1:56" ht="15">
      <c r="A5994" s="114"/>
      <c r="B5994" s="399" t="s">
        <v>1154</v>
      </c>
      <c r="C5994" s="31"/>
      <c r="D5994" s="32"/>
      <c r="E5994" s="412">
        <f>C5980*E5993</f>
        <v>12</v>
      </c>
      <c r="F5994" s="390" t="s">
        <v>1153</v>
      </c>
      <c r="G5994" s="362"/>
      <c r="H5994" s="362"/>
      <c r="I5994" s="362"/>
      <c r="J5994" s="196"/>
      <c r="AX5994" s="117"/>
      <c r="AY5994" s="117"/>
      <c r="AZ5994" s="117"/>
      <c r="BA5994" s="117"/>
      <c r="BB5994" s="117"/>
      <c r="BC5994" s="117"/>
      <c r="BD5994" s="117"/>
    </row>
    <row r="5995" spans="1:56" ht="15">
      <c r="A5995" s="114"/>
      <c r="B5995" s="398" t="s">
        <v>1155</v>
      </c>
      <c r="C5995" s="21"/>
      <c r="D5995" s="413"/>
      <c r="E5995" s="411">
        <v>700</v>
      </c>
      <c r="F5995" s="390" t="s">
        <v>1156</v>
      </c>
      <c r="G5995" s="362"/>
      <c r="H5995" s="414"/>
      <c r="I5995" s="362"/>
      <c r="J5995" s="362"/>
      <c r="AX5995" s="117"/>
      <c r="AY5995" s="117"/>
      <c r="AZ5995" s="117"/>
      <c r="BA5995" s="117"/>
      <c r="BB5995" s="117"/>
      <c r="BC5995" s="117"/>
      <c r="BD5995" s="117"/>
    </row>
    <row r="5996" spans="1:56" ht="15">
      <c r="A5996" s="114"/>
      <c r="B5996" s="398" t="s">
        <v>1157</v>
      </c>
      <c r="C5996" s="21"/>
      <c r="D5996" s="413"/>
      <c r="E5996" s="418">
        <v>32</v>
      </c>
      <c r="F5996" s="390" t="s">
        <v>10</v>
      </c>
      <c r="G5996" s="362"/>
      <c r="H5996" s="6"/>
      <c r="I5996" s="362"/>
      <c r="J5996" s="196"/>
      <c r="AX5996" s="117"/>
      <c r="AY5996" s="117"/>
      <c r="AZ5996" s="117"/>
      <c r="BA5996" s="117"/>
      <c r="BB5996" s="117"/>
      <c r="BC5996" s="117"/>
      <c r="BD5996" s="117"/>
    </row>
    <row r="5997" spans="1:56" ht="15">
      <c r="A5997" s="114"/>
      <c r="B5997" s="398" t="s">
        <v>1158</v>
      </c>
      <c r="C5997" s="21"/>
      <c r="D5997" s="413"/>
      <c r="E5997" s="412">
        <f>E5994*E5996</f>
        <v>384</v>
      </c>
      <c r="F5997" s="390" t="s">
        <v>10</v>
      </c>
      <c r="G5997" s="362"/>
      <c r="H5997" s="362"/>
      <c r="I5997" s="362"/>
      <c r="J5997" s="362"/>
      <c r="AX5997" s="117"/>
      <c r="AY5997" s="117"/>
      <c r="AZ5997" s="117"/>
      <c r="BA5997" s="117"/>
      <c r="BB5997" s="117"/>
      <c r="BC5997" s="117"/>
      <c r="BD5997" s="117"/>
    </row>
    <row r="5998" spans="1:56" ht="15">
      <c r="A5998" s="114"/>
      <c r="B5998" s="362"/>
      <c r="C5998" s="362"/>
      <c r="D5998" s="362"/>
      <c r="E5998" s="410"/>
      <c r="F5998" s="362"/>
      <c r="G5998" s="362"/>
      <c r="H5998" s="362"/>
      <c r="I5998" s="362"/>
      <c r="J5998" s="362"/>
      <c r="AX5998" s="117"/>
      <c r="AY5998" s="117"/>
      <c r="AZ5998" s="117"/>
      <c r="BA5998" s="117"/>
      <c r="BB5998" s="117"/>
      <c r="BC5998" s="117"/>
      <c r="BD5998" s="117"/>
    </row>
    <row r="5999" spans="1:56" ht="15">
      <c r="A5999" s="114"/>
      <c r="B5999" s="303" t="s">
        <v>1160</v>
      </c>
      <c r="C5999" s="362"/>
      <c r="D5999" s="362"/>
      <c r="E5999" s="410"/>
      <c r="F5999" s="362"/>
      <c r="G5999" s="362"/>
      <c r="H5999" s="362"/>
      <c r="I5999" s="362"/>
      <c r="J5999" s="362"/>
      <c r="AX5999" s="117"/>
      <c r="AY5999" s="117"/>
      <c r="AZ5999" s="117"/>
      <c r="BA5999" s="117"/>
      <c r="BB5999" s="117"/>
      <c r="BC5999" s="117"/>
      <c r="BD5999" s="117"/>
    </row>
    <row r="6000" spans="1:56" ht="18">
      <c r="A6000" s="114"/>
      <c r="B6000" s="398" t="s">
        <v>1128</v>
      </c>
      <c r="C6000" s="172"/>
      <c r="D6000" s="173"/>
      <c r="E6000" s="402">
        <f>E5990*0.05</f>
        <v>2.7720000000000002</v>
      </c>
      <c r="F6000" s="390" t="s">
        <v>1124</v>
      </c>
      <c r="G6000" s="362"/>
      <c r="H6000" s="362"/>
      <c r="I6000" s="362"/>
      <c r="J6000" s="362"/>
      <c r="AX6000" s="117"/>
      <c r="AY6000" s="117"/>
      <c r="AZ6000" s="117"/>
      <c r="BA6000" s="117"/>
      <c r="BB6000" s="117"/>
      <c r="BC6000" s="117"/>
      <c r="BD6000" s="117"/>
    </row>
    <row r="6001" spans="1:56" ht="15">
      <c r="A6001" s="114"/>
      <c r="B6001" s="398" t="s">
        <v>1129</v>
      </c>
      <c r="C6001" s="172"/>
      <c r="D6001" s="173"/>
      <c r="E6001" s="397">
        <f>(2*(C5976+C5977)*C5979)*C5980</f>
        <v>124.80000000000001</v>
      </c>
      <c r="F6001" s="390" t="s">
        <v>13</v>
      </c>
      <c r="G6001" s="362"/>
      <c r="H6001" s="362"/>
      <c r="I6001" s="362"/>
      <c r="J6001" s="362"/>
      <c r="AX6001" s="117"/>
      <c r="AY6001" s="117"/>
      <c r="AZ6001" s="117"/>
      <c r="BA6001" s="117"/>
      <c r="BB6001" s="117"/>
      <c r="BC6001" s="117"/>
      <c r="BD6001" s="117"/>
    </row>
    <row r="6002" spans="1:56" ht="18">
      <c r="A6002" s="114"/>
      <c r="B6002" s="398" t="s">
        <v>1130</v>
      </c>
      <c r="C6002" s="172"/>
      <c r="D6002" s="173"/>
      <c r="E6002" s="402">
        <f>(C5976*C5977*C5979)*C5980</f>
        <v>153.60000000000002</v>
      </c>
      <c r="F6002" s="390" t="s">
        <v>1124</v>
      </c>
      <c r="G6002" s="362"/>
      <c r="H6002" s="362"/>
      <c r="I6002" s="362"/>
      <c r="J6002" s="415"/>
      <c r="AX6002" s="117"/>
      <c r="AY6002" s="117"/>
      <c r="AZ6002" s="117"/>
      <c r="BA6002" s="117"/>
      <c r="BB6002" s="117"/>
      <c r="BC6002" s="117"/>
      <c r="BD6002" s="117"/>
    </row>
    <row r="6003" spans="1:56">
      <c r="A6003" s="114"/>
      <c r="B6003" s="115"/>
      <c r="C6003" s="115"/>
      <c r="D6003" s="115"/>
      <c r="E6003" s="115"/>
      <c r="F6003" s="115"/>
      <c r="G6003" s="115"/>
      <c r="H6003" s="115"/>
      <c r="I6003" s="115"/>
      <c r="J6003" s="362"/>
      <c r="AX6003" s="117"/>
      <c r="AY6003" s="117"/>
      <c r="AZ6003" s="117"/>
      <c r="BA6003" s="117"/>
      <c r="BB6003" s="117"/>
      <c r="BC6003" s="117"/>
      <c r="BD6003" s="117"/>
    </row>
    <row r="6004" spans="1:56">
      <c r="A6004" s="114"/>
      <c r="B6004" s="115"/>
      <c r="C6004" s="115"/>
      <c r="D6004" s="115"/>
      <c r="E6004" s="115"/>
      <c r="F6004" s="115"/>
      <c r="G6004" s="115"/>
      <c r="H6004" s="115"/>
      <c r="I6004" s="115"/>
      <c r="J6004" s="362"/>
      <c r="AX6004" s="117"/>
      <c r="AY6004" s="117"/>
      <c r="AZ6004" s="117"/>
      <c r="BA6004" s="117"/>
      <c r="BB6004" s="117"/>
      <c r="BC6004" s="117"/>
      <c r="BD6004" s="117"/>
    </row>
    <row r="6005" spans="1:56">
      <c r="A6005" s="114"/>
      <c r="B6005" s="115"/>
      <c r="C6005" s="115"/>
      <c r="D6005" s="115"/>
      <c r="E6005" s="115"/>
      <c r="F6005" s="115"/>
      <c r="G6005" s="115"/>
      <c r="H6005" s="115"/>
      <c r="I6005" s="115"/>
      <c r="J6005" s="362"/>
      <c r="AX6005" s="117"/>
      <c r="AY6005" s="117"/>
      <c r="AZ6005" s="117"/>
      <c r="BA6005" s="117"/>
      <c r="BB6005" s="117"/>
      <c r="BC6005" s="117"/>
      <c r="BD6005" s="117"/>
    </row>
    <row r="6006" spans="1:56">
      <c r="A6006"/>
      <c r="B6006" s="385" t="s">
        <v>1334</v>
      </c>
      <c r="C6006" s="362"/>
      <c r="D6006" s="362"/>
      <c r="E6006" s="362"/>
      <c r="F6006" s="362"/>
      <c r="G6006" s="115"/>
      <c r="H6006" s="115"/>
      <c r="I6006" s="362"/>
      <c r="J6006" s="362"/>
      <c r="AX6006" s="117"/>
      <c r="AY6006" s="117"/>
      <c r="AZ6006" s="117"/>
      <c r="BA6006" s="117"/>
      <c r="BB6006" s="117"/>
      <c r="BC6006" s="117"/>
      <c r="BD6006" s="117"/>
    </row>
    <row r="6007" spans="1:56" ht="15">
      <c r="A6007" s="114"/>
      <c r="B6007" s="362"/>
      <c r="C6007" s="362"/>
      <c r="D6007" s="362"/>
      <c r="E6007" s="362"/>
      <c r="F6007" s="404"/>
      <c r="G6007" s="196"/>
      <c r="H6007" s="196"/>
      <c r="I6007" s="404"/>
      <c r="J6007" s="362"/>
      <c r="AX6007" s="117"/>
      <c r="AY6007" s="117"/>
      <c r="AZ6007" s="117"/>
      <c r="BA6007" s="117"/>
      <c r="BB6007" s="117"/>
      <c r="BC6007" s="117"/>
      <c r="BD6007" s="117"/>
    </row>
    <row r="6008" spans="1:56" ht="18">
      <c r="A6008" s="114"/>
      <c r="B6008" s="388" t="s">
        <v>1141</v>
      </c>
      <c r="C6008" s="389">
        <v>0.75</v>
      </c>
      <c r="D6008" s="390" t="s">
        <v>10</v>
      </c>
      <c r="E6008" s="196"/>
      <c r="F6008" s="405"/>
      <c r="G6008" s="196"/>
      <c r="H6008" s="196"/>
      <c r="I6008" s="405" t="s">
        <v>1143</v>
      </c>
      <c r="J6008" s="362"/>
      <c r="AX6008" s="117"/>
      <c r="AY6008" s="117"/>
      <c r="AZ6008" s="117"/>
      <c r="BA6008" s="117"/>
      <c r="BB6008" s="117"/>
      <c r="BC6008" s="117"/>
      <c r="BD6008" s="117"/>
    </row>
    <row r="6009" spans="1:56" ht="15">
      <c r="A6009" s="114"/>
      <c r="B6009" s="388" t="s">
        <v>1144</v>
      </c>
      <c r="C6009" s="389">
        <v>0.75</v>
      </c>
      <c r="D6009" s="390" t="s">
        <v>10</v>
      </c>
      <c r="E6009" s="196"/>
      <c r="F6009" s="405"/>
      <c r="G6009" s="362"/>
      <c r="H6009" s="362"/>
      <c r="I6009" s="405"/>
      <c r="J6009" s="362"/>
      <c r="AX6009" s="117"/>
      <c r="AY6009" s="117"/>
      <c r="AZ6009" s="117"/>
      <c r="BA6009" s="117"/>
      <c r="BB6009" s="117"/>
      <c r="BC6009" s="117"/>
      <c r="BD6009" s="117"/>
    </row>
    <row r="6010" spans="1:56" ht="15">
      <c r="A6010" s="114"/>
      <c r="B6010" s="388" t="s">
        <v>1145</v>
      </c>
      <c r="C6010" s="389">
        <v>5.8</v>
      </c>
      <c r="D6010" s="390" t="s">
        <v>10</v>
      </c>
      <c r="E6010" s="196"/>
      <c r="F6010" s="405"/>
      <c r="G6010" s="404"/>
      <c r="H6010" s="404"/>
      <c r="I6010" s="405"/>
      <c r="J6010" s="114"/>
      <c r="AW6010" s="117"/>
      <c r="AX6010" s="117"/>
      <c r="AY6010" s="117"/>
      <c r="AZ6010" s="117"/>
      <c r="BA6010" s="117"/>
      <c r="BB6010" s="117"/>
      <c r="BC6010" s="117"/>
      <c r="BD6010" s="117"/>
    </row>
    <row r="6011" spans="1:56" ht="18">
      <c r="A6011" s="114"/>
      <c r="B6011" s="388" t="s">
        <v>1146</v>
      </c>
      <c r="C6011" s="389">
        <v>4</v>
      </c>
      <c r="D6011" s="390" t="s">
        <v>10</v>
      </c>
      <c r="E6011" s="196"/>
      <c r="F6011" s="405"/>
      <c r="G6011" s="406" t="s">
        <v>1142</v>
      </c>
      <c r="H6011" s="407">
        <f>C6008*C6009</f>
        <v>0.5625</v>
      </c>
      <c r="I6011" s="405" t="s">
        <v>1143</v>
      </c>
      <c r="J6011" s="114"/>
      <c r="AW6011" s="117"/>
      <c r="AX6011" s="117"/>
      <c r="AY6011" s="117"/>
      <c r="AZ6011" s="117"/>
      <c r="BA6011" s="117"/>
      <c r="BB6011" s="117"/>
      <c r="BC6011" s="117"/>
      <c r="BD6011" s="117"/>
    </row>
    <row r="6012" spans="1:56" ht="18">
      <c r="A6012" s="114"/>
      <c r="B6012" s="388" t="s">
        <v>1112</v>
      </c>
      <c r="C6012" s="389">
        <v>0.55000000000000004</v>
      </c>
      <c r="D6012" s="390" t="s">
        <v>10</v>
      </c>
      <c r="E6012" s="196"/>
      <c r="F6012" s="405"/>
      <c r="G6012" s="406" t="e">
        <f>TEXT(C6016,"tg 0°=")</f>
        <v>#VALUE!</v>
      </c>
      <c r="H6012" s="408">
        <f>TAN(3.14159265359*C6016/180)</f>
        <v>1.732050807569153</v>
      </c>
      <c r="I6012" s="405" t="s">
        <v>1143</v>
      </c>
      <c r="J6012" s="114"/>
      <c r="AW6012" s="117"/>
      <c r="AX6012" s="117"/>
      <c r="AY6012" s="117"/>
      <c r="AZ6012" s="117"/>
      <c r="BA6012" s="117"/>
      <c r="BB6012" s="117"/>
      <c r="BC6012" s="117"/>
      <c r="BD6012" s="117"/>
    </row>
    <row r="6013" spans="1:56" customFormat="1" ht="15">
      <c r="A6013" s="114"/>
      <c r="B6013" s="388" t="s">
        <v>1113</v>
      </c>
      <c r="C6013" s="389">
        <v>2.6</v>
      </c>
      <c r="D6013" s="390" t="s">
        <v>10</v>
      </c>
      <c r="E6013" s="196"/>
      <c r="F6013" s="405"/>
      <c r="G6013" s="406"/>
      <c r="H6013" s="407"/>
      <c r="I6013" s="405"/>
      <c r="J6013" s="362"/>
    </row>
    <row r="6014" spans="1:56" ht="15">
      <c r="A6014" s="114"/>
      <c r="B6014" s="388" t="s">
        <v>1117</v>
      </c>
      <c r="C6014" s="391">
        <v>6</v>
      </c>
      <c r="D6014" s="390" t="s">
        <v>1118</v>
      </c>
      <c r="E6014" s="196"/>
      <c r="F6014" s="405"/>
      <c r="G6014" s="406" t="s">
        <v>1142</v>
      </c>
      <c r="H6014" s="409">
        <f>(C6010+2*C6018+((C6012+C6013+0.05)/H6012)*2)*(C6011+2*C6018+((C6012+C6013+0.05)/H6012)*2)</f>
        <v>91.254825662522578</v>
      </c>
      <c r="I6014" s="405"/>
      <c r="J6014" s="404"/>
      <c r="AX6014" s="117"/>
      <c r="AY6014" s="117"/>
      <c r="AZ6014" s="117"/>
      <c r="BA6014" s="117"/>
      <c r="BB6014" s="117"/>
      <c r="BC6014" s="117"/>
      <c r="BD6014" s="117"/>
    </row>
    <row r="6015" spans="1:56" ht="15">
      <c r="A6015" s="114"/>
      <c r="B6015" s="196" t="s">
        <v>1148</v>
      </c>
      <c r="C6015" s="393"/>
      <c r="D6015" s="196"/>
      <c r="E6015" s="196"/>
      <c r="F6015" s="405"/>
      <c r="G6015" s="406" t="s">
        <v>1147</v>
      </c>
      <c r="H6015" s="409">
        <f>(C6010+2*C6018)*(C6011+2*C6018)</f>
        <v>34</v>
      </c>
      <c r="I6015" s="405"/>
      <c r="J6015" s="405"/>
      <c r="AX6015" s="117"/>
      <c r="AY6015" s="117"/>
      <c r="AZ6015" s="117"/>
      <c r="BA6015" s="117"/>
      <c r="BB6015" s="117"/>
      <c r="BC6015" s="117"/>
      <c r="BD6015" s="117"/>
    </row>
    <row r="6016" spans="1:56" ht="15">
      <c r="A6016" s="114"/>
      <c r="B6016" s="388" t="s">
        <v>1149</v>
      </c>
      <c r="C6016" s="389">
        <v>60</v>
      </c>
      <c r="D6016" s="390" t="s">
        <v>1150</v>
      </c>
      <c r="E6016" s="196"/>
      <c r="F6016" s="196"/>
      <c r="G6016" s="406"/>
      <c r="H6016" s="407"/>
      <c r="I6016" s="196"/>
      <c r="J6016" s="405"/>
      <c r="AX6016" s="117"/>
      <c r="AY6016" s="117"/>
      <c r="AZ6016" s="117"/>
      <c r="BA6016" s="117"/>
      <c r="BB6016" s="117"/>
      <c r="BC6016" s="117"/>
      <c r="BD6016" s="117"/>
    </row>
    <row r="6017" spans="1:56" ht="15">
      <c r="A6017" s="114"/>
      <c r="B6017" s="362"/>
      <c r="C6017" s="196"/>
      <c r="D6017" s="196"/>
      <c r="E6017" s="196"/>
      <c r="F6017" s="196"/>
      <c r="G6017" s="406"/>
      <c r="H6017" s="407"/>
      <c r="I6017" s="362"/>
      <c r="J6017" s="405"/>
      <c r="AX6017" s="117"/>
      <c r="AY6017" s="117"/>
      <c r="AZ6017" s="117"/>
      <c r="BA6017" s="117"/>
      <c r="BB6017" s="117"/>
      <c r="BC6017" s="117"/>
      <c r="BD6017" s="117"/>
    </row>
    <row r="6018" spans="1:56" ht="15">
      <c r="A6018" s="114"/>
      <c r="B6018" s="388" t="s">
        <v>1114</v>
      </c>
      <c r="C6018" s="389">
        <v>0.5</v>
      </c>
      <c r="D6018" s="390" t="s">
        <v>10</v>
      </c>
      <c r="E6018" s="288" t="s">
        <v>1120</v>
      </c>
      <c r="F6018" s="196"/>
      <c r="G6018" s="406"/>
      <c r="H6018" s="407"/>
      <c r="I6018" s="114"/>
      <c r="J6018" s="405"/>
      <c r="AX6018" s="117"/>
      <c r="AY6018" s="117"/>
      <c r="AZ6018" s="117"/>
      <c r="BA6018" s="117"/>
      <c r="BB6018" s="117"/>
      <c r="BC6018" s="117"/>
      <c r="BD6018" s="117"/>
    </row>
    <row r="6019" spans="1:56" ht="15">
      <c r="A6019" s="114"/>
      <c r="B6019" s="388" t="s">
        <v>1114</v>
      </c>
      <c r="C6019" s="389">
        <v>0.1</v>
      </c>
      <c r="D6019" s="390" t="s">
        <v>10</v>
      </c>
      <c r="E6019" s="288" t="s">
        <v>1121</v>
      </c>
      <c r="F6019" s="196"/>
      <c r="G6019" s="392"/>
      <c r="H6019" s="393"/>
      <c r="I6019" s="196"/>
      <c r="J6019" s="405"/>
      <c r="AX6019" s="117"/>
      <c r="AY6019" s="117"/>
      <c r="AZ6019" s="117"/>
      <c r="BA6019" s="117"/>
      <c r="BB6019" s="117"/>
      <c r="BC6019" s="117"/>
      <c r="BD6019" s="117"/>
    </row>
    <row r="6020" spans="1:56" ht="15">
      <c r="A6020" s="114"/>
      <c r="B6020" s="362"/>
      <c r="C6020" s="362"/>
      <c r="D6020" s="362"/>
      <c r="E6020" s="362"/>
      <c r="F6020" s="362"/>
      <c r="G6020" s="362"/>
      <c r="H6020" s="362"/>
      <c r="I6020" s="196"/>
      <c r="J6020" s="405"/>
      <c r="AX6020" s="117"/>
      <c r="AY6020" s="117"/>
      <c r="AZ6020" s="117"/>
      <c r="BA6020" s="117"/>
      <c r="BB6020" s="117"/>
      <c r="BC6020" s="117"/>
      <c r="BD6020" s="117"/>
    </row>
    <row r="6021" spans="1:56" ht="15">
      <c r="A6021" s="114"/>
      <c r="B6021" s="303" t="s">
        <v>1122</v>
      </c>
      <c r="C6021" s="362"/>
      <c r="D6021" s="362"/>
      <c r="E6021" s="362"/>
      <c r="F6021" s="362"/>
      <c r="G6021" s="196" t="s">
        <v>1131</v>
      </c>
      <c r="H6021" s="114"/>
      <c r="I6021" s="196"/>
      <c r="J6021" s="405"/>
      <c r="AX6021" s="117"/>
      <c r="AY6021" s="117"/>
      <c r="AZ6021" s="117"/>
      <c r="BA6021" s="117"/>
      <c r="BB6021" s="117"/>
      <c r="BC6021" s="117"/>
      <c r="BD6021" s="117"/>
    </row>
    <row r="6022" spans="1:56" ht="18">
      <c r="A6022" s="114"/>
      <c r="B6022" s="398" t="s">
        <v>1123</v>
      </c>
      <c r="C6022" s="172"/>
      <c r="D6022" s="173"/>
      <c r="E6022" s="397">
        <f>C6014*((H6015+H6014)/2)*(C6012+C6013+0.05)</f>
        <v>1202.4463263602167</v>
      </c>
      <c r="F6022" s="390" t="s">
        <v>1124</v>
      </c>
      <c r="G6022" s="196"/>
      <c r="H6022" s="196"/>
      <c r="I6022" s="362"/>
      <c r="J6022" s="405"/>
      <c r="AX6022" s="117"/>
      <c r="AY6022" s="117"/>
      <c r="AZ6022" s="117"/>
      <c r="BA6022" s="117"/>
      <c r="BB6022" s="117"/>
      <c r="BC6022" s="117"/>
      <c r="BD6022" s="117"/>
    </row>
    <row r="6023" spans="1:56" ht="18">
      <c r="A6023" s="114"/>
      <c r="B6023" s="398" t="s">
        <v>1125</v>
      </c>
      <c r="C6023" s="172"/>
      <c r="D6023" s="173"/>
      <c r="E6023" s="400">
        <f>E6022-C6014*(C6010*C6011*C6013+C6010*C6011*0.05+C6008*C6009*C6012)</f>
        <v>831.71007636021682</v>
      </c>
      <c r="F6023" s="390" t="s">
        <v>1124</v>
      </c>
      <c r="G6023" s="196"/>
      <c r="H6023" s="196"/>
      <c r="I6023" s="196"/>
      <c r="J6023" s="196"/>
      <c r="AX6023" s="117"/>
      <c r="AY6023" s="117"/>
      <c r="AZ6023" s="117"/>
      <c r="BA6023" s="117"/>
      <c r="BB6023" s="117"/>
      <c r="BC6023" s="117"/>
      <c r="BD6023" s="117"/>
    </row>
    <row r="6024" spans="1:56" ht="15">
      <c r="A6024" s="114"/>
      <c r="B6024" s="398" t="s">
        <v>1126</v>
      </c>
      <c r="C6024" s="172"/>
      <c r="D6024" s="173"/>
      <c r="E6024" s="400">
        <f>((C6010+2*C6019)*(C6011+2*C6019))*C6014</f>
        <v>151.20000000000002</v>
      </c>
      <c r="F6024" s="390" t="s">
        <v>13</v>
      </c>
      <c r="G6024" s="362"/>
      <c r="H6024" s="362"/>
      <c r="I6024" s="362"/>
      <c r="J6024" s="196"/>
      <c r="AX6024" s="117"/>
      <c r="AY6024" s="117"/>
      <c r="AZ6024" s="117"/>
      <c r="BA6024" s="117"/>
      <c r="BB6024" s="117"/>
      <c r="BC6024" s="117"/>
      <c r="BD6024" s="117"/>
    </row>
    <row r="6025" spans="1:56" ht="15">
      <c r="A6025" s="114"/>
      <c r="B6025" s="362"/>
      <c r="C6025" s="362"/>
      <c r="D6025" s="362"/>
      <c r="E6025" s="401"/>
      <c r="F6025" s="196"/>
      <c r="G6025" s="362"/>
      <c r="H6025" s="362"/>
      <c r="I6025" s="362"/>
      <c r="J6025" s="196"/>
      <c r="AX6025" s="117"/>
      <c r="AY6025" s="117"/>
      <c r="AZ6025" s="117"/>
      <c r="BA6025" s="117"/>
      <c r="BB6025" s="117"/>
      <c r="BC6025" s="117"/>
      <c r="BD6025" s="117"/>
    </row>
    <row r="6026" spans="1:56" ht="15">
      <c r="A6026" s="114"/>
      <c r="B6026" s="303" t="s">
        <v>1162</v>
      </c>
      <c r="C6026" s="362"/>
      <c r="D6026" s="362"/>
      <c r="E6026" s="410"/>
      <c r="F6026" s="362"/>
      <c r="G6026" s="362"/>
      <c r="H6026" s="362"/>
      <c r="I6026" s="362"/>
      <c r="J6026" s="196"/>
      <c r="AX6026" s="117"/>
      <c r="AY6026" s="117"/>
      <c r="AZ6026" s="117"/>
      <c r="BA6026" s="117"/>
      <c r="BB6026" s="117"/>
      <c r="BC6026" s="117"/>
      <c r="BD6026" s="117"/>
    </row>
    <row r="6027" spans="1:56" ht="15">
      <c r="A6027" s="114"/>
      <c r="B6027" s="398" t="s">
        <v>1152</v>
      </c>
      <c r="C6027" s="398"/>
      <c r="D6027" s="366"/>
      <c r="E6027" s="411">
        <v>5</v>
      </c>
      <c r="F6027" s="390" t="s">
        <v>1153</v>
      </c>
      <c r="G6027" s="362"/>
      <c r="H6027" s="362"/>
      <c r="I6027" s="362"/>
      <c r="J6027" s="196"/>
      <c r="AX6027" s="117"/>
      <c r="AY6027" s="117"/>
      <c r="AZ6027" s="117"/>
      <c r="BA6027" s="117"/>
      <c r="BB6027" s="117"/>
      <c r="BC6027" s="117"/>
      <c r="BD6027" s="117"/>
    </row>
    <row r="6028" spans="1:56" ht="15">
      <c r="A6028" s="114"/>
      <c r="B6028" s="399" t="s">
        <v>1154</v>
      </c>
      <c r="C6028" s="31"/>
      <c r="D6028" s="32"/>
      <c r="E6028" s="412">
        <f>C6014*E6027</f>
        <v>30</v>
      </c>
      <c r="F6028" s="390" t="s">
        <v>1153</v>
      </c>
      <c r="G6028" s="362"/>
      <c r="H6028" s="362"/>
      <c r="I6028" s="362"/>
      <c r="J6028" s="196"/>
      <c r="AX6028" s="117"/>
      <c r="AY6028" s="117"/>
      <c r="AZ6028" s="117"/>
      <c r="BA6028" s="117"/>
      <c r="BB6028" s="117"/>
      <c r="BC6028" s="117"/>
      <c r="BD6028" s="117"/>
    </row>
    <row r="6029" spans="1:56" ht="15">
      <c r="A6029" s="114"/>
      <c r="B6029" s="398" t="s">
        <v>1155</v>
      </c>
      <c r="C6029" s="21"/>
      <c r="D6029" s="413"/>
      <c r="E6029" s="411">
        <v>700</v>
      </c>
      <c r="F6029" s="390" t="s">
        <v>1156</v>
      </c>
      <c r="G6029" s="362"/>
      <c r="H6029" s="414"/>
      <c r="I6029" s="362"/>
      <c r="J6029" s="362"/>
      <c r="AX6029" s="117"/>
      <c r="AY6029" s="117"/>
      <c r="AZ6029" s="117"/>
      <c r="BA6029" s="117"/>
      <c r="BB6029" s="117"/>
      <c r="BC6029" s="117"/>
      <c r="BD6029" s="117"/>
    </row>
    <row r="6030" spans="1:56" ht="15">
      <c r="A6030" s="114"/>
      <c r="B6030" s="398" t="s">
        <v>1157</v>
      </c>
      <c r="C6030" s="21"/>
      <c r="D6030" s="413"/>
      <c r="E6030" s="418">
        <v>32</v>
      </c>
      <c r="F6030" s="390" t="s">
        <v>10</v>
      </c>
      <c r="G6030" s="362"/>
      <c r="H6030" s="6"/>
      <c r="I6030" s="362"/>
      <c r="J6030" s="196"/>
      <c r="AX6030" s="117"/>
      <c r="AY6030" s="117"/>
      <c r="AZ6030" s="117"/>
      <c r="BA6030" s="117"/>
      <c r="BB6030" s="117"/>
      <c r="BC6030" s="117"/>
      <c r="BD6030" s="117"/>
    </row>
    <row r="6031" spans="1:56" ht="15">
      <c r="A6031" s="114"/>
      <c r="B6031" s="398" t="s">
        <v>1158</v>
      </c>
      <c r="C6031" s="21"/>
      <c r="D6031" s="413"/>
      <c r="E6031" s="412">
        <f>E6028*E6030</f>
        <v>960</v>
      </c>
      <c r="F6031" s="390" t="s">
        <v>10</v>
      </c>
      <c r="G6031" s="362"/>
      <c r="H6031" s="362"/>
      <c r="I6031" s="362"/>
      <c r="J6031" s="362"/>
      <c r="AX6031" s="117"/>
      <c r="AY6031" s="117"/>
      <c r="AZ6031" s="117"/>
      <c r="BA6031" s="117"/>
      <c r="BB6031" s="117"/>
      <c r="BC6031" s="117"/>
      <c r="BD6031" s="117"/>
    </row>
    <row r="6032" spans="1:56" ht="15">
      <c r="A6032" s="114"/>
      <c r="B6032" s="362"/>
      <c r="C6032" s="362"/>
      <c r="D6032" s="362"/>
      <c r="E6032" s="410"/>
      <c r="F6032" s="362"/>
      <c r="G6032" s="362"/>
      <c r="H6032" s="362"/>
      <c r="I6032" s="362"/>
      <c r="J6032" s="362"/>
      <c r="AX6032" s="117"/>
      <c r="AY6032" s="117"/>
      <c r="AZ6032" s="117"/>
      <c r="BA6032" s="117"/>
      <c r="BB6032" s="117"/>
      <c r="BC6032" s="117"/>
      <c r="BD6032" s="117"/>
    </row>
    <row r="6033" spans="1:56" ht="15">
      <c r="A6033" s="114"/>
      <c r="B6033" s="303" t="s">
        <v>1160</v>
      </c>
      <c r="C6033" s="362"/>
      <c r="D6033" s="362"/>
      <c r="E6033" s="410"/>
      <c r="F6033" s="362"/>
      <c r="G6033" s="362"/>
      <c r="H6033" s="362"/>
      <c r="I6033" s="362"/>
      <c r="J6033" s="362"/>
      <c r="AX6033" s="117"/>
      <c r="AY6033" s="117"/>
      <c r="AZ6033" s="117"/>
      <c r="BA6033" s="117"/>
      <c r="BB6033" s="117"/>
      <c r="BC6033" s="117"/>
      <c r="BD6033" s="117"/>
    </row>
    <row r="6034" spans="1:56" ht="18">
      <c r="A6034" s="114"/>
      <c r="B6034" s="398" t="s">
        <v>1128</v>
      </c>
      <c r="C6034" s="172"/>
      <c r="D6034" s="173"/>
      <c r="E6034" s="402">
        <f>E6024*0.05</f>
        <v>7.5600000000000014</v>
      </c>
      <c r="F6034" s="390" t="s">
        <v>1124</v>
      </c>
      <c r="G6034" s="362"/>
      <c r="H6034" s="362"/>
      <c r="I6034" s="362"/>
      <c r="J6034" s="362"/>
      <c r="AX6034" s="117"/>
      <c r="AY6034" s="117"/>
      <c r="AZ6034" s="117"/>
      <c r="BA6034" s="117"/>
      <c r="BB6034" s="117"/>
      <c r="BC6034" s="117"/>
      <c r="BD6034" s="117"/>
    </row>
    <row r="6035" spans="1:56" ht="15">
      <c r="A6035" s="114"/>
      <c r="B6035" s="398" t="s">
        <v>1129</v>
      </c>
      <c r="C6035" s="172"/>
      <c r="D6035" s="173"/>
      <c r="E6035" s="397">
        <f>(2*(C6010+C6011)*C6013)*C6014</f>
        <v>305.76000000000005</v>
      </c>
      <c r="F6035" s="390" t="s">
        <v>13</v>
      </c>
      <c r="G6035" s="362"/>
      <c r="H6035" s="362"/>
      <c r="I6035" s="362"/>
      <c r="J6035" s="362"/>
      <c r="AX6035" s="117"/>
      <c r="AY6035" s="117"/>
      <c r="AZ6035" s="117"/>
      <c r="BA6035" s="117"/>
      <c r="BB6035" s="117"/>
      <c r="BC6035" s="117"/>
      <c r="BD6035" s="117"/>
    </row>
    <row r="6036" spans="1:56" ht="18">
      <c r="A6036" s="114"/>
      <c r="B6036" s="398" t="s">
        <v>1130</v>
      </c>
      <c r="C6036" s="172"/>
      <c r="D6036" s="173"/>
      <c r="E6036" s="402">
        <f>(C6010*C6011*C6013)*C6014</f>
        <v>361.92</v>
      </c>
      <c r="F6036" s="390" t="s">
        <v>1124</v>
      </c>
      <c r="G6036" s="362"/>
      <c r="H6036" s="362"/>
      <c r="I6036" s="362"/>
      <c r="J6036" s="415"/>
      <c r="AX6036" s="117"/>
      <c r="AY6036" s="117"/>
      <c r="AZ6036" s="117"/>
      <c r="BA6036" s="117"/>
      <c r="BB6036" s="117"/>
      <c r="BC6036" s="117"/>
      <c r="BD6036" s="117"/>
    </row>
    <row r="6037" spans="1:56">
      <c r="A6037" s="114"/>
      <c r="B6037" s="115"/>
      <c r="C6037" s="115"/>
      <c r="D6037" s="115"/>
      <c r="E6037" s="115"/>
      <c r="F6037" s="115"/>
      <c r="G6037" s="115"/>
      <c r="H6037" s="115"/>
      <c r="I6037" s="115"/>
      <c r="J6037" s="362"/>
      <c r="AX6037" s="117"/>
      <c r="AY6037" s="117"/>
      <c r="AZ6037" s="117"/>
      <c r="BA6037" s="117"/>
      <c r="BB6037" s="117"/>
      <c r="BC6037" s="117"/>
      <c r="BD6037" s="117"/>
    </row>
    <row r="6038" spans="1:56">
      <c r="A6038" s="114"/>
      <c r="B6038" s="115"/>
      <c r="C6038" s="115"/>
      <c r="D6038" s="115"/>
      <c r="E6038" s="115"/>
      <c r="F6038" s="115"/>
      <c r="G6038" s="115"/>
      <c r="H6038" s="115"/>
      <c r="I6038" s="115"/>
      <c r="J6038" s="362"/>
      <c r="AX6038" s="117"/>
      <c r="AY6038" s="117"/>
      <c r="AZ6038" s="117"/>
      <c r="BA6038" s="117"/>
      <c r="BB6038" s="117"/>
      <c r="BC6038" s="117"/>
      <c r="BD6038" s="117"/>
    </row>
    <row r="6039" spans="1:56">
      <c r="A6039" s="114"/>
      <c r="B6039" s="115"/>
      <c r="C6039" s="115"/>
      <c r="D6039" s="115"/>
      <c r="E6039" s="115"/>
      <c r="F6039" s="115"/>
      <c r="G6039" s="115"/>
      <c r="H6039" s="115"/>
      <c r="I6039" s="115"/>
      <c r="J6039" s="362"/>
      <c r="AX6039" s="117"/>
      <c r="AY6039" s="117"/>
      <c r="AZ6039" s="117"/>
      <c r="BA6039" s="117"/>
      <c r="BB6039" s="117"/>
      <c r="BC6039" s="117"/>
      <c r="BD6039" s="117"/>
    </row>
    <row r="6040" spans="1:56">
      <c r="A6040"/>
      <c r="B6040" s="385" t="s">
        <v>1335</v>
      </c>
      <c r="C6040" s="362"/>
      <c r="D6040" s="362"/>
      <c r="E6040" s="362"/>
      <c r="F6040" s="362"/>
      <c r="G6040" s="115"/>
      <c r="H6040" s="115"/>
      <c r="I6040" s="362"/>
      <c r="J6040" s="362"/>
      <c r="AX6040" s="117"/>
      <c r="AY6040" s="117"/>
      <c r="AZ6040" s="117"/>
      <c r="BA6040" s="117"/>
      <c r="BB6040" s="117"/>
      <c r="BC6040" s="117"/>
      <c r="BD6040" s="117"/>
    </row>
    <row r="6041" spans="1:56" ht="15">
      <c r="A6041" s="114"/>
      <c r="B6041" s="362"/>
      <c r="C6041" s="362"/>
      <c r="D6041" s="362"/>
      <c r="E6041" s="362"/>
      <c r="F6041" s="404"/>
      <c r="G6041" s="196"/>
      <c r="H6041" s="196"/>
      <c r="I6041" s="404"/>
      <c r="J6041" s="362"/>
      <c r="AX6041" s="117"/>
      <c r="AY6041" s="117"/>
      <c r="AZ6041" s="117"/>
      <c r="BA6041" s="117"/>
      <c r="BB6041" s="117"/>
      <c r="BC6041" s="117"/>
      <c r="BD6041" s="117"/>
    </row>
    <row r="6042" spans="1:56" ht="18">
      <c r="A6042" s="114"/>
      <c r="B6042" s="388" t="s">
        <v>1141</v>
      </c>
      <c r="C6042" s="389">
        <v>0.75</v>
      </c>
      <c r="D6042" s="390" t="s">
        <v>10</v>
      </c>
      <c r="E6042" s="196"/>
      <c r="F6042" s="405"/>
      <c r="G6042" s="196"/>
      <c r="H6042" s="196"/>
      <c r="I6042" s="405" t="s">
        <v>1143</v>
      </c>
      <c r="J6042" s="362"/>
      <c r="AX6042" s="117"/>
      <c r="AY6042" s="117"/>
      <c r="AZ6042" s="117"/>
      <c r="BA6042" s="117"/>
      <c r="BB6042" s="117"/>
      <c r="BC6042" s="117"/>
      <c r="BD6042" s="117"/>
    </row>
    <row r="6043" spans="1:56" ht="15">
      <c r="A6043" s="114"/>
      <c r="B6043" s="388" t="s">
        <v>1144</v>
      </c>
      <c r="C6043" s="389">
        <v>0.75</v>
      </c>
      <c r="D6043" s="390" t="s">
        <v>10</v>
      </c>
      <c r="E6043" s="196"/>
      <c r="F6043" s="405"/>
      <c r="G6043" s="362"/>
      <c r="H6043" s="362"/>
      <c r="I6043" s="405"/>
      <c r="J6043" s="362"/>
      <c r="AX6043" s="117"/>
      <c r="AY6043" s="117"/>
      <c r="AZ6043" s="117"/>
      <c r="BA6043" s="117"/>
      <c r="BB6043" s="117"/>
      <c r="BC6043" s="117"/>
      <c r="BD6043" s="117"/>
    </row>
    <row r="6044" spans="1:56" ht="15">
      <c r="A6044" s="114"/>
      <c r="B6044" s="388" t="s">
        <v>1145</v>
      </c>
      <c r="C6044" s="389">
        <v>7.2</v>
      </c>
      <c r="D6044" s="390" t="s">
        <v>10</v>
      </c>
      <c r="E6044" s="196"/>
      <c r="F6044" s="405"/>
      <c r="G6044" s="404"/>
      <c r="H6044" s="404"/>
      <c r="I6044" s="405"/>
      <c r="J6044" s="114"/>
      <c r="AW6044" s="117"/>
      <c r="AX6044" s="117"/>
      <c r="AY6044" s="117"/>
      <c r="AZ6044" s="117"/>
      <c r="BA6044" s="117"/>
      <c r="BB6044" s="117"/>
      <c r="BC6044" s="117"/>
      <c r="BD6044" s="117"/>
    </row>
    <row r="6045" spans="1:56" s="495" customFormat="1" ht="18">
      <c r="A6045" s="114"/>
      <c r="B6045" s="388" t="s">
        <v>1146</v>
      </c>
      <c r="C6045" s="389">
        <v>4.5999999999999996</v>
      </c>
      <c r="D6045" s="390" t="s">
        <v>10</v>
      </c>
      <c r="E6045" s="196"/>
      <c r="F6045" s="405"/>
      <c r="G6045" s="406" t="s">
        <v>1142</v>
      </c>
      <c r="H6045" s="407">
        <f>C6042*C6043</f>
        <v>0.5625</v>
      </c>
      <c r="I6045" s="405" t="s">
        <v>1143</v>
      </c>
      <c r="J6045" s="494"/>
      <c r="K6045" s="449"/>
      <c r="L6045" s="449"/>
      <c r="M6045" s="449"/>
      <c r="N6045" s="449"/>
      <c r="O6045" s="449"/>
      <c r="P6045" s="449"/>
      <c r="Q6045" s="449"/>
      <c r="R6045" s="449"/>
      <c r="S6045" s="449"/>
      <c r="T6045" s="449"/>
      <c r="U6045" s="449"/>
      <c r="V6045" s="449"/>
      <c r="W6045" s="449"/>
      <c r="X6045" s="449"/>
      <c r="Y6045" s="449"/>
      <c r="Z6045" s="449"/>
      <c r="AA6045" s="449"/>
      <c r="AB6045" s="449"/>
      <c r="AC6045" s="449"/>
      <c r="AD6045" s="449"/>
      <c r="AE6045" s="449"/>
      <c r="AF6045" s="449"/>
      <c r="AG6045" s="449"/>
      <c r="AH6045" s="449"/>
      <c r="AI6045" s="449"/>
      <c r="AJ6045" s="449"/>
      <c r="AK6045" s="449"/>
      <c r="AL6045" s="449"/>
      <c r="AM6045" s="449"/>
      <c r="AN6045" s="449"/>
      <c r="AO6045" s="449"/>
      <c r="AP6045" s="449"/>
      <c r="AQ6045" s="449"/>
      <c r="AR6045" s="449"/>
      <c r="AS6045" s="449"/>
      <c r="AT6045" s="449"/>
      <c r="AU6045" s="449"/>
      <c r="AV6045" s="449"/>
      <c r="AW6045" s="449"/>
    </row>
    <row r="6046" spans="1:56" s="495" customFormat="1" ht="18">
      <c r="A6046" s="114"/>
      <c r="B6046" s="388" t="s">
        <v>1112</v>
      </c>
      <c r="C6046" s="389">
        <v>0.55000000000000004</v>
      </c>
      <c r="D6046" s="390" t="s">
        <v>10</v>
      </c>
      <c r="E6046" s="196"/>
      <c r="F6046" s="405"/>
      <c r="G6046" s="406" t="e">
        <f>TEXT(C6050,"tg 0°=")</f>
        <v>#VALUE!</v>
      </c>
      <c r="H6046" s="408">
        <f>TAN(3.14159265359*C6050/180)</f>
        <v>1.732050807569153</v>
      </c>
      <c r="I6046" s="405" t="s">
        <v>1143</v>
      </c>
      <c r="J6046" s="401"/>
      <c r="K6046" s="449"/>
      <c r="L6046" s="449"/>
      <c r="M6046" s="449"/>
      <c r="N6046" s="449"/>
      <c r="O6046" s="449"/>
      <c r="P6046" s="449"/>
      <c r="Q6046" s="449"/>
      <c r="R6046" s="449"/>
      <c r="S6046" s="449"/>
      <c r="T6046" s="449"/>
      <c r="U6046" s="449"/>
      <c r="V6046" s="449"/>
      <c r="W6046" s="449"/>
      <c r="X6046" s="449"/>
      <c r="Y6046" s="449"/>
      <c r="Z6046" s="449"/>
      <c r="AA6046" s="449"/>
      <c r="AB6046" s="449"/>
      <c r="AC6046" s="449"/>
      <c r="AD6046" s="449"/>
      <c r="AE6046" s="449"/>
      <c r="AF6046" s="449"/>
      <c r="AG6046" s="449"/>
      <c r="AH6046" s="449"/>
      <c r="AI6046" s="449"/>
      <c r="AJ6046" s="449"/>
      <c r="AK6046" s="449"/>
      <c r="AL6046" s="449"/>
      <c r="AM6046" s="449"/>
      <c r="AN6046" s="449"/>
      <c r="AO6046" s="449"/>
      <c r="AP6046" s="449"/>
      <c r="AQ6046" s="449"/>
      <c r="AR6046" s="449"/>
      <c r="AS6046" s="449"/>
      <c r="AT6046" s="449"/>
      <c r="AU6046" s="449"/>
      <c r="AV6046" s="449"/>
      <c r="AW6046" s="449"/>
    </row>
    <row r="6047" spans="1:56" customFormat="1" ht="15">
      <c r="A6047" s="114"/>
      <c r="B6047" s="388" t="s">
        <v>1113</v>
      </c>
      <c r="C6047" s="389">
        <v>3</v>
      </c>
      <c r="D6047" s="390" t="s">
        <v>10</v>
      </c>
      <c r="E6047" s="196"/>
      <c r="F6047" s="405"/>
      <c r="G6047" s="406"/>
      <c r="H6047" s="407"/>
      <c r="I6047" s="405"/>
      <c r="J6047" s="362"/>
    </row>
    <row r="6048" spans="1:56" ht="15">
      <c r="A6048" s="114"/>
      <c r="B6048" s="388" t="s">
        <v>1117</v>
      </c>
      <c r="C6048" s="391">
        <v>1</v>
      </c>
      <c r="D6048" s="390" t="s">
        <v>1118</v>
      </c>
      <c r="E6048" s="196"/>
      <c r="F6048" s="405"/>
      <c r="G6048" s="406" t="s">
        <v>1142</v>
      </c>
      <c r="H6048" s="409">
        <f>(C6044+2*C6052+((C6046+C6047+0.05)/H6046)*2)*(C6045+2*C6052+((C6046+C6047+0.05)/H6046)*2)</f>
        <v>120.56552274666656</v>
      </c>
      <c r="I6048" s="405"/>
      <c r="J6048" s="362"/>
      <c r="AW6048" s="117"/>
      <c r="AX6048" s="117"/>
      <c r="AY6048" s="117"/>
      <c r="AZ6048" s="117"/>
      <c r="BA6048" s="117"/>
      <c r="BB6048" s="117"/>
      <c r="BC6048" s="117"/>
      <c r="BD6048" s="117"/>
    </row>
    <row r="6049" spans="1:56" ht="15">
      <c r="A6049" s="114"/>
      <c r="B6049" s="196" t="s">
        <v>1148</v>
      </c>
      <c r="C6049" s="393"/>
      <c r="D6049" s="196"/>
      <c r="E6049" s="196"/>
      <c r="F6049" s="405"/>
      <c r="G6049" s="406" t="s">
        <v>1147</v>
      </c>
      <c r="H6049" s="409">
        <f>(C6044+2*C6052)*(C6045+2*C6052)</f>
        <v>45.919999999999995</v>
      </c>
      <c r="I6049" s="405"/>
      <c r="J6049" s="362"/>
      <c r="AW6049" s="117"/>
      <c r="AX6049" s="117"/>
      <c r="AY6049" s="117"/>
      <c r="AZ6049" s="117"/>
      <c r="BA6049" s="117"/>
      <c r="BB6049" s="117"/>
      <c r="BC6049" s="117"/>
      <c r="BD6049" s="117"/>
    </row>
    <row r="6050" spans="1:56" ht="15">
      <c r="A6050" s="114"/>
      <c r="B6050" s="388" t="s">
        <v>1149</v>
      </c>
      <c r="C6050" s="389">
        <v>60</v>
      </c>
      <c r="D6050" s="390" t="s">
        <v>1150</v>
      </c>
      <c r="E6050" s="196"/>
      <c r="F6050" s="196"/>
      <c r="G6050" s="406"/>
      <c r="H6050" s="407"/>
      <c r="I6050" s="196"/>
      <c r="J6050" s="401"/>
      <c r="AW6050" s="117"/>
      <c r="AX6050" s="117"/>
      <c r="AY6050" s="117"/>
      <c r="AZ6050" s="117"/>
      <c r="BA6050" s="117"/>
      <c r="BB6050" s="117"/>
      <c r="BC6050" s="117"/>
      <c r="BD6050" s="117"/>
    </row>
    <row r="6051" spans="1:56" ht="15">
      <c r="A6051" s="114"/>
      <c r="B6051" s="362"/>
      <c r="C6051" s="196"/>
      <c r="D6051" s="196"/>
      <c r="E6051" s="196"/>
      <c r="F6051" s="196"/>
      <c r="G6051" s="406"/>
      <c r="H6051" s="407"/>
      <c r="I6051" s="362"/>
      <c r="J6051" s="401"/>
      <c r="AW6051" s="117"/>
      <c r="AX6051" s="117"/>
      <c r="AY6051" s="117"/>
      <c r="AZ6051" s="117"/>
      <c r="BA6051" s="117"/>
      <c r="BB6051" s="117"/>
      <c r="BC6051" s="117"/>
      <c r="BD6051" s="117"/>
    </row>
    <row r="6052" spans="1:56" ht="15">
      <c r="A6052" s="114"/>
      <c r="B6052" s="388" t="s">
        <v>1114</v>
      </c>
      <c r="C6052" s="389">
        <v>0.5</v>
      </c>
      <c r="D6052" s="390" t="s">
        <v>10</v>
      </c>
      <c r="E6052" s="288" t="s">
        <v>1120</v>
      </c>
      <c r="F6052" s="196"/>
      <c r="G6052" s="406"/>
      <c r="H6052" s="407"/>
      <c r="I6052" s="114"/>
      <c r="J6052" s="401"/>
      <c r="AW6052" s="117"/>
      <c r="AX6052" s="117"/>
      <c r="AY6052" s="117"/>
      <c r="AZ6052" s="117"/>
      <c r="BA6052" s="117"/>
      <c r="BB6052" s="117"/>
      <c r="BC6052" s="117"/>
      <c r="BD6052" s="117"/>
    </row>
    <row r="6053" spans="1:56" ht="15">
      <c r="A6053" s="114"/>
      <c r="B6053" s="388" t="s">
        <v>1114</v>
      </c>
      <c r="C6053" s="389">
        <v>0.1</v>
      </c>
      <c r="D6053" s="390" t="s">
        <v>10</v>
      </c>
      <c r="E6053" s="288" t="s">
        <v>1121</v>
      </c>
      <c r="F6053" s="196"/>
      <c r="G6053" s="392"/>
      <c r="H6053" s="393"/>
      <c r="I6053" s="196"/>
      <c r="J6053" s="196"/>
      <c r="AW6053" s="117"/>
      <c r="AX6053" s="117"/>
      <c r="AY6053" s="117"/>
      <c r="AZ6053" s="117"/>
      <c r="BA6053" s="117"/>
      <c r="BB6053" s="117"/>
      <c r="BC6053" s="117"/>
      <c r="BD6053" s="117"/>
    </row>
    <row r="6054" spans="1:56" ht="15">
      <c r="A6054" s="114"/>
      <c r="B6054" s="362"/>
      <c r="C6054" s="362"/>
      <c r="D6054" s="362"/>
      <c r="E6054" s="362"/>
      <c r="F6054" s="362"/>
      <c r="G6054" s="362"/>
      <c r="H6054" s="362"/>
      <c r="I6054" s="196"/>
      <c r="J6054" s="196"/>
      <c r="AW6054" s="117"/>
      <c r="AX6054" s="117"/>
      <c r="AY6054" s="117"/>
      <c r="AZ6054" s="117"/>
      <c r="BA6054" s="117"/>
      <c r="BB6054" s="117"/>
      <c r="BC6054" s="117"/>
      <c r="BD6054" s="117"/>
    </row>
    <row r="6055" spans="1:56" ht="15">
      <c r="A6055" s="114"/>
      <c r="B6055" s="303" t="s">
        <v>1122</v>
      </c>
      <c r="C6055" s="362"/>
      <c r="D6055" s="362"/>
      <c r="E6055" s="362"/>
      <c r="F6055" s="362"/>
      <c r="G6055" s="196" t="s">
        <v>1131</v>
      </c>
      <c r="H6055" s="114"/>
      <c r="I6055" s="196"/>
      <c r="J6055" s="196"/>
      <c r="AW6055" s="117"/>
      <c r="AX6055" s="117"/>
      <c r="AY6055" s="117"/>
      <c r="AZ6055" s="117"/>
      <c r="BA6055" s="117"/>
      <c r="BB6055" s="117"/>
      <c r="BC6055" s="117"/>
      <c r="BD6055" s="117"/>
    </row>
    <row r="6056" spans="1:56" ht="18">
      <c r="A6056" s="114"/>
      <c r="B6056" s="398" t="s">
        <v>1123</v>
      </c>
      <c r="C6056" s="172"/>
      <c r="D6056" s="173"/>
      <c r="E6056" s="397">
        <f>C6048*((H6049+H6048)/2)*(C6046+C6047+0.05)</f>
        <v>299.67394094399975</v>
      </c>
      <c r="F6056" s="390" t="s">
        <v>1124</v>
      </c>
      <c r="G6056" s="196"/>
      <c r="H6056" s="196"/>
      <c r="I6056" s="362"/>
      <c r="J6056" s="196"/>
      <c r="AW6056" s="117"/>
      <c r="AX6056" s="117"/>
      <c r="AY6056" s="117"/>
      <c r="AZ6056" s="117"/>
      <c r="BA6056" s="117"/>
      <c r="BB6056" s="117"/>
      <c r="BC6056" s="117"/>
      <c r="BD6056" s="117"/>
    </row>
    <row r="6057" spans="1:56" ht="18">
      <c r="A6057" s="114"/>
      <c r="B6057" s="398" t="s">
        <v>1125</v>
      </c>
      <c r="C6057" s="172"/>
      <c r="D6057" s="173"/>
      <c r="E6057" s="400">
        <f>E6056-C6048*(C6044*C6045*C6047+C6044*C6045*0.05+C6042*C6043*C6046)</f>
        <v>198.34856594399974</v>
      </c>
      <c r="F6057" s="390" t="s">
        <v>1124</v>
      </c>
      <c r="G6057" s="196"/>
      <c r="H6057" s="196"/>
      <c r="I6057" s="196"/>
      <c r="J6057" s="196"/>
      <c r="AW6057" s="117"/>
      <c r="AX6057" s="117"/>
      <c r="AY6057" s="117"/>
      <c r="AZ6057" s="117"/>
      <c r="BA6057" s="117"/>
      <c r="BB6057" s="117"/>
      <c r="BC6057" s="117"/>
      <c r="BD6057" s="117"/>
    </row>
    <row r="6058" spans="1:56" ht="15">
      <c r="A6058" s="114"/>
      <c r="B6058" s="398" t="s">
        <v>1126</v>
      </c>
      <c r="C6058" s="172"/>
      <c r="D6058" s="173"/>
      <c r="E6058" s="400">
        <f>((C6044+2*C6053)*(C6045+2*C6053))*C6048</f>
        <v>35.520000000000003</v>
      </c>
      <c r="F6058" s="390" t="s">
        <v>13</v>
      </c>
      <c r="G6058" s="362"/>
      <c r="H6058" s="362"/>
      <c r="I6058" s="362"/>
      <c r="J6058" s="196"/>
      <c r="AW6058" s="117"/>
      <c r="AX6058" s="117"/>
      <c r="AY6058" s="117"/>
      <c r="AZ6058" s="117"/>
      <c r="BA6058" s="117"/>
      <c r="BB6058" s="117"/>
      <c r="BC6058" s="117"/>
      <c r="BD6058" s="117"/>
    </row>
    <row r="6059" spans="1:56" ht="15">
      <c r="A6059" s="114"/>
      <c r="B6059" s="362"/>
      <c r="C6059" s="362"/>
      <c r="D6059" s="362"/>
      <c r="E6059" s="401"/>
      <c r="F6059" s="196"/>
      <c r="G6059" s="362"/>
      <c r="H6059" s="362"/>
      <c r="I6059" s="362"/>
      <c r="J6059" s="196"/>
      <c r="AW6059" s="117"/>
      <c r="AX6059" s="117"/>
      <c r="AY6059" s="117"/>
      <c r="AZ6059" s="117"/>
      <c r="BA6059" s="117"/>
      <c r="BB6059" s="117"/>
      <c r="BC6059" s="117"/>
      <c r="BD6059" s="117"/>
    </row>
    <row r="6060" spans="1:56" ht="15">
      <c r="A6060" s="114"/>
      <c r="B6060" s="303" t="s">
        <v>1162</v>
      </c>
      <c r="C6060" s="362"/>
      <c r="D6060" s="362"/>
      <c r="E6060" s="410"/>
      <c r="F6060" s="362"/>
      <c r="G6060" s="362"/>
      <c r="H6060" s="362"/>
      <c r="I6060" s="362"/>
      <c r="J6060" s="196"/>
      <c r="AW6060" s="117"/>
      <c r="AX6060" s="117"/>
      <c r="AY6060" s="117"/>
      <c r="AZ6060" s="117"/>
      <c r="BA6060" s="117"/>
      <c r="BB6060" s="117"/>
      <c r="BC6060" s="117"/>
      <c r="BD6060" s="117"/>
    </row>
    <row r="6061" spans="1:56" ht="15">
      <c r="A6061" s="114"/>
      <c r="B6061" s="398" t="s">
        <v>1152</v>
      </c>
      <c r="C6061" s="398"/>
      <c r="D6061" s="366"/>
      <c r="E6061" s="411">
        <v>6</v>
      </c>
      <c r="F6061" s="390" t="s">
        <v>1153</v>
      </c>
      <c r="G6061" s="362"/>
      <c r="H6061" s="362"/>
      <c r="I6061" s="362"/>
      <c r="J6061" s="196"/>
      <c r="AW6061" s="117"/>
      <c r="AX6061" s="117"/>
      <c r="AY6061" s="117"/>
      <c r="AZ6061" s="117"/>
      <c r="BA6061" s="117"/>
      <c r="BB6061" s="117"/>
      <c r="BC6061" s="117"/>
      <c r="BD6061" s="117"/>
    </row>
    <row r="6062" spans="1:56" ht="15">
      <c r="A6062" s="114"/>
      <c r="B6062" s="399" t="s">
        <v>1154</v>
      </c>
      <c r="C6062" s="31"/>
      <c r="D6062" s="32"/>
      <c r="E6062" s="412">
        <f>C6048*E6061</f>
        <v>6</v>
      </c>
      <c r="F6062" s="390" t="s">
        <v>1153</v>
      </c>
      <c r="G6062" s="362"/>
      <c r="H6062" s="362"/>
      <c r="I6062" s="362"/>
      <c r="J6062" s="196"/>
      <c r="AW6062" s="117"/>
      <c r="AX6062" s="117"/>
      <c r="AY6062" s="117"/>
      <c r="AZ6062" s="117"/>
      <c r="BA6062" s="117"/>
      <c r="BB6062" s="117"/>
      <c r="BC6062" s="117"/>
      <c r="BD6062" s="117"/>
    </row>
    <row r="6063" spans="1:56" ht="15">
      <c r="A6063" s="114"/>
      <c r="B6063" s="398" t="s">
        <v>1155</v>
      </c>
      <c r="C6063" s="21"/>
      <c r="D6063" s="413"/>
      <c r="E6063" s="411">
        <v>700</v>
      </c>
      <c r="F6063" s="390" t="s">
        <v>1156</v>
      </c>
      <c r="G6063" s="362"/>
      <c r="H6063" s="414"/>
      <c r="I6063" s="362"/>
      <c r="J6063" s="196"/>
      <c r="AW6063" s="117"/>
      <c r="AX6063" s="117"/>
      <c r="AY6063" s="117"/>
      <c r="AZ6063" s="117"/>
      <c r="BA6063" s="117"/>
      <c r="BB6063" s="117"/>
      <c r="BC6063" s="117"/>
      <c r="BD6063" s="117"/>
    </row>
    <row r="6064" spans="1:56" ht="15">
      <c r="A6064" s="114"/>
      <c r="B6064" s="398" t="s">
        <v>1157</v>
      </c>
      <c r="C6064" s="21"/>
      <c r="D6064" s="413"/>
      <c r="E6064" s="418">
        <v>32</v>
      </c>
      <c r="F6064" s="390" t="s">
        <v>10</v>
      </c>
      <c r="G6064" s="362"/>
      <c r="H6064" s="6"/>
      <c r="I6064" s="362"/>
      <c r="J6064" s="196"/>
      <c r="AW6064" s="117"/>
      <c r="AX6064" s="117"/>
      <c r="AY6064" s="117"/>
      <c r="AZ6064" s="117"/>
      <c r="BA6064" s="117"/>
      <c r="BB6064" s="117"/>
      <c r="BC6064" s="117"/>
      <c r="BD6064" s="117"/>
    </row>
    <row r="6065" spans="1:56" ht="15">
      <c r="A6065" s="114"/>
      <c r="B6065" s="398" t="s">
        <v>1158</v>
      </c>
      <c r="C6065" s="21"/>
      <c r="D6065" s="413"/>
      <c r="E6065" s="412">
        <f>E6062*E6064</f>
        <v>192</v>
      </c>
      <c r="F6065" s="390" t="s">
        <v>10</v>
      </c>
      <c r="G6065" s="362"/>
      <c r="H6065" s="362"/>
      <c r="I6065" s="362"/>
      <c r="J6065" s="196"/>
      <c r="AW6065" s="117"/>
      <c r="AX6065" s="117"/>
      <c r="AY6065" s="117"/>
      <c r="AZ6065" s="117"/>
      <c r="BA6065" s="117"/>
      <c r="BB6065" s="117"/>
      <c r="BC6065" s="117"/>
      <c r="BD6065" s="117"/>
    </row>
    <row r="6066" spans="1:56" ht="15">
      <c r="A6066" s="114"/>
      <c r="B6066" s="362"/>
      <c r="C6066" s="362"/>
      <c r="D6066" s="362"/>
      <c r="E6066" s="410"/>
      <c r="F6066" s="362"/>
      <c r="G6066" s="362"/>
      <c r="H6066" s="362"/>
      <c r="I6066" s="362"/>
      <c r="J6066" s="362"/>
      <c r="AW6066" s="117"/>
      <c r="AX6066" s="117"/>
      <c r="AY6066" s="117"/>
      <c r="AZ6066" s="117"/>
      <c r="BA6066" s="117"/>
      <c r="BB6066" s="117"/>
      <c r="BC6066" s="117"/>
      <c r="BD6066" s="117"/>
    </row>
    <row r="6067" spans="1:56" ht="15">
      <c r="A6067" s="114"/>
      <c r="B6067" s="303" t="s">
        <v>1160</v>
      </c>
      <c r="C6067" s="362"/>
      <c r="D6067" s="362"/>
      <c r="E6067" s="410"/>
      <c r="F6067" s="362"/>
      <c r="G6067" s="362"/>
      <c r="H6067" s="362"/>
      <c r="I6067" s="362"/>
      <c r="J6067" s="362"/>
      <c r="AW6067" s="117"/>
      <c r="AX6067" s="117"/>
      <c r="AY6067" s="117"/>
      <c r="AZ6067" s="117"/>
      <c r="BA6067" s="117"/>
      <c r="BB6067" s="117"/>
      <c r="BC6067" s="117"/>
      <c r="BD6067" s="117"/>
    </row>
    <row r="6068" spans="1:56" ht="18">
      <c r="A6068" s="114"/>
      <c r="B6068" s="398" t="s">
        <v>1128</v>
      </c>
      <c r="C6068" s="172"/>
      <c r="D6068" s="173"/>
      <c r="E6068" s="402">
        <f>E6058*0.05</f>
        <v>1.7760000000000002</v>
      </c>
      <c r="F6068" s="390" t="s">
        <v>1124</v>
      </c>
      <c r="G6068" s="362"/>
      <c r="H6068" s="362"/>
      <c r="I6068" s="362"/>
      <c r="J6068" s="196"/>
      <c r="AW6068" s="117"/>
      <c r="AX6068" s="117"/>
      <c r="AY6068" s="117"/>
      <c r="AZ6068" s="117"/>
      <c r="BA6068" s="117"/>
      <c r="BB6068" s="117"/>
      <c r="BC6068" s="117"/>
      <c r="BD6068" s="117"/>
    </row>
    <row r="6069" spans="1:56" ht="15">
      <c r="A6069" s="114"/>
      <c r="B6069" s="398" t="s">
        <v>1129</v>
      </c>
      <c r="C6069" s="172"/>
      <c r="D6069" s="173"/>
      <c r="E6069" s="397">
        <f>(2*(C6044+C6045)*C6047)*C6048</f>
        <v>70.800000000000011</v>
      </c>
      <c r="F6069" s="390" t="s">
        <v>13</v>
      </c>
      <c r="G6069" s="362"/>
      <c r="H6069" s="362"/>
      <c r="I6069" s="362"/>
      <c r="J6069" s="362"/>
      <c r="AW6069" s="117"/>
      <c r="AX6069" s="117"/>
      <c r="AY6069" s="117"/>
      <c r="AZ6069" s="117"/>
      <c r="BA6069" s="117"/>
      <c r="BB6069" s="117"/>
      <c r="BC6069" s="117"/>
      <c r="BD6069" s="117"/>
    </row>
    <row r="6070" spans="1:56" ht="18">
      <c r="A6070" s="114"/>
      <c r="B6070" s="398" t="s">
        <v>1130</v>
      </c>
      <c r="C6070" s="172"/>
      <c r="D6070" s="173"/>
      <c r="E6070" s="402">
        <f>(C6044*C6045*C6047)*C6048</f>
        <v>99.359999999999985</v>
      </c>
      <c r="F6070" s="390" t="s">
        <v>1124</v>
      </c>
      <c r="G6070" s="362"/>
      <c r="H6070" s="362"/>
      <c r="I6070" s="362"/>
      <c r="J6070" s="362"/>
      <c r="AW6070" s="117"/>
      <c r="AX6070" s="117"/>
      <c r="AY6070" s="117"/>
      <c r="AZ6070" s="117"/>
      <c r="BA6070" s="117"/>
      <c r="BB6070" s="117"/>
      <c r="BC6070" s="117"/>
      <c r="BD6070" s="117"/>
    </row>
    <row r="6071" spans="1:56">
      <c r="A6071" s="114"/>
      <c r="B6071" s="115"/>
      <c r="C6071" s="115"/>
      <c r="D6071" s="115"/>
      <c r="E6071" s="115"/>
      <c r="F6071" s="115"/>
      <c r="G6071" s="115"/>
      <c r="H6071" s="115"/>
      <c r="I6071" s="115"/>
      <c r="J6071" s="362"/>
      <c r="AW6071" s="117"/>
      <c r="AX6071" s="117"/>
      <c r="AY6071" s="117"/>
      <c r="AZ6071" s="117"/>
      <c r="BA6071" s="117"/>
      <c r="BB6071" s="117"/>
      <c r="BC6071" s="117"/>
      <c r="BD6071" s="117"/>
    </row>
    <row r="6072" spans="1:56">
      <c r="A6072" s="114"/>
      <c r="B6072" s="115"/>
      <c r="C6072" s="115"/>
      <c r="D6072" s="115"/>
      <c r="E6072" s="115"/>
      <c r="F6072" s="115"/>
      <c r="G6072" s="115"/>
      <c r="H6072" s="115"/>
      <c r="I6072" s="115"/>
      <c r="J6072" s="114"/>
      <c r="AW6072" s="117"/>
      <c r="AX6072" s="117"/>
      <c r="AY6072" s="117"/>
      <c r="AZ6072" s="117"/>
      <c r="BA6072" s="117"/>
      <c r="BB6072" s="117"/>
      <c r="BC6072" s="117"/>
      <c r="BD6072" s="117"/>
    </row>
    <row r="6073" spans="1:56" s="495" customFormat="1">
      <c r="A6073" s="114"/>
      <c r="B6073" s="115"/>
      <c r="C6073" s="115"/>
      <c r="D6073" s="115"/>
      <c r="E6073" s="115"/>
      <c r="F6073" s="115"/>
      <c r="G6073" s="115"/>
      <c r="H6073" s="115"/>
      <c r="I6073" s="115"/>
      <c r="J6073" s="401"/>
      <c r="K6073" s="449"/>
      <c r="L6073" s="449"/>
      <c r="M6073" s="449"/>
      <c r="N6073" s="449"/>
      <c r="O6073" s="449"/>
      <c r="P6073" s="449"/>
      <c r="Q6073" s="449"/>
      <c r="R6073" s="449"/>
      <c r="S6073" s="449"/>
      <c r="T6073" s="449"/>
      <c r="U6073" s="449"/>
      <c r="V6073" s="449"/>
      <c r="W6073" s="449"/>
      <c r="X6073" s="449"/>
      <c r="Y6073" s="449"/>
      <c r="Z6073" s="449"/>
      <c r="AA6073" s="449"/>
      <c r="AB6073" s="449"/>
      <c r="AC6073" s="449"/>
      <c r="AD6073" s="449"/>
      <c r="AE6073" s="449"/>
      <c r="AF6073" s="449"/>
      <c r="AG6073" s="449"/>
      <c r="AH6073" s="449"/>
      <c r="AI6073" s="449"/>
      <c r="AJ6073" s="449"/>
      <c r="AK6073" s="449"/>
      <c r="AL6073" s="449"/>
      <c r="AM6073" s="449"/>
      <c r="AN6073" s="449"/>
      <c r="AO6073" s="449"/>
      <c r="AP6073" s="449"/>
      <c r="AQ6073" s="449"/>
      <c r="AR6073" s="449"/>
      <c r="AS6073" s="449"/>
      <c r="AT6073" s="449"/>
      <c r="AU6073" s="449"/>
      <c r="AV6073" s="449"/>
      <c r="AW6073" s="449"/>
    </row>
    <row r="6074" spans="1:56" customFormat="1">
      <c r="B6074" s="385" t="s">
        <v>1336</v>
      </c>
      <c r="C6074" s="362"/>
      <c r="D6074" s="362"/>
      <c r="E6074" s="362"/>
      <c r="F6074" s="362"/>
      <c r="G6074" s="115"/>
      <c r="H6074" s="115"/>
      <c r="I6074" s="362"/>
      <c r="J6074" s="362"/>
    </row>
    <row r="6075" spans="1:56" ht="15">
      <c r="A6075" s="114"/>
      <c r="B6075" s="362"/>
      <c r="C6075" s="362"/>
      <c r="D6075" s="362"/>
      <c r="E6075" s="362"/>
      <c r="F6075" s="404"/>
      <c r="G6075" s="196"/>
      <c r="H6075" s="196"/>
      <c r="I6075" s="404"/>
      <c r="J6075" s="362"/>
      <c r="AW6075" s="117"/>
      <c r="AX6075" s="117"/>
      <c r="AY6075" s="117"/>
      <c r="AZ6075" s="117"/>
      <c r="BA6075" s="117"/>
      <c r="BB6075" s="117"/>
      <c r="BC6075" s="117"/>
      <c r="BD6075" s="117"/>
    </row>
    <row r="6076" spans="1:56" ht="15">
      <c r="A6076" s="114"/>
      <c r="B6076" s="388" t="s">
        <v>1169</v>
      </c>
      <c r="C6076" s="389">
        <v>3.6</v>
      </c>
      <c r="D6076" s="390" t="s">
        <v>13</v>
      </c>
      <c r="E6076" s="196"/>
      <c r="F6076" s="405"/>
      <c r="G6076" s="114"/>
      <c r="H6076" s="114"/>
      <c r="I6076" s="114"/>
      <c r="J6076" s="362"/>
      <c r="AW6076" s="117"/>
      <c r="AX6076" s="117"/>
      <c r="AY6076" s="117"/>
      <c r="AZ6076" s="117"/>
      <c r="BA6076" s="117"/>
      <c r="BB6076" s="117"/>
      <c r="BC6076" s="117"/>
      <c r="BD6076" s="117"/>
    </row>
    <row r="6077" spans="1:56" ht="15">
      <c r="A6077" s="114"/>
      <c r="B6077" s="388" t="s">
        <v>1110</v>
      </c>
      <c r="C6077" s="389">
        <v>7.6</v>
      </c>
      <c r="D6077" s="390" t="s">
        <v>10</v>
      </c>
      <c r="E6077" s="196"/>
      <c r="F6077" s="405"/>
      <c r="G6077" s="114"/>
      <c r="H6077" s="114"/>
      <c r="I6077" s="114"/>
      <c r="J6077" s="401"/>
      <c r="AW6077" s="117"/>
      <c r="AX6077" s="117"/>
      <c r="AY6077" s="117"/>
      <c r="AZ6077" s="117"/>
      <c r="BA6077" s="117"/>
      <c r="BB6077" s="117"/>
      <c r="BC6077" s="117"/>
      <c r="BD6077" s="117"/>
    </row>
    <row r="6078" spans="1:56" ht="15">
      <c r="A6078" s="114"/>
      <c r="B6078" s="388" t="s">
        <v>1111</v>
      </c>
      <c r="C6078" s="389">
        <v>4.3</v>
      </c>
      <c r="D6078" s="390" t="s">
        <v>10</v>
      </c>
      <c r="E6078" s="196"/>
      <c r="F6078" s="405"/>
      <c r="G6078" s="196"/>
      <c r="H6078" s="196"/>
      <c r="I6078" s="114"/>
      <c r="J6078" s="401"/>
      <c r="AW6078" s="117"/>
      <c r="AX6078" s="117"/>
      <c r="AY6078" s="117"/>
      <c r="AZ6078" s="117"/>
      <c r="BA6078" s="117"/>
      <c r="BB6078" s="117"/>
      <c r="BC6078" s="117"/>
      <c r="BD6078" s="117"/>
    </row>
    <row r="6079" spans="1:56" ht="15">
      <c r="A6079" s="114"/>
      <c r="B6079" s="388" t="s">
        <v>1112</v>
      </c>
      <c r="C6079" s="389">
        <v>1.4</v>
      </c>
      <c r="D6079" s="390" t="s">
        <v>10</v>
      </c>
      <c r="E6079" s="196"/>
      <c r="F6079" s="405"/>
      <c r="G6079" s="362"/>
      <c r="H6079" s="362"/>
      <c r="I6079" s="114"/>
      <c r="J6079" s="401"/>
      <c r="AW6079" s="117"/>
      <c r="AX6079" s="117"/>
      <c r="AY6079" s="117"/>
      <c r="AZ6079" s="117"/>
      <c r="BA6079" s="117"/>
      <c r="BB6079" s="117"/>
      <c r="BC6079" s="117"/>
      <c r="BD6079" s="117"/>
    </row>
    <row r="6080" spans="1:56" ht="15">
      <c r="A6080" s="114"/>
      <c r="B6080" s="388" t="s">
        <v>1113</v>
      </c>
      <c r="C6080" s="389">
        <v>2.6</v>
      </c>
      <c r="D6080" s="390" t="s">
        <v>10</v>
      </c>
      <c r="E6080" s="196"/>
      <c r="F6080" s="405"/>
      <c r="G6080" s="404"/>
      <c r="H6080" s="404"/>
      <c r="I6080" s="114"/>
      <c r="J6080" s="196"/>
      <c r="AW6080" s="117"/>
      <c r="AX6080" s="117"/>
      <c r="AY6080" s="117"/>
      <c r="AZ6080" s="117"/>
      <c r="BA6080" s="117"/>
      <c r="BB6080" s="117"/>
      <c r="BC6080" s="117"/>
      <c r="BD6080" s="117"/>
    </row>
    <row r="6081" spans="1:56" ht="18">
      <c r="A6081" s="114"/>
      <c r="B6081" s="388" t="s">
        <v>1117</v>
      </c>
      <c r="C6081" s="391">
        <v>1</v>
      </c>
      <c r="D6081" s="390" t="s">
        <v>1118</v>
      </c>
      <c r="E6081" s="196"/>
      <c r="F6081" s="405"/>
      <c r="G6081" s="406" t="s">
        <v>1142</v>
      </c>
      <c r="H6081" s="407">
        <f>C6076</f>
        <v>3.6</v>
      </c>
      <c r="I6081" s="405" t="s">
        <v>1143</v>
      </c>
      <c r="J6081" s="196"/>
      <c r="AW6081" s="117"/>
      <c r="AX6081" s="117"/>
      <c r="AY6081" s="117"/>
      <c r="AZ6081" s="117"/>
      <c r="BA6081" s="117"/>
      <c r="BB6081" s="117"/>
      <c r="BC6081" s="117"/>
      <c r="BD6081" s="117"/>
    </row>
    <row r="6082" spans="1:56" ht="15">
      <c r="A6082" s="114"/>
      <c r="B6082" s="196" t="s">
        <v>1148</v>
      </c>
      <c r="C6082" s="393"/>
      <c r="D6082" s="196"/>
      <c r="E6082" s="196"/>
      <c r="F6082" s="405"/>
      <c r="G6082" s="406" t="e">
        <f>TEXT(C6083,"tg 0°=")</f>
        <v>#VALUE!</v>
      </c>
      <c r="H6082" s="408">
        <f>TAN(3.14159265359*C6083/180)</f>
        <v>1.732050807569153</v>
      </c>
      <c r="I6082" s="405"/>
      <c r="J6082" s="196"/>
      <c r="AW6082" s="117"/>
      <c r="AX6082" s="117"/>
      <c r="AY6082" s="117"/>
      <c r="AZ6082" s="117"/>
      <c r="BA6082" s="117"/>
      <c r="BB6082" s="117"/>
      <c r="BC6082" s="117"/>
      <c r="BD6082" s="117"/>
    </row>
    <row r="6083" spans="1:56" ht="15">
      <c r="A6083" s="114"/>
      <c r="B6083" s="388" t="s">
        <v>1149</v>
      </c>
      <c r="C6083" s="389">
        <v>60</v>
      </c>
      <c r="D6083" s="390" t="s">
        <v>1150</v>
      </c>
      <c r="E6083" s="196"/>
      <c r="F6083" s="196"/>
      <c r="G6083" s="406"/>
      <c r="H6083" s="407"/>
      <c r="I6083" s="405"/>
      <c r="J6083" s="196"/>
      <c r="AW6083" s="117"/>
      <c r="AX6083" s="117"/>
      <c r="AY6083" s="117"/>
      <c r="AZ6083" s="117"/>
      <c r="BA6083" s="117"/>
      <c r="BB6083" s="117"/>
      <c r="BC6083" s="117"/>
      <c r="BD6083" s="117"/>
    </row>
    <row r="6084" spans="1:56" ht="18">
      <c r="A6084" s="114"/>
      <c r="B6084" s="362"/>
      <c r="C6084" s="196"/>
      <c r="D6084" s="196"/>
      <c r="E6084" s="196"/>
      <c r="F6084" s="196"/>
      <c r="G6084" s="406" t="s">
        <v>1142</v>
      </c>
      <c r="H6084" s="409">
        <f>(C6077+2*C6085+((C6079+C6080+0.05)/H6082)*2)*(C6078+2*C6085+((C6079+C6080+0.05)/H6082)*2)</f>
        <v>132.45386680804262</v>
      </c>
      <c r="I6084" s="405" t="s">
        <v>1143</v>
      </c>
      <c r="J6084" s="196"/>
      <c r="AW6084" s="117"/>
      <c r="AX6084" s="117"/>
      <c r="AY6084" s="117"/>
      <c r="AZ6084" s="117"/>
      <c r="BA6084" s="117"/>
      <c r="BB6084" s="117"/>
      <c r="BC6084" s="117"/>
      <c r="BD6084" s="117"/>
    </row>
    <row r="6085" spans="1:56" ht="18">
      <c r="A6085" s="114"/>
      <c r="B6085" s="388" t="s">
        <v>1114</v>
      </c>
      <c r="C6085" s="389">
        <v>0.5</v>
      </c>
      <c r="D6085" s="390" t="s">
        <v>10</v>
      </c>
      <c r="E6085" s="288" t="s">
        <v>1120</v>
      </c>
      <c r="F6085" s="196"/>
      <c r="G6085" s="406" t="s">
        <v>1147</v>
      </c>
      <c r="H6085" s="409">
        <f>(C6077+2*C6085)*(C6078+2*C6085)</f>
        <v>45.58</v>
      </c>
      <c r="I6085" s="405" t="s">
        <v>1143</v>
      </c>
      <c r="J6085" s="196"/>
      <c r="AW6085" s="117"/>
      <c r="AX6085" s="117"/>
      <c r="AY6085" s="117"/>
      <c r="AZ6085" s="117"/>
      <c r="BA6085" s="117"/>
      <c r="BB6085" s="117"/>
      <c r="BC6085" s="117"/>
      <c r="BD6085" s="117"/>
    </row>
    <row r="6086" spans="1:56" ht="15">
      <c r="A6086" s="114"/>
      <c r="B6086" s="388" t="s">
        <v>1114</v>
      </c>
      <c r="C6086" s="389">
        <v>0.1</v>
      </c>
      <c r="D6086" s="390" t="s">
        <v>10</v>
      </c>
      <c r="E6086" s="288" t="s">
        <v>1121</v>
      </c>
      <c r="F6086" s="196"/>
      <c r="G6086" s="406"/>
      <c r="H6086" s="407"/>
      <c r="I6086" s="196"/>
      <c r="J6086" s="196"/>
      <c r="AW6086" s="117"/>
      <c r="AX6086" s="117"/>
      <c r="AY6086" s="117"/>
      <c r="AZ6086" s="117"/>
      <c r="BA6086" s="117"/>
      <c r="BB6086" s="117"/>
      <c r="BC6086" s="117"/>
      <c r="BD6086" s="117"/>
    </row>
    <row r="6087" spans="1:56" ht="15">
      <c r="A6087" s="114"/>
      <c r="B6087" s="362"/>
      <c r="C6087" s="362"/>
      <c r="D6087" s="362"/>
      <c r="E6087" s="362"/>
      <c r="F6087" s="362"/>
      <c r="G6087" s="406"/>
      <c r="H6087" s="407"/>
      <c r="I6087" s="362"/>
      <c r="J6087" s="196"/>
      <c r="AW6087" s="117"/>
      <c r="AX6087" s="117"/>
      <c r="AY6087" s="117"/>
      <c r="AZ6087" s="117"/>
      <c r="BA6087" s="117"/>
      <c r="BB6087" s="117"/>
      <c r="BC6087" s="117"/>
      <c r="BD6087" s="117"/>
    </row>
    <row r="6088" spans="1:56" ht="15">
      <c r="A6088" s="114"/>
      <c r="B6088" s="303" t="s">
        <v>1122</v>
      </c>
      <c r="C6088" s="362"/>
      <c r="D6088" s="362"/>
      <c r="E6088" s="362"/>
      <c r="F6088" s="362"/>
      <c r="G6088" s="406"/>
      <c r="H6088" s="407"/>
      <c r="I6088" s="114"/>
      <c r="J6088" s="196"/>
      <c r="AW6088" s="117"/>
      <c r="AX6088" s="117"/>
      <c r="AY6088" s="117"/>
      <c r="AZ6088" s="117"/>
      <c r="BA6088" s="117"/>
      <c r="BB6088" s="117"/>
      <c r="BC6088" s="117"/>
      <c r="BD6088" s="117"/>
    </row>
    <row r="6089" spans="1:56" ht="18">
      <c r="A6089" s="114"/>
      <c r="B6089" s="398" t="s">
        <v>1123</v>
      </c>
      <c r="C6089" s="172"/>
      <c r="D6089" s="173"/>
      <c r="E6089" s="397">
        <f>C6081*((H6085+H6084)/2)*(C6079+C6080+0.05)</f>
        <v>360.51858028628624</v>
      </c>
      <c r="F6089" s="390" t="s">
        <v>1124</v>
      </c>
      <c r="G6089" s="392"/>
      <c r="H6089" s="393"/>
      <c r="I6089" s="196"/>
      <c r="J6089" s="196"/>
      <c r="AW6089" s="117"/>
      <c r="AX6089" s="117"/>
      <c r="AY6089" s="117"/>
      <c r="AZ6089" s="117"/>
      <c r="BA6089" s="117"/>
      <c r="BB6089" s="117"/>
      <c r="BC6089" s="117"/>
      <c r="BD6089" s="117"/>
    </row>
    <row r="6090" spans="1:56" ht="18">
      <c r="A6090" s="114"/>
      <c r="B6090" s="398" t="s">
        <v>1125</v>
      </c>
      <c r="C6090" s="172"/>
      <c r="D6090" s="173"/>
      <c r="E6090" s="400">
        <f>E6089-C6081*(C6077*C6078*C6080+C6077*C6078*0.05+C6076*C6079)</f>
        <v>268.87658028628624</v>
      </c>
      <c r="F6090" s="390" t="s">
        <v>1124</v>
      </c>
      <c r="G6090" s="362"/>
      <c r="H6090" s="362"/>
      <c r="I6090" s="196"/>
      <c r="J6090" s="196"/>
      <c r="AW6090" s="117"/>
      <c r="AX6090" s="117"/>
      <c r="AY6090" s="117"/>
      <c r="AZ6090" s="117"/>
      <c r="BA6090" s="117"/>
      <c r="BB6090" s="117"/>
      <c r="BC6090" s="117"/>
      <c r="BD6090" s="117"/>
    </row>
    <row r="6091" spans="1:56" ht="15">
      <c r="A6091" s="114"/>
      <c r="B6091" s="398" t="s">
        <v>1126</v>
      </c>
      <c r="C6091" s="172"/>
      <c r="D6091" s="173"/>
      <c r="E6091" s="400">
        <f>((C6077+2*C6086)*(C6078+2*C6086))*C6081</f>
        <v>35.1</v>
      </c>
      <c r="F6091" s="390" t="s">
        <v>13</v>
      </c>
      <c r="G6091" s="114"/>
      <c r="H6091" s="114"/>
      <c r="I6091" s="196"/>
      <c r="J6091" s="196"/>
      <c r="AW6091" s="117"/>
      <c r="AX6091" s="117"/>
      <c r="AY6091" s="117"/>
      <c r="AZ6091" s="117"/>
      <c r="BA6091" s="117"/>
      <c r="BB6091" s="117"/>
      <c r="BC6091" s="117"/>
      <c r="BD6091" s="117"/>
    </row>
    <row r="6092" spans="1:56" ht="15">
      <c r="A6092" s="114"/>
      <c r="B6092" s="362"/>
      <c r="C6092" s="362"/>
      <c r="D6092" s="362"/>
      <c r="E6092" s="401"/>
      <c r="F6092" s="196"/>
      <c r="G6092" s="362"/>
      <c r="H6092" s="362"/>
      <c r="I6092" s="362"/>
      <c r="J6092" s="196"/>
      <c r="AW6092" s="117"/>
      <c r="AX6092" s="117"/>
      <c r="AY6092" s="117"/>
      <c r="AZ6092" s="117"/>
      <c r="BA6092" s="117"/>
      <c r="BB6092" s="117"/>
      <c r="BC6092" s="117"/>
      <c r="BD6092" s="117"/>
    </row>
    <row r="6093" spans="1:56" ht="15">
      <c r="A6093" s="114"/>
      <c r="B6093" s="303" t="s">
        <v>1162</v>
      </c>
      <c r="C6093" s="362"/>
      <c r="D6093" s="362"/>
      <c r="E6093" s="410"/>
      <c r="F6093" s="362"/>
      <c r="G6093" s="114"/>
      <c r="H6093" s="392" t="s">
        <v>1131</v>
      </c>
      <c r="I6093" s="362"/>
      <c r="J6093" s="362"/>
      <c r="AW6093" s="117"/>
      <c r="AX6093" s="117"/>
      <c r="AY6093" s="117"/>
      <c r="AZ6093" s="117"/>
      <c r="BA6093" s="117"/>
      <c r="BB6093" s="117"/>
      <c r="BC6093" s="117"/>
      <c r="BD6093" s="117"/>
    </row>
    <row r="6094" spans="1:56" ht="15">
      <c r="A6094" s="114"/>
      <c r="B6094" s="398" t="s">
        <v>1152</v>
      </c>
      <c r="C6094" s="398"/>
      <c r="D6094" s="366"/>
      <c r="E6094" s="411">
        <v>6</v>
      </c>
      <c r="F6094" s="390" t="s">
        <v>1153</v>
      </c>
      <c r="G6094" s="362"/>
      <c r="H6094" s="362"/>
      <c r="I6094" s="362"/>
      <c r="J6094" s="362"/>
      <c r="AW6094" s="117"/>
      <c r="AX6094" s="117"/>
      <c r="AY6094" s="117"/>
      <c r="AZ6094" s="117"/>
      <c r="BA6094" s="117"/>
      <c r="BB6094" s="117"/>
      <c r="BC6094" s="117"/>
      <c r="BD6094" s="117"/>
    </row>
    <row r="6095" spans="1:56" ht="15">
      <c r="A6095" s="114"/>
      <c r="B6095" s="399" t="s">
        <v>1154</v>
      </c>
      <c r="C6095" s="31"/>
      <c r="D6095" s="32"/>
      <c r="E6095" s="412">
        <f>C6081*E6094</f>
        <v>6</v>
      </c>
      <c r="F6095" s="390" t="s">
        <v>1153</v>
      </c>
      <c r="G6095" s="362"/>
      <c r="H6095" s="362"/>
      <c r="I6095" s="362"/>
      <c r="J6095" s="196"/>
      <c r="AW6095" s="117"/>
      <c r="AX6095" s="117"/>
      <c r="AY6095" s="117"/>
      <c r="AZ6095" s="117"/>
      <c r="BA6095" s="117"/>
      <c r="BB6095" s="117"/>
      <c r="BC6095" s="117"/>
      <c r="BD6095" s="117"/>
    </row>
    <row r="6096" spans="1:56" ht="15">
      <c r="A6096" s="114"/>
      <c r="B6096" s="398" t="s">
        <v>1155</v>
      </c>
      <c r="C6096" s="21"/>
      <c r="D6096" s="413"/>
      <c r="E6096" s="411">
        <v>700</v>
      </c>
      <c r="F6096" s="390" t="s">
        <v>1156</v>
      </c>
      <c r="G6096" s="362"/>
      <c r="H6096" s="414"/>
      <c r="I6096" s="362"/>
      <c r="J6096" s="362"/>
      <c r="AW6096" s="117"/>
      <c r="AX6096" s="117"/>
      <c r="AY6096" s="117"/>
      <c r="AZ6096" s="117"/>
      <c r="BA6096" s="117"/>
      <c r="BB6096" s="117"/>
      <c r="BC6096" s="117"/>
      <c r="BD6096" s="117"/>
    </row>
    <row r="6097" spans="1:56" ht="15">
      <c r="A6097" s="114"/>
      <c r="B6097" s="398" t="s">
        <v>1157</v>
      </c>
      <c r="C6097" s="21"/>
      <c r="D6097" s="413"/>
      <c r="E6097" s="418">
        <v>32</v>
      </c>
      <c r="F6097" s="390" t="s">
        <v>10</v>
      </c>
      <c r="G6097" s="362"/>
      <c r="H6097" s="6"/>
      <c r="I6097" s="362"/>
      <c r="J6097" s="362"/>
      <c r="AW6097" s="117"/>
      <c r="AX6097" s="117"/>
      <c r="AY6097" s="117"/>
      <c r="AZ6097" s="117"/>
      <c r="BA6097" s="117"/>
      <c r="BB6097" s="117"/>
      <c r="BC6097" s="117"/>
      <c r="BD6097" s="117"/>
    </row>
    <row r="6098" spans="1:56" ht="15">
      <c r="A6098" s="114"/>
      <c r="B6098" s="398" t="s">
        <v>1158</v>
      </c>
      <c r="C6098" s="21"/>
      <c r="D6098" s="413"/>
      <c r="E6098" s="412">
        <f>E6095*E6097</f>
        <v>192</v>
      </c>
      <c r="F6098" s="390" t="s">
        <v>10</v>
      </c>
      <c r="G6098" s="362"/>
      <c r="H6098" s="362"/>
      <c r="I6098" s="362"/>
      <c r="J6098" s="362"/>
      <c r="AW6098" s="117"/>
      <c r="AX6098" s="117"/>
      <c r="AY6098" s="117"/>
      <c r="AZ6098" s="117"/>
      <c r="BA6098" s="117"/>
      <c r="BB6098" s="117"/>
      <c r="BC6098" s="117"/>
      <c r="BD6098" s="117"/>
    </row>
    <row r="6099" spans="1:56" s="495" customFormat="1" ht="15">
      <c r="A6099" s="114"/>
      <c r="B6099" s="362"/>
      <c r="C6099" s="362"/>
      <c r="D6099" s="362"/>
      <c r="E6099" s="410"/>
      <c r="F6099" s="362"/>
      <c r="G6099" s="362"/>
      <c r="H6099" s="362"/>
      <c r="I6099" s="362"/>
      <c r="J6099" s="494"/>
      <c r="K6099" s="449"/>
      <c r="L6099" s="449"/>
      <c r="M6099" s="449"/>
      <c r="N6099" s="449"/>
      <c r="O6099" s="449"/>
      <c r="P6099" s="449"/>
      <c r="Q6099" s="449"/>
      <c r="R6099" s="449"/>
      <c r="S6099" s="449"/>
      <c r="T6099" s="449"/>
      <c r="U6099" s="449"/>
      <c r="V6099" s="449"/>
      <c r="W6099" s="449"/>
      <c r="X6099" s="449"/>
      <c r="Y6099" s="449"/>
      <c r="Z6099" s="449"/>
      <c r="AA6099" s="449"/>
      <c r="AB6099" s="449"/>
      <c r="AC6099" s="449"/>
      <c r="AD6099" s="449"/>
      <c r="AE6099" s="449"/>
      <c r="AF6099" s="449"/>
      <c r="AG6099" s="449"/>
      <c r="AH6099" s="449"/>
      <c r="AI6099" s="449"/>
      <c r="AJ6099" s="449"/>
      <c r="AK6099" s="449"/>
      <c r="AL6099" s="449"/>
      <c r="AM6099" s="449"/>
      <c r="AN6099" s="449"/>
      <c r="AO6099" s="449"/>
      <c r="AP6099" s="449"/>
      <c r="AQ6099" s="449"/>
      <c r="AR6099" s="449"/>
      <c r="AS6099" s="449"/>
      <c r="AT6099" s="449"/>
      <c r="AU6099" s="449"/>
      <c r="AV6099" s="449"/>
      <c r="AW6099" s="449"/>
    </row>
    <row r="6100" spans="1:56" s="495" customFormat="1" ht="15">
      <c r="A6100" s="114"/>
      <c r="B6100" s="303" t="s">
        <v>1160</v>
      </c>
      <c r="C6100" s="362"/>
      <c r="D6100" s="362"/>
      <c r="E6100" s="410"/>
      <c r="F6100" s="362"/>
      <c r="G6100" s="362"/>
      <c r="H6100" s="362"/>
      <c r="I6100" s="362"/>
      <c r="J6100" s="401"/>
      <c r="K6100" s="449"/>
      <c r="L6100" s="449"/>
      <c r="M6100" s="449"/>
      <c r="N6100" s="449"/>
      <c r="O6100" s="449"/>
      <c r="P6100" s="449"/>
      <c r="Q6100" s="449"/>
      <c r="R6100" s="449"/>
      <c r="S6100" s="449"/>
      <c r="T6100" s="449"/>
      <c r="U6100" s="449"/>
      <c r="V6100" s="449"/>
      <c r="W6100" s="449"/>
      <c r="X6100" s="449"/>
      <c r="Y6100" s="449"/>
      <c r="Z6100" s="449"/>
      <c r="AA6100" s="449"/>
      <c r="AB6100" s="449"/>
      <c r="AC6100" s="449"/>
      <c r="AD6100" s="449"/>
      <c r="AE6100" s="449"/>
      <c r="AF6100" s="449"/>
      <c r="AG6100" s="449"/>
      <c r="AH6100" s="449"/>
      <c r="AI6100" s="449"/>
      <c r="AJ6100" s="449"/>
      <c r="AK6100" s="449"/>
      <c r="AL6100" s="449"/>
      <c r="AM6100" s="449"/>
      <c r="AN6100" s="449"/>
      <c r="AO6100" s="449"/>
      <c r="AP6100" s="449"/>
      <c r="AQ6100" s="449"/>
      <c r="AR6100" s="449"/>
      <c r="AS6100" s="449"/>
      <c r="AT6100" s="449"/>
      <c r="AU6100" s="449"/>
      <c r="AV6100" s="449"/>
      <c r="AW6100" s="449"/>
    </row>
    <row r="6101" spans="1:56" customFormat="1" ht="18">
      <c r="A6101" s="114"/>
      <c r="B6101" s="398" t="s">
        <v>1128</v>
      </c>
      <c r="C6101" s="172"/>
      <c r="D6101" s="173"/>
      <c r="E6101" s="402">
        <f>E6091*0.05</f>
        <v>1.7550000000000001</v>
      </c>
      <c r="F6101" s="390" t="s">
        <v>1124</v>
      </c>
      <c r="G6101" s="362"/>
      <c r="H6101" s="362"/>
      <c r="I6101" s="362"/>
      <c r="J6101" s="362"/>
    </row>
    <row r="6102" spans="1:56" ht="15">
      <c r="A6102" s="114"/>
      <c r="B6102" s="398" t="s">
        <v>1129</v>
      </c>
      <c r="C6102" s="172"/>
      <c r="D6102" s="173"/>
      <c r="E6102" s="397">
        <f>(2*(C6077+C6078)*C6080)*C6081</f>
        <v>61.879999999999995</v>
      </c>
      <c r="F6102" s="390" t="s">
        <v>13</v>
      </c>
      <c r="G6102" s="362"/>
      <c r="H6102" s="362"/>
      <c r="I6102" s="362"/>
      <c r="J6102" s="362"/>
      <c r="AW6102" s="117"/>
      <c r="AX6102" s="117"/>
      <c r="AY6102" s="117"/>
      <c r="AZ6102" s="117"/>
      <c r="BA6102" s="117"/>
      <c r="BB6102" s="117"/>
      <c r="BC6102" s="117"/>
      <c r="BD6102" s="117"/>
    </row>
    <row r="6103" spans="1:56" ht="18">
      <c r="A6103" s="114"/>
      <c r="B6103" s="398" t="s">
        <v>1130</v>
      </c>
      <c r="C6103" s="172"/>
      <c r="D6103" s="173"/>
      <c r="E6103" s="402">
        <f>(C6077*C6078*C6080)*C6081</f>
        <v>84.968000000000004</v>
      </c>
      <c r="F6103" s="390" t="s">
        <v>1124</v>
      </c>
      <c r="G6103" s="362"/>
      <c r="H6103" s="362"/>
      <c r="I6103" s="362"/>
      <c r="J6103" s="362"/>
      <c r="AW6103" s="117"/>
      <c r="AX6103" s="117"/>
      <c r="AY6103" s="117"/>
      <c r="AZ6103" s="117"/>
      <c r="BA6103" s="117"/>
      <c r="BB6103" s="117"/>
      <c r="BC6103" s="117"/>
      <c r="BD6103" s="117"/>
    </row>
    <row r="6104" spans="1:56">
      <c r="A6104" s="114"/>
      <c r="B6104" s="115"/>
      <c r="C6104" s="115"/>
      <c r="D6104" s="115"/>
      <c r="E6104" s="115"/>
      <c r="F6104" s="115"/>
      <c r="G6104" s="115"/>
      <c r="H6104" s="115"/>
      <c r="I6104" s="115"/>
      <c r="J6104" s="401"/>
      <c r="AW6104" s="117"/>
      <c r="AX6104" s="117"/>
      <c r="AY6104" s="117"/>
      <c r="AZ6104" s="117"/>
      <c r="BA6104" s="117"/>
      <c r="BB6104" s="117"/>
      <c r="BC6104" s="117"/>
      <c r="BD6104" s="117"/>
    </row>
    <row r="6105" spans="1:56">
      <c r="A6105" s="114"/>
      <c r="B6105" s="115"/>
      <c r="C6105" s="115"/>
      <c r="D6105" s="115"/>
      <c r="E6105" s="115"/>
      <c r="F6105" s="115"/>
      <c r="G6105" s="115"/>
      <c r="H6105" s="115"/>
      <c r="I6105" s="115"/>
      <c r="J6105" s="401"/>
      <c r="AW6105" s="117"/>
      <c r="AX6105" s="117"/>
      <c r="AY6105" s="117"/>
      <c r="AZ6105" s="117"/>
      <c r="BA6105" s="117"/>
      <c r="BB6105" s="117"/>
      <c r="BC6105" s="117"/>
      <c r="BD6105" s="117"/>
    </row>
    <row r="6106" spans="1:56">
      <c r="A6106" s="114"/>
      <c r="B6106" s="115"/>
      <c r="C6106" s="115"/>
      <c r="D6106" s="115"/>
      <c r="E6106" s="115"/>
      <c r="F6106" s="115"/>
      <c r="G6106" s="115"/>
      <c r="H6106" s="115"/>
      <c r="I6106" s="115"/>
      <c r="J6106" s="401"/>
      <c r="AW6106" s="117"/>
      <c r="AX6106" s="117"/>
      <c r="AY6106" s="117"/>
      <c r="AZ6106" s="117"/>
      <c r="BA6106" s="117"/>
      <c r="BB6106" s="117"/>
      <c r="BC6106" s="117"/>
      <c r="BD6106" s="117"/>
    </row>
    <row r="6107" spans="1:56">
      <c r="A6107"/>
      <c r="B6107" s="385" t="s">
        <v>1337</v>
      </c>
      <c r="C6107" s="362"/>
      <c r="D6107" s="362"/>
      <c r="E6107" s="362"/>
      <c r="F6107" s="362"/>
      <c r="G6107" s="115"/>
      <c r="H6107" s="115"/>
      <c r="I6107" s="362"/>
      <c r="J6107" s="196"/>
      <c r="AW6107" s="117"/>
      <c r="AX6107" s="117"/>
      <c r="AY6107" s="117"/>
      <c r="AZ6107" s="117"/>
      <c r="BA6107" s="117"/>
      <c r="BB6107" s="117"/>
      <c r="BC6107" s="117"/>
      <c r="BD6107" s="117"/>
    </row>
    <row r="6108" spans="1:56" ht="15">
      <c r="A6108" s="114"/>
      <c r="B6108" s="362"/>
      <c r="C6108" s="362"/>
      <c r="D6108" s="362"/>
      <c r="E6108" s="362"/>
      <c r="F6108" s="404"/>
      <c r="G6108" s="196"/>
      <c r="H6108" s="196"/>
      <c r="I6108" s="404"/>
      <c r="J6108" s="196"/>
      <c r="AW6108" s="117"/>
      <c r="AX6108" s="117"/>
      <c r="AY6108" s="117"/>
      <c r="AZ6108" s="117"/>
      <c r="BA6108" s="117"/>
      <c r="BB6108" s="117"/>
      <c r="BC6108" s="117"/>
      <c r="BD6108" s="117"/>
    </row>
    <row r="6109" spans="1:56" ht="15">
      <c r="A6109" s="114"/>
      <c r="B6109" s="388" t="s">
        <v>1169</v>
      </c>
      <c r="C6109" s="685">
        <v>2.5625</v>
      </c>
      <c r="D6109" s="390" t="s">
        <v>13</v>
      </c>
      <c r="E6109" s="196"/>
      <c r="F6109" s="405"/>
      <c r="G6109" s="114"/>
      <c r="H6109" s="114"/>
      <c r="I6109" s="114"/>
      <c r="J6109" s="196"/>
      <c r="AW6109" s="117"/>
      <c r="AX6109" s="117"/>
      <c r="AY6109" s="117"/>
      <c r="AZ6109" s="117"/>
      <c r="BA6109" s="117"/>
      <c r="BB6109" s="117"/>
      <c r="BC6109" s="117"/>
      <c r="BD6109" s="117"/>
    </row>
    <row r="6110" spans="1:56" ht="15">
      <c r="A6110" s="114"/>
      <c r="B6110" s="388" t="s">
        <v>1110</v>
      </c>
      <c r="C6110" s="389">
        <v>6.4</v>
      </c>
      <c r="D6110" s="390" t="s">
        <v>10</v>
      </c>
      <c r="E6110" s="196"/>
      <c r="F6110" s="405"/>
      <c r="G6110" s="114"/>
      <c r="H6110" s="114"/>
      <c r="I6110" s="114"/>
      <c r="J6110" s="196"/>
      <c r="AW6110" s="117"/>
      <c r="AX6110" s="117"/>
      <c r="AY6110" s="117"/>
      <c r="AZ6110" s="117"/>
      <c r="BA6110" s="117"/>
      <c r="BB6110" s="117"/>
      <c r="BC6110" s="117"/>
      <c r="BD6110" s="117"/>
    </row>
    <row r="6111" spans="1:56" ht="15">
      <c r="A6111" s="114"/>
      <c r="B6111" s="388" t="s">
        <v>1111</v>
      </c>
      <c r="C6111" s="389">
        <v>6.4</v>
      </c>
      <c r="D6111" s="390" t="s">
        <v>10</v>
      </c>
      <c r="E6111" s="196"/>
      <c r="F6111" s="405"/>
      <c r="G6111" s="196"/>
      <c r="H6111" s="196"/>
      <c r="I6111" s="114"/>
      <c r="J6111" s="196"/>
      <c r="AW6111" s="117"/>
      <c r="AX6111" s="117"/>
      <c r="AY6111" s="117"/>
      <c r="AZ6111" s="117"/>
      <c r="BA6111" s="117"/>
      <c r="BB6111" s="117"/>
      <c r="BC6111" s="117"/>
      <c r="BD6111" s="117"/>
    </row>
    <row r="6112" spans="1:56" ht="15">
      <c r="A6112" s="114"/>
      <c r="B6112" s="388" t="s">
        <v>1112</v>
      </c>
      <c r="C6112" s="389">
        <v>1.4</v>
      </c>
      <c r="D6112" s="390" t="s">
        <v>10</v>
      </c>
      <c r="E6112" s="196"/>
      <c r="F6112" s="405"/>
      <c r="G6112" s="362"/>
      <c r="H6112" s="362"/>
      <c r="I6112" s="114"/>
      <c r="J6112" s="196"/>
      <c r="AW6112" s="117"/>
      <c r="AX6112" s="117"/>
      <c r="AY6112" s="117"/>
      <c r="AZ6112" s="117"/>
      <c r="BA6112" s="117"/>
      <c r="BB6112" s="117"/>
      <c r="BC6112" s="117"/>
      <c r="BD6112" s="117"/>
    </row>
    <row r="6113" spans="1:56" ht="15">
      <c r="A6113" s="114"/>
      <c r="B6113" s="388" t="s">
        <v>1113</v>
      </c>
      <c r="C6113" s="389">
        <v>3</v>
      </c>
      <c r="D6113" s="390" t="s">
        <v>10</v>
      </c>
      <c r="E6113" s="196"/>
      <c r="F6113" s="405"/>
      <c r="G6113" s="404"/>
      <c r="H6113" s="404"/>
      <c r="I6113" s="114"/>
      <c r="J6113" s="196"/>
      <c r="AW6113" s="117"/>
      <c r="AX6113" s="117"/>
      <c r="AY6113" s="117"/>
      <c r="AZ6113" s="117"/>
      <c r="BA6113" s="117"/>
      <c r="BB6113" s="117"/>
      <c r="BC6113" s="117"/>
      <c r="BD6113" s="117"/>
    </row>
    <row r="6114" spans="1:56" ht="18">
      <c r="A6114" s="114"/>
      <c r="B6114" s="388" t="s">
        <v>1117</v>
      </c>
      <c r="C6114" s="391">
        <v>1</v>
      </c>
      <c r="D6114" s="390" t="s">
        <v>1118</v>
      </c>
      <c r="E6114" s="196"/>
      <c r="F6114" s="405"/>
      <c r="G6114" s="406" t="s">
        <v>1142</v>
      </c>
      <c r="H6114" s="407">
        <f>C6109</f>
        <v>2.5625</v>
      </c>
      <c r="I6114" s="405" t="s">
        <v>1143</v>
      </c>
      <c r="J6114" s="196"/>
      <c r="AW6114" s="117"/>
      <c r="AX6114" s="117"/>
      <c r="AY6114" s="117"/>
      <c r="AZ6114" s="117"/>
      <c r="BA6114" s="117"/>
      <c r="BB6114" s="117"/>
      <c r="BC6114" s="117"/>
      <c r="BD6114" s="117"/>
    </row>
    <row r="6115" spans="1:56" ht="15">
      <c r="A6115" s="114"/>
      <c r="B6115" s="196" t="s">
        <v>1148</v>
      </c>
      <c r="C6115" s="393"/>
      <c r="D6115" s="196"/>
      <c r="E6115" s="196"/>
      <c r="F6115" s="405"/>
      <c r="G6115" s="406" t="e">
        <f>TEXT(C6116,"tg 0°=")</f>
        <v>#VALUE!</v>
      </c>
      <c r="H6115" s="408">
        <f>TAN(3.14159265359*C6116/180)</f>
        <v>1.732050807569153</v>
      </c>
      <c r="I6115" s="405"/>
      <c r="J6115" s="196"/>
      <c r="AW6115" s="117"/>
      <c r="AX6115" s="117"/>
      <c r="AY6115" s="117"/>
      <c r="AZ6115" s="117"/>
      <c r="BA6115" s="117"/>
      <c r="BB6115" s="117"/>
      <c r="BC6115" s="117"/>
      <c r="BD6115" s="117"/>
    </row>
    <row r="6116" spans="1:56" ht="15">
      <c r="A6116" s="114"/>
      <c r="B6116" s="388" t="s">
        <v>1149</v>
      </c>
      <c r="C6116" s="389">
        <v>60</v>
      </c>
      <c r="D6116" s="390" t="s">
        <v>1150</v>
      </c>
      <c r="E6116" s="196"/>
      <c r="F6116" s="196"/>
      <c r="G6116" s="406"/>
      <c r="H6116" s="407"/>
      <c r="I6116" s="405"/>
      <c r="J6116" s="196"/>
      <c r="AW6116" s="117"/>
      <c r="AX6116" s="117"/>
      <c r="AY6116" s="117"/>
      <c r="AZ6116" s="117"/>
      <c r="BA6116" s="117"/>
      <c r="BB6116" s="117"/>
      <c r="BC6116" s="117"/>
      <c r="BD6116" s="117"/>
    </row>
    <row r="6117" spans="1:56" ht="18">
      <c r="A6117" s="114"/>
      <c r="B6117" s="362"/>
      <c r="C6117" s="196"/>
      <c r="D6117" s="196"/>
      <c r="E6117" s="196"/>
      <c r="F6117" s="196"/>
      <c r="G6117" s="406" t="s">
        <v>1142</v>
      </c>
      <c r="H6117" s="409">
        <f>(C6110+2*C6118+((C6112+C6113+0.05)/H6115)*2)*(C6111+2*C6118+((C6112+C6113+0.05)/H6115)*2)</f>
        <v>157.21191079097034</v>
      </c>
      <c r="I6117" s="405" t="s">
        <v>1143</v>
      </c>
      <c r="J6117" s="196"/>
      <c r="AW6117" s="117"/>
      <c r="AX6117" s="117"/>
      <c r="AY6117" s="117"/>
      <c r="AZ6117" s="117"/>
      <c r="BA6117" s="117"/>
      <c r="BB6117" s="117"/>
      <c r="BC6117" s="117"/>
      <c r="BD6117" s="117"/>
    </row>
    <row r="6118" spans="1:56" ht="18">
      <c r="A6118" s="114"/>
      <c r="B6118" s="388" t="s">
        <v>1114</v>
      </c>
      <c r="C6118" s="389">
        <v>0.5</v>
      </c>
      <c r="D6118" s="390" t="s">
        <v>10</v>
      </c>
      <c r="E6118" s="288" t="s">
        <v>1120</v>
      </c>
      <c r="F6118" s="196"/>
      <c r="G6118" s="406" t="s">
        <v>1147</v>
      </c>
      <c r="H6118" s="409">
        <f>(C6110+2*C6118)*(C6111+2*C6118)</f>
        <v>54.760000000000005</v>
      </c>
      <c r="I6118" s="405" t="s">
        <v>1143</v>
      </c>
      <c r="J6118" s="196"/>
      <c r="AW6118" s="117"/>
      <c r="AX6118" s="117"/>
      <c r="AY6118" s="117"/>
      <c r="AZ6118" s="117"/>
      <c r="BA6118" s="117"/>
      <c r="BB6118" s="117"/>
      <c r="BC6118" s="117"/>
      <c r="BD6118" s="117"/>
    </row>
    <row r="6119" spans="1:56" ht="15">
      <c r="A6119" s="114"/>
      <c r="B6119" s="388" t="s">
        <v>1114</v>
      </c>
      <c r="C6119" s="389">
        <v>0.1</v>
      </c>
      <c r="D6119" s="390" t="s">
        <v>10</v>
      </c>
      <c r="E6119" s="288" t="s">
        <v>1121</v>
      </c>
      <c r="F6119" s="196"/>
      <c r="G6119" s="406"/>
      <c r="H6119" s="407"/>
      <c r="I6119" s="196"/>
      <c r="J6119" s="196"/>
      <c r="AW6119" s="117"/>
      <c r="AX6119" s="117"/>
      <c r="AY6119" s="117"/>
      <c r="AZ6119" s="117"/>
      <c r="BA6119" s="117"/>
      <c r="BB6119" s="117"/>
      <c r="BC6119" s="117"/>
      <c r="BD6119" s="117"/>
    </row>
    <row r="6120" spans="1:56" ht="15">
      <c r="A6120" s="114"/>
      <c r="B6120" s="362"/>
      <c r="C6120" s="362"/>
      <c r="D6120" s="362"/>
      <c r="E6120" s="362"/>
      <c r="F6120" s="362"/>
      <c r="G6120" s="406"/>
      <c r="H6120" s="407"/>
      <c r="I6120" s="362"/>
      <c r="J6120" s="362"/>
      <c r="AW6120" s="117"/>
      <c r="AX6120" s="117"/>
      <c r="AY6120" s="117"/>
      <c r="AZ6120" s="117"/>
      <c r="BA6120" s="117"/>
      <c r="BB6120" s="117"/>
      <c r="BC6120" s="117"/>
      <c r="BD6120" s="117"/>
    </row>
    <row r="6121" spans="1:56" ht="15">
      <c r="A6121" s="114"/>
      <c r="B6121" s="303" t="s">
        <v>1122</v>
      </c>
      <c r="C6121" s="362"/>
      <c r="D6121" s="362"/>
      <c r="E6121" s="362"/>
      <c r="F6121" s="362"/>
      <c r="G6121" s="406"/>
      <c r="H6121" s="407"/>
      <c r="I6121" s="114"/>
      <c r="J6121" s="362"/>
      <c r="AW6121" s="117"/>
      <c r="AX6121" s="117"/>
      <c r="AY6121" s="117"/>
      <c r="AZ6121" s="117"/>
      <c r="BA6121" s="117"/>
      <c r="BB6121" s="117"/>
      <c r="BC6121" s="117"/>
      <c r="BD6121" s="117"/>
    </row>
    <row r="6122" spans="1:56" ht="18">
      <c r="A6122" s="114"/>
      <c r="B6122" s="398" t="s">
        <v>1123</v>
      </c>
      <c r="C6122" s="172"/>
      <c r="D6122" s="173"/>
      <c r="E6122" s="397">
        <f>C6114*((H6118+H6117)/2)*(C6112+C6113+0.05)</f>
        <v>471.63750150990904</v>
      </c>
      <c r="F6122" s="390" t="s">
        <v>1124</v>
      </c>
      <c r="G6122" s="392"/>
      <c r="H6122" s="393"/>
      <c r="I6122" s="196"/>
      <c r="J6122" s="196"/>
      <c r="AW6122" s="117"/>
      <c r="AX6122" s="117"/>
      <c r="AY6122" s="117"/>
      <c r="AZ6122" s="117"/>
      <c r="BA6122" s="117"/>
      <c r="BB6122" s="117"/>
      <c r="BC6122" s="117"/>
      <c r="BD6122" s="117"/>
    </row>
    <row r="6123" spans="1:56" ht="18">
      <c r="A6123" s="114"/>
      <c r="B6123" s="398" t="s">
        <v>1125</v>
      </c>
      <c r="C6123" s="172"/>
      <c r="D6123" s="173"/>
      <c r="E6123" s="400">
        <f>E6122-C6114*(C6110*C6111*C6113+C6110*C6111*0.05+C6109*C6112)</f>
        <v>343.12200150990901</v>
      </c>
      <c r="F6123" s="390" t="s">
        <v>1124</v>
      </c>
      <c r="G6123" s="362"/>
      <c r="H6123" s="362"/>
      <c r="I6123" s="196"/>
      <c r="J6123" s="362"/>
      <c r="AW6123" s="117"/>
      <c r="AX6123" s="117"/>
      <c r="AY6123" s="117"/>
      <c r="AZ6123" s="117"/>
      <c r="BA6123" s="117"/>
      <c r="BB6123" s="117"/>
      <c r="BC6123" s="117"/>
      <c r="BD6123" s="117"/>
    </row>
    <row r="6124" spans="1:56" ht="15">
      <c r="A6124" s="114"/>
      <c r="B6124" s="398" t="s">
        <v>1126</v>
      </c>
      <c r="C6124" s="172"/>
      <c r="D6124" s="173"/>
      <c r="E6124" s="400">
        <f>((C6110+2*C6119)*(C6111+2*C6119))*C6114</f>
        <v>43.560000000000009</v>
      </c>
      <c r="F6124" s="390" t="s">
        <v>13</v>
      </c>
      <c r="G6124" s="114"/>
      <c r="H6124" s="114"/>
      <c r="I6124" s="196"/>
      <c r="J6124" s="362"/>
      <c r="AW6124" s="117"/>
      <c r="AX6124" s="117"/>
      <c r="AY6124" s="117"/>
      <c r="AZ6124" s="117"/>
      <c r="BA6124" s="117"/>
      <c r="BB6124" s="117"/>
      <c r="BC6124" s="117"/>
      <c r="BD6124" s="117"/>
    </row>
    <row r="6125" spans="1:56" ht="15">
      <c r="A6125" s="114"/>
      <c r="B6125" s="362"/>
      <c r="C6125" s="362"/>
      <c r="D6125" s="362"/>
      <c r="E6125" s="401"/>
      <c r="F6125" s="196"/>
      <c r="G6125" s="362"/>
      <c r="H6125" s="362"/>
      <c r="I6125" s="362"/>
      <c r="J6125" s="362"/>
      <c r="AW6125" s="117"/>
      <c r="AX6125" s="117"/>
      <c r="AY6125" s="117"/>
      <c r="AZ6125" s="117"/>
      <c r="BA6125" s="117"/>
      <c r="BB6125" s="117"/>
      <c r="BC6125" s="117"/>
      <c r="BD6125" s="117"/>
    </row>
    <row r="6126" spans="1:56" ht="15">
      <c r="A6126" s="114"/>
      <c r="B6126" s="303" t="s">
        <v>1162</v>
      </c>
      <c r="C6126" s="362"/>
      <c r="D6126" s="362"/>
      <c r="E6126" s="410"/>
      <c r="F6126" s="362"/>
      <c r="G6126" s="114"/>
      <c r="H6126" s="392" t="s">
        <v>1131</v>
      </c>
      <c r="I6126" s="362"/>
      <c r="J6126" s="114"/>
      <c r="AW6126" s="117"/>
      <c r="AX6126" s="117"/>
      <c r="AY6126" s="117"/>
      <c r="AZ6126" s="117"/>
      <c r="BA6126" s="117"/>
      <c r="BB6126" s="117"/>
      <c r="BC6126" s="117"/>
      <c r="BD6126" s="117"/>
    </row>
    <row r="6127" spans="1:56" s="495" customFormat="1" ht="15">
      <c r="A6127" s="114"/>
      <c r="B6127" s="398" t="s">
        <v>1152</v>
      </c>
      <c r="C6127" s="398"/>
      <c r="D6127" s="366"/>
      <c r="E6127" s="411">
        <v>9</v>
      </c>
      <c r="F6127" s="390" t="s">
        <v>1153</v>
      </c>
      <c r="G6127" s="362"/>
      <c r="H6127" s="362"/>
      <c r="I6127" s="362"/>
      <c r="J6127" s="401"/>
      <c r="K6127" s="449"/>
      <c r="L6127" s="449"/>
      <c r="M6127" s="449"/>
      <c r="N6127" s="449"/>
      <c r="O6127" s="449"/>
      <c r="P6127" s="449"/>
      <c r="Q6127" s="449"/>
      <c r="R6127" s="449"/>
      <c r="S6127" s="449"/>
      <c r="T6127" s="449"/>
      <c r="U6127" s="449"/>
      <c r="V6127" s="449"/>
      <c r="W6127" s="449"/>
      <c r="X6127" s="449"/>
      <c r="Y6127" s="449"/>
      <c r="Z6127" s="449"/>
      <c r="AA6127" s="449"/>
      <c r="AB6127" s="449"/>
      <c r="AC6127" s="449"/>
      <c r="AD6127" s="449"/>
      <c r="AE6127" s="449"/>
      <c r="AF6127" s="449"/>
      <c r="AG6127" s="449"/>
      <c r="AH6127" s="449"/>
      <c r="AI6127" s="449"/>
      <c r="AJ6127" s="449"/>
      <c r="AK6127" s="449"/>
      <c r="AL6127" s="449"/>
      <c r="AM6127" s="449"/>
      <c r="AN6127" s="449"/>
      <c r="AO6127" s="449"/>
      <c r="AP6127" s="449"/>
      <c r="AQ6127" s="449"/>
      <c r="AR6127" s="449"/>
      <c r="AS6127" s="449"/>
      <c r="AT6127" s="449"/>
      <c r="AU6127" s="449"/>
      <c r="AV6127" s="449"/>
      <c r="AW6127" s="449"/>
    </row>
    <row r="6128" spans="1:56" customFormat="1" ht="15">
      <c r="A6128" s="114"/>
      <c r="B6128" s="399" t="s">
        <v>1154</v>
      </c>
      <c r="C6128" s="31"/>
      <c r="D6128" s="32"/>
      <c r="E6128" s="412">
        <f>C6114*E6127</f>
        <v>9</v>
      </c>
      <c r="F6128" s="390" t="s">
        <v>1153</v>
      </c>
      <c r="G6128" s="362"/>
      <c r="H6128" s="362"/>
      <c r="I6128" s="362"/>
      <c r="J6128" s="362"/>
    </row>
    <row r="6129" spans="1:56" ht="15">
      <c r="A6129" s="114"/>
      <c r="B6129" s="398" t="s">
        <v>1155</v>
      </c>
      <c r="C6129" s="21"/>
      <c r="D6129" s="413"/>
      <c r="E6129" s="411">
        <v>700</v>
      </c>
      <c r="F6129" s="390" t="s">
        <v>1156</v>
      </c>
      <c r="G6129" s="362"/>
      <c r="H6129" s="414"/>
      <c r="I6129" s="362"/>
      <c r="J6129" s="362"/>
      <c r="AW6129" s="117"/>
      <c r="AX6129" s="117"/>
      <c r="AY6129" s="117"/>
      <c r="AZ6129" s="117"/>
      <c r="BA6129" s="117"/>
      <c r="BB6129" s="117"/>
      <c r="BC6129" s="117"/>
      <c r="BD6129" s="117"/>
    </row>
    <row r="6130" spans="1:56" ht="15">
      <c r="A6130" s="114"/>
      <c r="B6130" s="398" t="s">
        <v>1157</v>
      </c>
      <c r="C6130" s="21"/>
      <c r="D6130" s="413"/>
      <c r="E6130" s="418">
        <v>32</v>
      </c>
      <c r="F6130" s="390" t="s">
        <v>10</v>
      </c>
      <c r="G6130" s="362"/>
      <c r="H6130" s="6"/>
      <c r="I6130" s="362"/>
      <c r="J6130" s="362"/>
      <c r="AW6130" s="117"/>
      <c r="AX6130" s="117"/>
      <c r="AY6130" s="117"/>
      <c r="AZ6130" s="117"/>
      <c r="BA6130" s="117"/>
      <c r="BB6130" s="117"/>
      <c r="BC6130" s="117"/>
      <c r="BD6130" s="117"/>
    </row>
    <row r="6131" spans="1:56" ht="15">
      <c r="A6131" s="114"/>
      <c r="B6131" s="398" t="s">
        <v>1158</v>
      </c>
      <c r="C6131" s="21"/>
      <c r="D6131" s="413"/>
      <c r="E6131" s="412">
        <f>E6128*E6130</f>
        <v>288</v>
      </c>
      <c r="F6131" s="390" t="s">
        <v>10</v>
      </c>
      <c r="G6131" s="362"/>
      <c r="H6131" s="362"/>
      <c r="I6131" s="362"/>
      <c r="J6131" s="401"/>
      <c r="AW6131" s="117"/>
      <c r="AX6131" s="117"/>
      <c r="AY6131" s="117"/>
      <c r="AZ6131" s="117"/>
      <c r="BA6131" s="117"/>
      <c r="BB6131" s="117"/>
      <c r="BC6131" s="117"/>
      <c r="BD6131" s="117"/>
    </row>
    <row r="6132" spans="1:56" ht="15">
      <c r="A6132" s="114"/>
      <c r="B6132" s="362"/>
      <c r="C6132" s="362"/>
      <c r="D6132" s="362"/>
      <c r="E6132" s="410"/>
      <c r="F6132" s="362"/>
      <c r="G6132" s="362"/>
      <c r="H6132" s="362"/>
      <c r="I6132" s="362"/>
      <c r="J6132" s="401"/>
      <c r="AW6132" s="117"/>
      <c r="AX6132" s="117"/>
      <c r="AY6132" s="117"/>
      <c r="AZ6132" s="117"/>
      <c r="BA6132" s="117"/>
      <c r="BB6132" s="117"/>
      <c r="BC6132" s="117"/>
      <c r="BD6132" s="117"/>
    </row>
    <row r="6133" spans="1:56" ht="15">
      <c r="A6133" s="114"/>
      <c r="B6133" s="303" t="s">
        <v>1160</v>
      </c>
      <c r="C6133" s="362"/>
      <c r="D6133" s="362"/>
      <c r="E6133" s="410"/>
      <c r="F6133" s="362"/>
      <c r="G6133" s="362"/>
      <c r="H6133" s="362"/>
      <c r="I6133" s="362"/>
      <c r="J6133" s="401"/>
      <c r="AW6133" s="117"/>
      <c r="AX6133" s="117"/>
      <c r="AY6133" s="117"/>
      <c r="AZ6133" s="117"/>
      <c r="BA6133" s="117"/>
      <c r="BB6133" s="117"/>
      <c r="BC6133" s="117"/>
      <c r="BD6133" s="117"/>
    </row>
    <row r="6134" spans="1:56" ht="18">
      <c r="A6134" s="114"/>
      <c r="B6134" s="398" t="s">
        <v>1128</v>
      </c>
      <c r="C6134" s="172"/>
      <c r="D6134" s="173"/>
      <c r="E6134" s="402">
        <f>E6124*0.05</f>
        <v>2.1780000000000004</v>
      </c>
      <c r="F6134" s="390" t="s">
        <v>1124</v>
      </c>
      <c r="G6134" s="362"/>
      <c r="H6134" s="362"/>
      <c r="I6134" s="362"/>
      <c r="J6134" s="196"/>
      <c r="AW6134" s="117"/>
      <c r="AX6134" s="117"/>
      <c r="AY6134" s="117"/>
      <c r="AZ6134" s="117"/>
      <c r="BA6134" s="117"/>
      <c r="BB6134" s="117"/>
      <c r="BC6134" s="117"/>
      <c r="BD6134" s="117"/>
    </row>
    <row r="6135" spans="1:56" ht="15">
      <c r="A6135" s="114"/>
      <c r="B6135" s="398" t="s">
        <v>1129</v>
      </c>
      <c r="C6135" s="172"/>
      <c r="D6135" s="173"/>
      <c r="E6135" s="397">
        <f>(2*(C6110+C6111)*C6113)*C6114</f>
        <v>76.800000000000011</v>
      </c>
      <c r="F6135" s="390" t="s">
        <v>13</v>
      </c>
      <c r="G6135" s="362"/>
      <c r="H6135" s="362"/>
      <c r="I6135" s="362"/>
      <c r="J6135" s="196"/>
      <c r="AW6135" s="117"/>
      <c r="AX6135" s="117"/>
      <c r="AY6135" s="117"/>
      <c r="AZ6135" s="117"/>
      <c r="BA6135" s="117"/>
      <c r="BB6135" s="117"/>
      <c r="BC6135" s="117"/>
      <c r="BD6135" s="117"/>
    </row>
    <row r="6136" spans="1:56" ht="18">
      <c r="A6136" s="114"/>
      <c r="B6136" s="398" t="s">
        <v>1130</v>
      </c>
      <c r="C6136" s="172"/>
      <c r="D6136" s="173"/>
      <c r="E6136" s="402">
        <f>(C6110*C6111*C6113)*C6114</f>
        <v>122.88000000000002</v>
      </c>
      <c r="F6136" s="390" t="s">
        <v>1124</v>
      </c>
      <c r="G6136" s="362"/>
      <c r="H6136" s="362"/>
      <c r="I6136" s="362"/>
      <c r="J6136" s="196"/>
      <c r="AW6136" s="117"/>
      <c r="AX6136" s="117"/>
      <c r="AY6136" s="117"/>
      <c r="AZ6136" s="117"/>
      <c r="BA6136" s="117"/>
      <c r="BB6136" s="117"/>
      <c r="BC6136" s="117"/>
      <c r="BD6136" s="117"/>
    </row>
    <row r="6137" spans="1:56">
      <c r="A6137" s="114"/>
      <c r="B6137" s="115"/>
      <c r="C6137" s="115"/>
      <c r="D6137" s="115"/>
      <c r="E6137" s="115"/>
      <c r="F6137" s="115"/>
      <c r="G6137" s="115"/>
      <c r="H6137" s="115"/>
      <c r="I6137" s="115"/>
      <c r="J6137" s="196"/>
      <c r="AW6137" s="117"/>
      <c r="AX6137" s="117"/>
      <c r="AY6137" s="117"/>
      <c r="AZ6137" s="117"/>
      <c r="BA6137" s="117"/>
      <c r="BB6137" s="117"/>
      <c r="BC6137" s="117"/>
      <c r="BD6137" s="117"/>
    </row>
    <row r="6138" spans="1:56">
      <c r="A6138" s="114"/>
      <c r="B6138" s="115"/>
      <c r="C6138" s="115"/>
      <c r="D6138" s="115"/>
      <c r="E6138" s="115"/>
      <c r="F6138" s="115"/>
      <c r="G6138" s="115"/>
      <c r="H6138" s="115"/>
      <c r="I6138" s="115"/>
      <c r="J6138" s="196"/>
      <c r="AW6138" s="117"/>
      <c r="AX6138" s="117"/>
      <c r="AY6138" s="117"/>
      <c r="AZ6138" s="117"/>
      <c r="BA6138" s="117"/>
      <c r="BB6138" s="117"/>
      <c r="BC6138" s="117"/>
      <c r="BD6138" s="117"/>
    </row>
    <row r="6139" spans="1:56">
      <c r="A6139" s="114"/>
      <c r="B6139" s="115"/>
      <c r="C6139" s="115"/>
      <c r="D6139" s="115"/>
      <c r="E6139" s="115"/>
      <c r="F6139" s="115"/>
      <c r="G6139" s="115"/>
      <c r="H6139" s="115"/>
      <c r="I6139" s="115"/>
      <c r="J6139" s="196"/>
      <c r="AW6139" s="117"/>
      <c r="AX6139" s="117"/>
      <c r="AY6139" s="117"/>
      <c r="AZ6139" s="117"/>
      <c r="BA6139" s="117"/>
      <c r="BB6139" s="117"/>
      <c r="BC6139" s="117"/>
      <c r="BD6139" s="117"/>
    </row>
    <row r="6140" spans="1:56">
      <c r="A6140" s="114"/>
      <c r="B6140" s="115"/>
      <c r="C6140" s="115"/>
      <c r="D6140" s="115"/>
      <c r="E6140" s="115"/>
      <c r="F6140" s="115"/>
      <c r="G6140" s="115"/>
      <c r="H6140" s="115"/>
      <c r="I6140" s="115"/>
      <c r="J6140" s="196"/>
      <c r="AW6140" s="117"/>
      <c r="AX6140" s="117"/>
      <c r="AY6140" s="117"/>
      <c r="AZ6140" s="117"/>
      <c r="BA6140" s="117"/>
      <c r="BB6140" s="117"/>
      <c r="BC6140" s="117"/>
      <c r="BD6140" s="117"/>
    </row>
    <row r="6141" spans="1:56">
      <c r="A6141" s="114"/>
      <c r="B6141" s="115"/>
      <c r="C6141" s="115"/>
      <c r="D6141" s="115"/>
      <c r="E6141" s="115"/>
      <c r="F6141" s="115"/>
      <c r="G6141" s="115"/>
      <c r="H6141" s="115"/>
      <c r="I6141" s="115"/>
      <c r="J6141" s="196"/>
      <c r="AW6141" s="117"/>
      <c r="AX6141" s="117"/>
      <c r="AY6141" s="117"/>
      <c r="AZ6141" s="117"/>
      <c r="BA6141" s="117"/>
      <c r="BB6141" s="117"/>
      <c r="BC6141" s="117"/>
      <c r="BD6141" s="117"/>
    </row>
    <row r="6142" spans="1:56">
      <c r="A6142"/>
      <c r="B6142" s="385" t="s">
        <v>1338</v>
      </c>
      <c r="C6142" s="362"/>
      <c r="D6142" s="362"/>
      <c r="E6142" s="362"/>
      <c r="F6142" s="362"/>
      <c r="G6142" s="115"/>
      <c r="H6142" s="115"/>
      <c r="I6142" s="362"/>
      <c r="J6142" s="196"/>
      <c r="AW6142" s="117"/>
      <c r="AX6142" s="117"/>
      <c r="AY6142" s="117"/>
      <c r="AZ6142" s="117"/>
      <c r="BA6142" s="117"/>
      <c r="BB6142" s="117"/>
      <c r="BC6142" s="117"/>
      <c r="BD6142" s="117"/>
    </row>
    <row r="6143" spans="1:56" ht="15">
      <c r="A6143" s="114"/>
      <c r="B6143" s="362"/>
      <c r="C6143" s="362"/>
      <c r="D6143" s="362"/>
      <c r="E6143" s="362"/>
      <c r="F6143" s="404"/>
      <c r="G6143" s="196"/>
      <c r="H6143" s="196"/>
      <c r="I6143" s="404"/>
      <c r="J6143" s="196"/>
      <c r="AW6143" s="117"/>
      <c r="AX6143" s="117"/>
      <c r="AY6143" s="117"/>
      <c r="AZ6143" s="117"/>
      <c r="BA6143" s="117"/>
      <c r="BB6143" s="117"/>
      <c r="BC6143" s="117"/>
      <c r="BD6143" s="117"/>
    </row>
    <row r="6144" spans="1:56" ht="18">
      <c r="A6144" s="114"/>
      <c r="B6144" s="388" t="s">
        <v>1141</v>
      </c>
      <c r="C6144" s="389">
        <v>0.75</v>
      </c>
      <c r="D6144" s="390" t="s">
        <v>10</v>
      </c>
      <c r="E6144" s="196"/>
      <c r="F6144" s="405"/>
      <c r="G6144" s="196"/>
      <c r="H6144" s="196"/>
      <c r="I6144" s="405" t="s">
        <v>1143</v>
      </c>
      <c r="J6144" s="196"/>
      <c r="AW6144" s="117"/>
      <c r="AX6144" s="117"/>
      <c r="AY6144" s="117"/>
      <c r="AZ6144" s="117"/>
      <c r="BA6144" s="117"/>
      <c r="BB6144" s="117"/>
      <c r="BC6144" s="117"/>
      <c r="BD6144" s="117"/>
    </row>
    <row r="6145" spans="1:56" ht="15">
      <c r="A6145" s="114"/>
      <c r="B6145" s="388" t="s">
        <v>1144</v>
      </c>
      <c r="C6145" s="389">
        <v>0.75</v>
      </c>
      <c r="D6145" s="390" t="s">
        <v>10</v>
      </c>
      <c r="E6145" s="196"/>
      <c r="F6145" s="405"/>
      <c r="G6145" s="362"/>
      <c r="H6145" s="362"/>
      <c r="I6145" s="405"/>
      <c r="J6145" s="196"/>
      <c r="AW6145" s="117"/>
      <c r="AX6145" s="117"/>
      <c r="AY6145" s="117"/>
      <c r="AZ6145" s="117"/>
      <c r="BA6145" s="117"/>
      <c r="BB6145" s="117"/>
      <c r="BC6145" s="117"/>
      <c r="BD6145" s="117"/>
    </row>
    <row r="6146" spans="1:56" ht="15">
      <c r="A6146" s="114"/>
      <c r="B6146" s="388" t="s">
        <v>1145</v>
      </c>
      <c r="C6146" s="389">
        <v>4</v>
      </c>
      <c r="D6146" s="390" t="s">
        <v>10</v>
      </c>
      <c r="E6146" s="196"/>
      <c r="F6146" s="405"/>
      <c r="G6146" s="404"/>
      <c r="H6146" s="404"/>
      <c r="I6146" s="405"/>
      <c r="J6146" s="196"/>
      <c r="AW6146" s="117"/>
      <c r="AX6146" s="117"/>
      <c r="AY6146" s="117"/>
      <c r="AZ6146" s="117"/>
      <c r="BA6146" s="117"/>
      <c r="BB6146" s="117"/>
      <c r="BC6146" s="117"/>
      <c r="BD6146" s="117"/>
    </row>
    <row r="6147" spans="1:56" ht="18">
      <c r="A6147" s="114"/>
      <c r="B6147" s="388" t="s">
        <v>1146</v>
      </c>
      <c r="C6147" s="389">
        <v>11.2</v>
      </c>
      <c r="D6147" s="390" t="s">
        <v>10</v>
      </c>
      <c r="E6147" s="196"/>
      <c r="F6147" s="405"/>
      <c r="G6147" s="406" t="s">
        <v>1142</v>
      </c>
      <c r="H6147" s="407">
        <f>C6144*C6145</f>
        <v>0.5625</v>
      </c>
      <c r="I6147" s="405" t="s">
        <v>1143</v>
      </c>
      <c r="J6147" s="196"/>
      <c r="AW6147" s="117"/>
      <c r="AX6147" s="117"/>
      <c r="AY6147" s="117"/>
      <c r="AZ6147" s="117"/>
      <c r="BA6147" s="117"/>
      <c r="BB6147" s="117"/>
      <c r="BC6147" s="117"/>
      <c r="BD6147" s="117"/>
    </row>
    <row r="6148" spans="1:56" ht="18">
      <c r="A6148" s="114"/>
      <c r="B6148" s="388" t="s">
        <v>1112</v>
      </c>
      <c r="C6148" s="389">
        <v>0.55000000000000004</v>
      </c>
      <c r="D6148" s="390" t="s">
        <v>10</v>
      </c>
      <c r="E6148" s="196"/>
      <c r="F6148" s="405"/>
      <c r="G6148" s="406" t="e">
        <f>TEXT(C6152,"tg 0°=")</f>
        <v>#VALUE!</v>
      </c>
      <c r="H6148" s="408">
        <f>TAN(3.14159265359*C6152/180)</f>
        <v>1.732050807569153</v>
      </c>
      <c r="I6148" s="405" t="s">
        <v>1143</v>
      </c>
      <c r="J6148" s="196"/>
      <c r="AW6148" s="117"/>
      <c r="AX6148" s="117"/>
      <c r="AY6148" s="117"/>
      <c r="AZ6148" s="117"/>
      <c r="BA6148" s="117"/>
      <c r="BB6148" s="117"/>
      <c r="BC6148" s="117"/>
      <c r="BD6148" s="117"/>
    </row>
    <row r="6149" spans="1:56" ht="15">
      <c r="A6149" s="114"/>
      <c r="B6149" s="388" t="s">
        <v>1113</v>
      </c>
      <c r="C6149" s="389">
        <v>3</v>
      </c>
      <c r="D6149" s="390" t="s">
        <v>10</v>
      </c>
      <c r="E6149" s="196"/>
      <c r="F6149" s="405"/>
      <c r="G6149" s="406"/>
      <c r="H6149" s="407"/>
      <c r="I6149" s="405"/>
      <c r="J6149" s="362"/>
      <c r="AW6149" s="117"/>
      <c r="AX6149" s="117"/>
      <c r="AY6149" s="117"/>
      <c r="AZ6149" s="117"/>
      <c r="BA6149" s="117"/>
      <c r="BB6149" s="117"/>
      <c r="BC6149" s="117"/>
      <c r="BD6149" s="117"/>
    </row>
    <row r="6150" spans="1:56" ht="15">
      <c r="A6150" s="114"/>
      <c r="B6150" s="388" t="s">
        <v>1117</v>
      </c>
      <c r="C6150" s="391">
        <v>3</v>
      </c>
      <c r="D6150" s="390" t="s">
        <v>1118</v>
      </c>
      <c r="E6150" s="196"/>
      <c r="F6150" s="405"/>
      <c r="G6150" s="406" t="s">
        <v>1142</v>
      </c>
      <c r="H6150" s="409">
        <f>(C6146+2*C6154+((C6148+C6149+0.05)/H6148)*2)*(C6147+2*C6154+((C6148+C6149+0.05)/H6148)*2)</f>
        <v>149.77905733642635</v>
      </c>
      <c r="I6150" s="405"/>
      <c r="J6150" s="362"/>
      <c r="AW6150" s="117"/>
      <c r="AX6150" s="117"/>
      <c r="AY6150" s="117"/>
      <c r="AZ6150" s="117"/>
      <c r="BA6150" s="117"/>
      <c r="BB6150" s="117"/>
      <c r="BC6150" s="117"/>
      <c r="BD6150" s="117"/>
    </row>
    <row r="6151" spans="1:56" ht="15">
      <c r="A6151" s="114"/>
      <c r="B6151" s="196" t="s">
        <v>1148</v>
      </c>
      <c r="C6151" s="393"/>
      <c r="D6151" s="196"/>
      <c r="E6151" s="196"/>
      <c r="F6151" s="405"/>
      <c r="G6151" s="406" t="s">
        <v>1147</v>
      </c>
      <c r="H6151" s="409">
        <f>(C6146+2*C6154)*(C6147+2*C6154)</f>
        <v>61</v>
      </c>
      <c r="I6151" s="405"/>
      <c r="J6151" s="196"/>
      <c r="AW6151" s="117"/>
      <c r="AX6151" s="117"/>
      <c r="AY6151" s="117"/>
      <c r="AZ6151" s="117"/>
      <c r="BA6151" s="117"/>
      <c r="BB6151" s="117"/>
      <c r="BC6151" s="117"/>
      <c r="BD6151" s="117"/>
    </row>
    <row r="6152" spans="1:56" ht="15">
      <c r="A6152" s="114"/>
      <c r="B6152" s="388" t="s">
        <v>1149</v>
      </c>
      <c r="C6152" s="389">
        <v>60</v>
      </c>
      <c r="D6152" s="390" t="s">
        <v>1150</v>
      </c>
      <c r="E6152" s="196"/>
      <c r="F6152" s="196"/>
      <c r="G6152" s="406"/>
      <c r="H6152" s="407"/>
      <c r="I6152" s="196"/>
      <c r="J6152" s="362"/>
      <c r="AW6152" s="117"/>
      <c r="AX6152" s="117"/>
      <c r="AY6152" s="117"/>
      <c r="AZ6152" s="117"/>
      <c r="BA6152" s="117"/>
      <c r="BB6152" s="117"/>
      <c r="BC6152" s="117"/>
      <c r="BD6152" s="117"/>
    </row>
    <row r="6153" spans="1:56" ht="15">
      <c r="A6153" s="114"/>
      <c r="B6153" s="362"/>
      <c r="C6153" s="196"/>
      <c r="D6153" s="196"/>
      <c r="E6153" s="196"/>
      <c r="F6153" s="196"/>
      <c r="G6153" s="406"/>
      <c r="H6153" s="407"/>
      <c r="I6153" s="362"/>
      <c r="J6153" s="362"/>
      <c r="AW6153" s="117"/>
      <c r="AX6153" s="117"/>
      <c r="AY6153" s="117"/>
      <c r="AZ6153" s="117"/>
      <c r="BA6153" s="117"/>
      <c r="BB6153" s="117"/>
      <c r="BC6153" s="117"/>
      <c r="BD6153" s="117"/>
    </row>
    <row r="6154" spans="1:56" ht="15">
      <c r="A6154" s="114"/>
      <c r="B6154" s="388" t="s">
        <v>1114</v>
      </c>
      <c r="C6154" s="389">
        <v>0.5</v>
      </c>
      <c r="D6154" s="390" t="s">
        <v>10</v>
      </c>
      <c r="E6154" s="288" t="s">
        <v>1120</v>
      </c>
      <c r="F6154" s="196"/>
      <c r="G6154" s="406"/>
      <c r="H6154" s="407"/>
      <c r="I6154" s="114"/>
      <c r="J6154" s="362"/>
      <c r="AW6154" s="117"/>
      <c r="AX6154" s="117"/>
      <c r="AY6154" s="117"/>
      <c r="AZ6154" s="117"/>
      <c r="BA6154" s="117"/>
      <c r="BB6154" s="117"/>
      <c r="BC6154" s="117"/>
      <c r="BD6154" s="117"/>
    </row>
    <row r="6155" spans="1:56" s="495" customFormat="1" ht="15">
      <c r="A6155" s="114"/>
      <c r="B6155" s="388" t="s">
        <v>1114</v>
      </c>
      <c r="C6155" s="389">
        <v>0.1</v>
      </c>
      <c r="D6155" s="390" t="s">
        <v>10</v>
      </c>
      <c r="E6155" s="288" t="s">
        <v>1121</v>
      </c>
      <c r="F6155" s="196"/>
      <c r="G6155" s="392"/>
      <c r="H6155" s="393"/>
      <c r="I6155" s="196"/>
      <c r="J6155" s="494"/>
      <c r="K6155" s="449"/>
      <c r="L6155" s="449"/>
      <c r="M6155" s="449"/>
      <c r="N6155" s="449"/>
      <c r="O6155" s="449"/>
      <c r="P6155" s="449"/>
      <c r="Q6155" s="449"/>
      <c r="R6155" s="449"/>
      <c r="S6155" s="449"/>
      <c r="T6155" s="449"/>
      <c r="U6155" s="449"/>
      <c r="V6155" s="449"/>
      <c r="W6155" s="449"/>
      <c r="X6155" s="449"/>
      <c r="Y6155" s="449"/>
      <c r="Z6155" s="449"/>
      <c r="AA6155" s="449"/>
      <c r="AB6155" s="449"/>
      <c r="AC6155" s="449"/>
      <c r="AD6155" s="449"/>
      <c r="AE6155" s="449"/>
      <c r="AF6155" s="449"/>
      <c r="AG6155" s="449"/>
      <c r="AH6155" s="449"/>
      <c r="AI6155" s="449"/>
      <c r="AJ6155" s="449"/>
      <c r="AK6155" s="449"/>
      <c r="AL6155" s="449"/>
      <c r="AM6155" s="449"/>
      <c r="AN6155" s="449"/>
      <c r="AO6155" s="449"/>
      <c r="AP6155" s="449"/>
      <c r="AQ6155" s="449"/>
      <c r="AR6155" s="449"/>
      <c r="AS6155" s="449"/>
      <c r="AT6155" s="449"/>
      <c r="AU6155" s="449"/>
      <c r="AV6155" s="449"/>
      <c r="AW6155" s="449"/>
    </row>
    <row r="6156" spans="1:56" s="495" customFormat="1" ht="15">
      <c r="A6156" s="114"/>
      <c r="B6156" s="362"/>
      <c r="C6156" s="362"/>
      <c r="D6156" s="362"/>
      <c r="E6156" s="362"/>
      <c r="F6156" s="362"/>
      <c r="G6156" s="362"/>
      <c r="H6156" s="362"/>
      <c r="I6156" s="196"/>
      <c r="J6156" s="401"/>
      <c r="K6156" s="449"/>
      <c r="L6156" s="449"/>
      <c r="M6156" s="449"/>
      <c r="N6156" s="449"/>
      <c r="O6156" s="449"/>
      <c r="P6156" s="449"/>
      <c r="Q6156" s="449"/>
      <c r="R6156" s="449"/>
      <c r="S6156" s="449"/>
      <c r="T6156" s="449"/>
      <c r="U6156" s="449"/>
      <c r="V6156" s="449"/>
      <c r="W6156" s="449"/>
      <c r="X6156" s="449"/>
      <c r="Y6156" s="449"/>
      <c r="Z6156" s="449"/>
      <c r="AA6156" s="449"/>
      <c r="AB6156" s="449"/>
      <c r="AC6156" s="449"/>
      <c r="AD6156" s="449"/>
      <c r="AE6156" s="449"/>
      <c r="AF6156" s="449"/>
      <c r="AG6156" s="449"/>
      <c r="AH6156" s="449"/>
      <c r="AI6156" s="449"/>
      <c r="AJ6156" s="449"/>
      <c r="AK6156" s="449"/>
      <c r="AL6156" s="449"/>
      <c r="AM6156" s="449"/>
      <c r="AN6156" s="449"/>
      <c r="AO6156" s="449"/>
      <c r="AP6156" s="449"/>
      <c r="AQ6156" s="449"/>
      <c r="AR6156" s="449"/>
      <c r="AS6156" s="449"/>
      <c r="AT6156" s="449"/>
      <c r="AU6156" s="449"/>
      <c r="AV6156" s="449"/>
      <c r="AW6156" s="449"/>
    </row>
    <row r="6157" spans="1:56" customFormat="1" ht="15">
      <c r="A6157" s="114"/>
      <c r="B6157" s="303" t="s">
        <v>1122</v>
      </c>
      <c r="C6157" s="362"/>
      <c r="D6157" s="362"/>
      <c r="E6157" s="362"/>
      <c r="F6157" s="362"/>
      <c r="G6157" s="196" t="s">
        <v>1131</v>
      </c>
      <c r="H6157" s="114"/>
      <c r="I6157" s="196"/>
      <c r="J6157" s="362"/>
    </row>
    <row r="6158" spans="1:56" ht="18">
      <c r="A6158" s="114"/>
      <c r="B6158" s="398" t="s">
        <v>1123</v>
      </c>
      <c r="C6158" s="172"/>
      <c r="D6158" s="173"/>
      <c r="E6158" s="397">
        <f>C6150*((H6151+H6150)/2)*(C6148+C6149+0.05)</f>
        <v>1138.2069096167022</v>
      </c>
      <c r="F6158" s="390" t="s">
        <v>1124</v>
      </c>
      <c r="G6158" s="196"/>
      <c r="H6158" s="196"/>
      <c r="I6158" s="362"/>
      <c r="J6158" s="362"/>
      <c r="AW6158" s="117"/>
      <c r="AX6158" s="117"/>
      <c r="AY6158" s="117"/>
      <c r="AZ6158" s="117"/>
      <c r="BA6158" s="117"/>
      <c r="BB6158" s="117"/>
      <c r="BC6158" s="117"/>
      <c r="BD6158" s="117"/>
    </row>
    <row r="6159" spans="1:56" ht="18">
      <c r="A6159" s="114"/>
      <c r="B6159" s="398" t="s">
        <v>1125</v>
      </c>
      <c r="C6159" s="172"/>
      <c r="D6159" s="173"/>
      <c r="E6159" s="400">
        <f>E6158-C6150*(C6146*C6147*C6149+C6146*C6147*0.05+C6144*C6145*C6148)</f>
        <v>727.35878461670222</v>
      </c>
      <c r="F6159" s="390" t="s">
        <v>1124</v>
      </c>
      <c r="G6159" s="196"/>
      <c r="H6159" s="196"/>
      <c r="I6159" s="196"/>
      <c r="J6159" s="362"/>
      <c r="AW6159" s="117"/>
      <c r="AX6159" s="117"/>
      <c r="AY6159" s="117"/>
      <c r="AZ6159" s="117"/>
      <c r="BA6159" s="117"/>
      <c r="BB6159" s="117"/>
      <c r="BC6159" s="117"/>
      <c r="BD6159" s="117"/>
    </row>
    <row r="6160" spans="1:56" ht="15">
      <c r="A6160" s="114"/>
      <c r="B6160" s="398" t="s">
        <v>1126</v>
      </c>
      <c r="C6160" s="172"/>
      <c r="D6160" s="173"/>
      <c r="E6160" s="400">
        <f>((C6146+2*C6155)*(C6147+2*C6155))*C6150</f>
        <v>143.63999999999999</v>
      </c>
      <c r="F6160" s="390" t="s">
        <v>13</v>
      </c>
      <c r="G6160" s="362"/>
      <c r="H6160" s="362"/>
      <c r="I6160" s="362"/>
      <c r="J6160" s="401"/>
      <c r="AW6160" s="117"/>
      <c r="AX6160" s="117"/>
      <c r="AY6160" s="117"/>
      <c r="AZ6160" s="117"/>
      <c r="BA6160" s="117"/>
      <c r="BB6160" s="117"/>
      <c r="BC6160" s="117"/>
      <c r="BD6160" s="117"/>
    </row>
    <row r="6161" spans="1:56" ht="15">
      <c r="A6161" s="114"/>
      <c r="B6161" s="362"/>
      <c r="C6161" s="362"/>
      <c r="D6161" s="362"/>
      <c r="E6161" s="401"/>
      <c r="F6161" s="196"/>
      <c r="G6161" s="362"/>
      <c r="H6161" s="362"/>
      <c r="I6161" s="362"/>
      <c r="J6161" s="401"/>
      <c r="AW6161" s="117"/>
      <c r="AX6161" s="117"/>
      <c r="AY6161" s="117"/>
      <c r="AZ6161" s="117"/>
      <c r="BA6161" s="117"/>
      <c r="BB6161" s="117"/>
      <c r="BC6161" s="117"/>
      <c r="BD6161" s="117"/>
    </row>
    <row r="6162" spans="1:56" ht="15">
      <c r="A6162" s="114"/>
      <c r="B6162" s="303" t="s">
        <v>1162</v>
      </c>
      <c r="C6162" s="362"/>
      <c r="D6162" s="362"/>
      <c r="E6162" s="410"/>
      <c r="F6162" s="362"/>
      <c r="G6162" s="362"/>
      <c r="H6162" s="362"/>
      <c r="I6162" s="362"/>
      <c r="J6162" s="401"/>
      <c r="AW6162" s="117"/>
      <c r="AX6162" s="117"/>
      <c r="AY6162" s="117"/>
      <c r="AZ6162" s="117"/>
      <c r="BA6162" s="117"/>
      <c r="BB6162" s="117"/>
      <c r="BC6162" s="117"/>
      <c r="BD6162" s="117"/>
    </row>
    <row r="6163" spans="1:56" ht="15">
      <c r="A6163" s="114"/>
      <c r="B6163" s="398" t="s">
        <v>1152</v>
      </c>
      <c r="C6163" s="398"/>
      <c r="D6163" s="366"/>
      <c r="E6163" s="411">
        <v>10</v>
      </c>
      <c r="F6163" s="390" t="s">
        <v>1153</v>
      </c>
      <c r="G6163" s="362"/>
      <c r="H6163" s="362"/>
      <c r="I6163" s="362"/>
      <c r="J6163" s="196"/>
      <c r="AW6163" s="117"/>
      <c r="AX6163" s="117"/>
      <c r="AY6163" s="117"/>
      <c r="AZ6163" s="117"/>
      <c r="BA6163" s="117"/>
      <c r="BB6163" s="117"/>
      <c r="BC6163" s="117"/>
      <c r="BD6163" s="117"/>
    </row>
    <row r="6164" spans="1:56" ht="15">
      <c r="A6164" s="114"/>
      <c r="B6164" s="399" t="s">
        <v>1154</v>
      </c>
      <c r="C6164" s="31"/>
      <c r="D6164" s="32"/>
      <c r="E6164" s="412">
        <f>C6150*E6163</f>
        <v>30</v>
      </c>
      <c r="F6164" s="390" t="s">
        <v>1153</v>
      </c>
      <c r="G6164" s="362"/>
      <c r="H6164" s="362"/>
      <c r="I6164" s="362"/>
      <c r="J6164" s="196"/>
      <c r="AW6164" s="117"/>
      <c r="AX6164" s="117"/>
      <c r="AY6164" s="117"/>
      <c r="AZ6164" s="117"/>
      <c r="BA6164" s="117"/>
      <c r="BB6164" s="117"/>
      <c r="BC6164" s="117"/>
      <c r="BD6164" s="117"/>
    </row>
    <row r="6165" spans="1:56" ht="15">
      <c r="A6165" s="114"/>
      <c r="B6165" s="398" t="s">
        <v>1155</v>
      </c>
      <c r="C6165" s="21"/>
      <c r="D6165" s="413"/>
      <c r="E6165" s="411">
        <v>700</v>
      </c>
      <c r="F6165" s="390" t="s">
        <v>1156</v>
      </c>
      <c r="G6165" s="362"/>
      <c r="H6165" s="414"/>
      <c r="I6165" s="362"/>
      <c r="J6165" s="196"/>
      <c r="AW6165" s="117"/>
      <c r="AX6165" s="117"/>
      <c r="AY6165" s="117"/>
      <c r="AZ6165" s="117"/>
      <c r="BA6165" s="117"/>
      <c r="BB6165" s="117"/>
      <c r="BC6165" s="117"/>
      <c r="BD6165" s="117"/>
    </row>
    <row r="6166" spans="1:56" ht="15">
      <c r="A6166" s="114"/>
      <c r="B6166" s="398" t="s">
        <v>1157</v>
      </c>
      <c r="C6166" s="21"/>
      <c r="D6166" s="413"/>
      <c r="E6166" s="418">
        <v>32</v>
      </c>
      <c r="F6166" s="390" t="s">
        <v>10</v>
      </c>
      <c r="G6166" s="362"/>
      <c r="H6166" s="6"/>
      <c r="I6166" s="362"/>
      <c r="J6166" s="196"/>
      <c r="AW6166" s="117"/>
      <c r="AX6166" s="117"/>
      <c r="AY6166" s="117"/>
      <c r="AZ6166" s="117"/>
      <c r="BA6166" s="117"/>
      <c r="BB6166" s="117"/>
      <c r="BC6166" s="117"/>
      <c r="BD6166" s="117"/>
    </row>
    <row r="6167" spans="1:56" ht="15">
      <c r="A6167" s="114"/>
      <c r="B6167" s="398" t="s">
        <v>1158</v>
      </c>
      <c r="C6167" s="21"/>
      <c r="D6167" s="413"/>
      <c r="E6167" s="412">
        <f>E6164*E6166</f>
        <v>960</v>
      </c>
      <c r="F6167" s="390" t="s">
        <v>10</v>
      </c>
      <c r="G6167" s="362"/>
      <c r="H6167" s="362"/>
      <c r="I6167" s="362"/>
      <c r="J6167" s="196"/>
      <c r="AW6167" s="117"/>
      <c r="AX6167" s="117"/>
      <c r="AY6167" s="117"/>
      <c r="AZ6167" s="117"/>
      <c r="BA6167" s="117"/>
      <c r="BB6167" s="117"/>
      <c r="BC6167" s="117"/>
      <c r="BD6167" s="117"/>
    </row>
    <row r="6168" spans="1:56" ht="15">
      <c r="A6168" s="114"/>
      <c r="B6168" s="362"/>
      <c r="C6168" s="362"/>
      <c r="D6168" s="362"/>
      <c r="E6168" s="410"/>
      <c r="F6168" s="362"/>
      <c r="G6168" s="362"/>
      <c r="H6168" s="362"/>
      <c r="I6168" s="362"/>
      <c r="J6168" s="196"/>
      <c r="AW6168" s="117"/>
      <c r="AX6168" s="117"/>
      <c r="AY6168" s="117"/>
      <c r="AZ6168" s="117"/>
      <c r="BA6168" s="117"/>
      <c r="BB6168" s="117"/>
      <c r="BC6168" s="117"/>
      <c r="BD6168" s="117"/>
    </row>
    <row r="6169" spans="1:56" ht="15">
      <c r="A6169" s="114"/>
      <c r="B6169" s="303" t="s">
        <v>1160</v>
      </c>
      <c r="C6169" s="362"/>
      <c r="D6169" s="362"/>
      <c r="E6169" s="410"/>
      <c r="F6169" s="362"/>
      <c r="G6169" s="362"/>
      <c r="H6169" s="362"/>
      <c r="I6169" s="362"/>
      <c r="J6169" s="196"/>
      <c r="AW6169" s="117"/>
      <c r="AX6169" s="117"/>
      <c r="AY6169" s="117"/>
      <c r="AZ6169" s="117"/>
      <c r="BA6169" s="117"/>
      <c r="BB6169" s="117"/>
      <c r="BC6169" s="117"/>
      <c r="BD6169" s="117"/>
    </row>
    <row r="6170" spans="1:56" ht="18">
      <c r="A6170" s="114"/>
      <c r="B6170" s="398" t="s">
        <v>1128</v>
      </c>
      <c r="C6170" s="172"/>
      <c r="D6170" s="173"/>
      <c r="E6170" s="402">
        <f>E6160*0.05</f>
        <v>7.1819999999999995</v>
      </c>
      <c r="F6170" s="390" t="s">
        <v>1124</v>
      </c>
      <c r="G6170" s="362"/>
      <c r="H6170" s="362"/>
      <c r="I6170" s="362"/>
      <c r="J6170" s="196"/>
      <c r="AW6170" s="117"/>
      <c r="AX6170" s="117"/>
      <c r="AY6170" s="117"/>
      <c r="AZ6170" s="117"/>
      <c r="BA6170" s="117"/>
      <c r="BB6170" s="117"/>
      <c r="BC6170" s="117"/>
      <c r="BD6170" s="117"/>
    </row>
    <row r="6171" spans="1:56" ht="15">
      <c r="A6171" s="114"/>
      <c r="B6171" s="398" t="s">
        <v>1129</v>
      </c>
      <c r="C6171" s="172"/>
      <c r="D6171" s="173"/>
      <c r="E6171" s="397">
        <f>(2*(C6146+C6147)*C6149)*C6150</f>
        <v>273.59999999999997</v>
      </c>
      <c r="F6171" s="390" t="s">
        <v>13</v>
      </c>
      <c r="G6171" s="362"/>
      <c r="H6171" s="362"/>
      <c r="I6171" s="362"/>
      <c r="J6171" s="196"/>
      <c r="AW6171" s="117"/>
      <c r="AX6171" s="117"/>
      <c r="AY6171" s="117"/>
      <c r="AZ6171" s="117"/>
      <c r="BA6171" s="117"/>
      <c r="BB6171" s="117"/>
      <c r="BC6171" s="117"/>
      <c r="BD6171" s="117"/>
    </row>
    <row r="6172" spans="1:56" ht="18">
      <c r="A6172" s="114"/>
      <c r="B6172" s="398" t="s">
        <v>1130</v>
      </c>
      <c r="C6172" s="172"/>
      <c r="D6172" s="173"/>
      <c r="E6172" s="402">
        <f>(C6146*C6147*C6149)*C6150</f>
        <v>403.19999999999993</v>
      </c>
      <c r="F6172" s="390" t="s">
        <v>1124</v>
      </c>
      <c r="G6172" s="362"/>
      <c r="H6172" s="362"/>
      <c r="I6172" s="362"/>
      <c r="J6172" s="196"/>
      <c r="AW6172" s="117"/>
      <c r="AX6172" s="117"/>
      <c r="AY6172" s="117"/>
      <c r="AZ6172" s="117"/>
      <c r="BA6172" s="117"/>
      <c r="BB6172" s="117"/>
      <c r="BC6172" s="117"/>
      <c r="BD6172" s="117"/>
    </row>
    <row r="6173" spans="1:56">
      <c r="A6173" s="114"/>
      <c r="B6173" s="115"/>
      <c r="C6173" s="115"/>
      <c r="D6173" s="115"/>
      <c r="E6173" s="115"/>
      <c r="F6173" s="115"/>
      <c r="G6173" s="115"/>
      <c r="H6173" s="115"/>
      <c r="I6173" s="115"/>
      <c r="J6173" s="196"/>
      <c r="AW6173" s="117"/>
      <c r="AX6173" s="117"/>
      <c r="AY6173" s="117"/>
      <c r="AZ6173" s="117"/>
      <c r="BA6173" s="117"/>
      <c r="BB6173" s="117"/>
      <c r="BC6173" s="117"/>
      <c r="BD6173" s="117"/>
    </row>
    <row r="6174" spans="1:56">
      <c r="A6174" s="114"/>
      <c r="B6174" s="115"/>
      <c r="C6174" s="115"/>
      <c r="D6174" s="115"/>
      <c r="E6174" s="115"/>
      <c r="F6174" s="115"/>
      <c r="G6174" s="115"/>
      <c r="H6174" s="115"/>
      <c r="I6174" s="115"/>
      <c r="J6174" s="196"/>
      <c r="AW6174" s="117"/>
      <c r="AX6174" s="117"/>
      <c r="AY6174" s="117"/>
      <c r="AZ6174" s="117"/>
      <c r="BA6174" s="117"/>
      <c r="BB6174" s="117"/>
      <c r="BC6174" s="117"/>
      <c r="BD6174" s="117"/>
    </row>
    <row r="6175" spans="1:56">
      <c r="A6175" s="114"/>
      <c r="B6175" s="115"/>
      <c r="C6175" s="115"/>
      <c r="D6175" s="115"/>
      <c r="E6175" s="115"/>
      <c r="F6175" s="115"/>
      <c r="G6175" s="115"/>
      <c r="H6175" s="115"/>
      <c r="I6175" s="115"/>
      <c r="J6175" s="196"/>
      <c r="AW6175" s="117"/>
      <c r="AX6175" s="117"/>
      <c r="AY6175" s="117"/>
      <c r="AZ6175" s="117"/>
      <c r="BA6175" s="117"/>
      <c r="BB6175" s="117"/>
      <c r="BC6175" s="117"/>
      <c r="BD6175" s="117"/>
    </row>
    <row r="6176" spans="1:56">
      <c r="A6176"/>
      <c r="B6176" s="385" t="s">
        <v>1339</v>
      </c>
      <c r="C6176" s="362"/>
      <c r="D6176" s="362"/>
      <c r="E6176" s="362"/>
      <c r="F6176" s="362"/>
      <c r="G6176" s="115"/>
      <c r="H6176" s="115"/>
      <c r="I6176" s="362"/>
      <c r="J6176" s="362"/>
      <c r="AW6176" s="117"/>
      <c r="AX6176" s="117"/>
      <c r="AY6176" s="117"/>
      <c r="AZ6176" s="117"/>
      <c r="BA6176" s="117"/>
      <c r="BB6176" s="117"/>
      <c r="BC6176" s="117"/>
      <c r="BD6176" s="117"/>
    </row>
    <row r="6177" spans="1:56" ht="15">
      <c r="A6177" s="114"/>
      <c r="B6177" s="362"/>
      <c r="C6177" s="362"/>
      <c r="D6177" s="362"/>
      <c r="E6177" s="362"/>
      <c r="F6177" s="404"/>
      <c r="G6177" s="196"/>
      <c r="H6177" s="196"/>
      <c r="I6177" s="404"/>
      <c r="J6177" s="362"/>
      <c r="AW6177" s="117"/>
      <c r="AX6177" s="117"/>
      <c r="AY6177" s="117"/>
      <c r="AZ6177" s="117"/>
      <c r="BA6177" s="117"/>
      <c r="BB6177" s="117"/>
      <c r="BC6177" s="117"/>
      <c r="BD6177" s="117"/>
    </row>
    <row r="6178" spans="1:56" ht="18">
      <c r="A6178" s="114"/>
      <c r="B6178" s="388" t="s">
        <v>1141</v>
      </c>
      <c r="C6178" s="389">
        <v>0.75</v>
      </c>
      <c r="D6178" s="390" t="s">
        <v>10</v>
      </c>
      <c r="E6178" s="196"/>
      <c r="F6178" s="405"/>
      <c r="G6178" s="196"/>
      <c r="H6178" s="196"/>
      <c r="I6178" s="405" t="s">
        <v>1143</v>
      </c>
      <c r="J6178" s="196"/>
      <c r="AW6178" s="117"/>
      <c r="AX6178" s="117"/>
      <c r="AY6178" s="117"/>
      <c r="AZ6178" s="117"/>
      <c r="BA6178" s="117"/>
      <c r="BB6178" s="117"/>
      <c r="BC6178" s="117"/>
      <c r="BD6178" s="117"/>
    </row>
    <row r="6179" spans="1:56" ht="15">
      <c r="A6179" s="114"/>
      <c r="B6179" s="388" t="s">
        <v>1144</v>
      </c>
      <c r="C6179" s="389">
        <v>1.135</v>
      </c>
      <c r="D6179" s="390" t="s">
        <v>10</v>
      </c>
      <c r="E6179" s="196"/>
      <c r="F6179" s="405"/>
      <c r="G6179" s="362"/>
      <c r="H6179" s="362"/>
      <c r="I6179" s="405"/>
      <c r="J6179" s="362"/>
      <c r="AW6179" s="117"/>
      <c r="AX6179" s="117"/>
      <c r="AY6179" s="117"/>
      <c r="AZ6179" s="117"/>
      <c r="BA6179" s="117"/>
      <c r="BB6179" s="117"/>
      <c r="BC6179" s="117"/>
      <c r="BD6179" s="117"/>
    </row>
    <row r="6180" spans="1:56" ht="15">
      <c r="A6180" s="114"/>
      <c r="B6180" s="388" t="s">
        <v>1145</v>
      </c>
      <c r="C6180" s="389">
        <v>4</v>
      </c>
      <c r="D6180" s="390" t="s">
        <v>10</v>
      </c>
      <c r="E6180" s="196"/>
      <c r="F6180" s="405"/>
      <c r="G6180" s="404"/>
      <c r="H6180" s="404"/>
      <c r="I6180" s="405"/>
      <c r="J6180" s="362">
        <f>1*1.55*0.65*C6184</f>
        <v>1.0075000000000001</v>
      </c>
      <c r="AW6180" s="117"/>
      <c r="AX6180" s="117"/>
      <c r="AY6180" s="117"/>
      <c r="AZ6180" s="117"/>
      <c r="BA6180" s="117"/>
      <c r="BB6180" s="117"/>
      <c r="BC6180" s="117"/>
      <c r="BD6180" s="117"/>
    </row>
    <row r="6181" spans="1:56" ht="18">
      <c r="A6181" s="114"/>
      <c r="B6181" s="388" t="s">
        <v>1146</v>
      </c>
      <c r="C6181" s="389">
        <v>11.2</v>
      </c>
      <c r="D6181" s="390" t="s">
        <v>10</v>
      </c>
      <c r="E6181" s="196"/>
      <c r="F6181" s="405"/>
      <c r="G6181" s="406" t="s">
        <v>1142</v>
      </c>
      <c r="H6181" s="407">
        <f>C6178*C6179</f>
        <v>0.85125000000000006</v>
      </c>
      <c r="I6181" s="405" t="s">
        <v>1143</v>
      </c>
      <c r="J6181" s="362"/>
      <c r="AW6181" s="117"/>
      <c r="AX6181" s="117"/>
      <c r="AY6181" s="117"/>
      <c r="AZ6181" s="117"/>
      <c r="BA6181" s="117"/>
      <c r="BB6181" s="117"/>
      <c r="BC6181" s="117"/>
      <c r="BD6181" s="117"/>
    </row>
    <row r="6182" spans="1:56" s="495" customFormat="1" ht="18">
      <c r="A6182" s="114"/>
      <c r="B6182" s="388" t="s">
        <v>1112</v>
      </c>
      <c r="C6182" s="389">
        <v>0.55000000000000004</v>
      </c>
      <c r="D6182" s="390" t="s">
        <v>10</v>
      </c>
      <c r="E6182" s="196"/>
      <c r="F6182" s="405"/>
      <c r="G6182" s="406" t="e">
        <f>TEXT(C6186,"tg 0°=")</f>
        <v>#VALUE!</v>
      </c>
      <c r="H6182" s="408">
        <f>TAN(3.14159265359*C6186/180)</f>
        <v>1.732050807569153</v>
      </c>
      <c r="I6182" s="405" t="s">
        <v>1143</v>
      </c>
      <c r="J6182" s="494"/>
      <c r="K6182" s="449"/>
      <c r="L6182" s="449"/>
      <c r="M6182" s="449"/>
      <c r="N6182" s="449"/>
      <c r="O6182" s="449"/>
      <c r="P6182" s="449"/>
      <c r="Q6182" s="449"/>
      <c r="R6182" s="449"/>
      <c r="S6182" s="449"/>
      <c r="T6182" s="449"/>
      <c r="U6182" s="449"/>
      <c r="V6182" s="449"/>
      <c r="W6182" s="449"/>
      <c r="X6182" s="449"/>
      <c r="Y6182" s="449"/>
      <c r="Z6182" s="449"/>
      <c r="AA6182" s="449"/>
      <c r="AB6182" s="449"/>
      <c r="AC6182" s="449"/>
      <c r="AD6182" s="449"/>
      <c r="AE6182" s="449"/>
      <c r="AF6182" s="449"/>
      <c r="AG6182" s="449"/>
      <c r="AH6182" s="449"/>
      <c r="AI6182" s="449"/>
      <c r="AJ6182" s="449"/>
      <c r="AK6182" s="449"/>
      <c r="AL6182" s="449"/>
      <c r="AM6182" s="449"/>
      <c r="AN6182" s="449"/>
      <c r="AO6182" s="449"/>
      <c r="AP6182" s="449"/>
      <c r="AQ6182" s="449"/>
      <c r="AR6182" s="449"/>
      <c r="AS6182" s="449"/>
      <c r="AT6182" s="449"/>
      <c r="AU6182" s="449"/>
      <c r="AV6182" s="449"/>
      <c r="AW6182" s="449"/>
    </row>
    <row r="6183" spans="1:56" s="495" customFormat="1" ht="15">
      <c r="A6183" s="114"/>
      <c r="B6183" s="388" t="s">
        <v>1113</v>
      </c>
      <c r="C6183" s="389">
        <v>3</v>
      </c>
      <c r="D6183" s="390" t="s">
        <v>10</v>
      </c>
      <c r="E6183" s="196"/>
      <c r="F6183" s="405"/>
      <c r="G6183" s="406"/>
      <c r="H6183" s="407"/>
      <c r="I6183" s="405"/>
      <c r="J6183" s="401"/>
      <c r="K6183" s="449"/>
      <c r="L6183" s="449"/>
      <c r="M6183" s="449"/>
      <c r="N6183" s="449"/>
      <c r="O6183" s="449"/>
      <c r="P6183" s="449"/>
      <c r="Q6183" s="449"/>
      <c r="R6183" s="449"/>
      <c r="S6183" s="449"/>
      <c r="T6183" s="449"/>
      <c r="U6183" s="449"/>
      <c r="V6183" s="449"/>
      <c r="W6183" s="449"/>
      <c r="X6183" s="449"/>
      <c r="Y6183" s="449"/>
      <c r="Z6183" s="449"/>
      <c r="AA6183" s="449"/>
      <c r="AB6183" s="449"/>
      <c r="AC6183" s="449"/>
      <c r="AD6183" s="449"/>
      <c r="AE6183" s="449"/>
      <c r="AF6183" s="449"/>
      <c r="AG6183" s="449"/>
      <c r="AH6183" s="449"/>
      <c r="AI6183" s="449"/>
      <c r="AJ6183" s="449"/>
      <c r="AK6183" s="449"/>
      <c r="AL6183" s="449"/>
      <c r="AM6183" s="449"/>
      <c r="AN6183" s="449"/>
      <c r="AO6183" s="449"/>
      <c r="AP6183" s="449"/>
      <c r="AQ6183" s="449"/>
      <c r="AR6183" s="449"/>
      <c r="AS6183" s="449"/>
      <c r="AT6183" s="449"/>
      <c r="AU6183" s="449"/>
      <c r="AV6183" s="449"/>
      <c r="AW6183" s="449"/>
    </row>
    <row r="6184" spans="1:56" customFormat="1" ht="15">
      <c r="A6184" s="114"/>
      <c r="B6184" s="388" t="s">
        <v>1117</v>
      </c>
      <c r="C6184" s="391">
        <v>1</v>
      </c>
      <c r="D6184" s="390" t="s">
        <v>1118</v>
      </c>
      <c r="E6184" s="196"/>
      <c r="F6184" s="405"/>
      <c r="G6184" s="406" t="s">
        <v>1142</v>
      </c>
      <c r="H6184" s="409">
        <f>(C6180+2*C6188+((C6182+C6183+0.05)/H6182)*2)*(C6181+2*C6188+((C6182+C6183+0.05)/H6182)*2)</f>
        <v>149.77905733642635</v>
      </c>
      <c r="I6184" s="405"/>
      <c r="J6184" s="362"/>
    </row>
    <row r="6185" spans="1:56" ht="15">
      <c r="A6185" s="114"/>
      <c r="B6185" s="196" t="s">
        <v>1148</v>
      </c>
      <c r="C6185" s="393"/>
      <c r="D6185" s="196"/>
      <c r="E6185" s="196"/>
      <c r="F6185" s="405"/>
      <c r="G6185" s="406" t="s">
        <v>1147</v>
      </c>
      <c r="H6185" s="409">
        <f>(C6180+2*C6188)*(C6181+2*C6188)</f>
        <v>61</v>
      </c>
      <c r="I6185" s="405"/>
      <c r="J6185" s="362"/>
      <c r="AW6185" s="117"/>
      <c r="AX6185" s="117"/>
      <c r="AY6185" s="117"/>
      <c r="AZ6185" s="117"/>
      <c r="BA6185" s="117"/>
      <c r="BB6185" s="117"/>
      <c r="BC6185" s="117"/>
      <c r="BD6185" s="117"/>
    </row>
    <row r="6186" spans="1:56" ht="15">
      <c r="A6186" s="114"/>
      <c r="B6186" s="388" t="s">
        <v>1149</v>
      </c>
      <c r="C6186" s="389">
        <v>60</v>
      </c>
      <c r="D6186" s="390" t="s">
        <v>1150</v>
      </c>
      <c r="E6186" s="196"/>
      <c r="F6186" s="196"/>
      <c r="G6186" s="406"/>
      <c r="H6186" s="407"/>
      <c r="I6186" s="196"/>
      <c r="J6186" s="362"/>
      <c r="AW6186" s="117"/>
      <c r="AX6186" s="117"/>
      <c r="AY6186" s="117"/>
      <c r="AZ6186" s="117"/>
      <c r="BA6186" s="117"/>
      <c r="BB6186" s="117"/>
      <c r="BC6186" s="117"/>
      <c r="BD6186" s="117"/>
    </row>
    <row r="6187" spans="1:56" ht="15">
      <c r="A6187" s="114"/>
      <c r="B6187" s="362"/>
      <c r="C6187" s="196"/>
      <c r="D6187" s="196"/>
      <c r="E6187" s="196"/>
      <c r="F6187" s="196"/>
      <c r="G6187" s="406"/>
      <c r="H6187" s="407"/>
      <c r="I6187" s="362"/>
      <c r="J6187" s="401"/>
      <c r="AW6187" s="117"/>
      <c r="AX6187" s="117"/>
      <c r="AY6187" s="117"/>
      <c r="AZ6187" s="117"/>
      <c r="BA6187" s="117"/>
      <c r="BB6187" s="117"/>
      <c r="BC6187" s="117"/>
      <c r="BD6187" s="117"/>
    </row>
    <row r="6188" spans="1:56" ht="15">
      <c r="A6188" s="114"/>
      <c r="B6188" s="388" t="s">
        <v>1114</v>
      </c>
      <c r="C6188" s="389">
        <v>0.5</v>
      </c>
      <c r="D6188" s="390" t="s">
        <v>10</v>
      </c>
      <c r="E6188" s="288" t="s">
        <v>1120</v>
      </c>
      <c r="F6188" s="196"/>
      <c r="G6188" s="406"/>
      <c r="H6188" s="407"/>
      <c r="I6188" s="114"/>
      <c r="J6188" s="401"/>
      <c r="AW6188" s="117"/>
      <c r="AX6188" s="117"/>
      <c r="AY6188" s="117"/>
      <c r="AZ6188" s="117"/>
      <c r="BA6188" s="117"/>
      <c r="BB6188" s="117"/>
      <c r="BC6188" s="117"/>
      <c r="BD6188" s="117"/>
    </row>
    <row r="6189" spans="1:56" ht="15">
      <c r="A6189" s="114"/>
      <c r="B6189" s="388" t="s">
        <v>1114</v>
      </c>
      <c r="C6189" s="389">
        <v>0.1</v>
      </c>
      <c r="D6189" s="390" t="s">
        <v>10</v>
      </c>
      <c r="E6189" s="288" t="s">
        <v>1121</v>
      </c>
      <c r="F6189" s="196"/>
      <c r="G6189" s="392"/>
      <c r="H6189" s="393"/>
      <c r="I6189" s="196"/>
      <c r="J6189" s="401"/>
      <c r="AW6189" s="117"/>
      <c r="AX6189" s="117"/>
      <c r="AY6189" s="117"/>
      <c r="AZ6189" s="117"/>
      <c r="BA6189" s="117"/>
      <c r="BB6189" s="117"/>
      <c r="BC6189" s="117"/>
      <c r="BD6189" s="117"/>
    </row>
    <row r="6190" spans="1:56" ht="15">
      <c r="A6190" s="114"/>
      <c r="B6190" s="362"/>
      <c r="C6190" s="362"/>
      <c r="D6190" s="362"/>
      <c r="E6190" s="362"/>
      <c r="F6190" s="362"/>
      <c r="G6190" s="362"/>
      <c r="H6190" s="362"/>
      <c r="I6190" s="196"/>
      <c r="J6190" s="196"/>
      <c r="AW6190" s="117"/>
      <c r="AX6190" s="117"/>
      <c r="AY6190" s="117"/>
      <c r="AZ6190" s="117"/>
      <c r="BA6190" s="117"/>
      <c r="BB6190" s="117"/>
      <c r="BC6190" s="117"/>
      <c r="BD6190" s="117"/>
    </row>
    <row r="6191" spans="1:56" ht="15">
      <c r="A6191" s="114"/>
      <c r="B6191" s="303" t="s">
        <v>1122</v>
      </c>
      <c r="C6191" s="362"/>
      <c r="D6191" s="362"/>
      <c r="E6191" s="362"/>
      <c r="F6191" s="362"/>
      <c r="G6191" s="196" t="s">
        <v>1131</v>
      </c>
      <c r="H6191" s="114"/>
      <c r="I6191" s="196"/>
      <c r="J6191" s="196"/>
      <c r="AW6191" s="117"/>
      <c r="AX6191" s="117"/>
      <c r="AY6191" s="117"/>
      <c r="AZ6191" s="117"/>
      <c r="BA6191" s="117"/>
      <c r="BB6191" s="117"/>
      <c r="BC6191" s="117"/>
      <c r="BD6191" s="117"/>
    </row>
    <row r="6192" spans="1:56" ht="18">
      <c r="A6192" s="114"/>
      <c r="B6192" s="398" t="s">
        <v>1123</v>
      </c>
      <c r="C6192" s="172"/>
      <c r="D6192" s="173"/>
      <c r="E6192" s="397">
        <f>C6184*((H6185+H6184)/2)*(C6182+C6183+0.05)</f>
        <v>379.40230320556736</v>
      </c>
      <c r="F6192" s="390" t="s">
        <v>1124</v>
      </c>
      <c r="G6192" s="196"/>
      <c r="H6192" s="196"/>
      <c r="I6192" s="362"/>
      <c r="J6192" s="196"/>
      <c r="AW6192" s="117"/>
      <c r="AX6192" s="117"/>
      <c r="AY6192" s="117"/>
      <c r="AZ6192" s="117"/>
      <c r="BA6192" s="117"/>
      <c r="BB6192" s="117"/>
      <c r="BC6192" s="117"/>
      <c r="BD6192" s="117"/>
    </row>
    <row r="6193" spans="1:56" ht="18">
      <c r="A6193" s="114"/>
      <c r="B6193" s="398" t="s">
        <v>1125</v>
      </c>
      <c r="C6193" s="172"/>
      <c r="D6193" s="173"/>
      <c r="E6193" s="400">
        <f>E6192-C6184*(C6180*C6181*C6183+C6180*C6181*0.05+C6178*C6179*C6182)</f>
        <v>242.29411570556738</v>
      </c>
      <c r="F6193" s="390" t="s">
        <v>1124</v>
      </c>
      <c r="G6193" s="196"/>
      <c r="H6193" s="196"/>
      <c r="I6193" s="196"/>
      <c r="J6193" s="196"/>
      <c r="AW6193" s="117"/>
      <c r="AX6193" s="117"/>
      <c r="AY6193" s="117"/>
      <c r="AZ6193" s="117"/>
      <c r="BA6193" s="117"/>
      <c r="BB6193" s="117"/>
      <c r="BC6193" s="117"/>
      <c r="BD6193" s="117"/>
    </row>
    <row r="6194" spans="1:56" ht="15">
      <c r="A6194" s="114"/>
      <c r="B6194" s="398" t="s">
        <v>1126</v>
      </c>
      <c r="C6194" s="172"/>
      <c r="D6194" s="173"/>
      <c r="E6194" s="400">
        <f>((C6180+2*C6189)*(C6181+2*C6189))*C6184</f>
        <v>47.879999999999995</v>
      </c>
      <c r="F6194" s="390" t="s">
        <v>13</v>
      </c>
      <c r="G6194" s="362"/>
      <c r="H6194" s="362"/>
      <c r="I6194" s="362"/>
      <c r="J6194" s="196"/>
      <c r="AW6194" s="117"/>
      <c r="AX6194" s="117"/>
      <c r="AY6194" s="117"/>
      <c r="AZ6194" s="117"/>
      <c r="BA6194" s="117"/>
      <c r="BB6194" s="117"/>
      <c r="BC6194" s="117"/>
      <c r="BD6194" s="117"/>
    </row>
    <row r="6195" spans="1:56" ht="15">
      <c r="A6195" s="114"/>
      <c r="B6195" s="362"/>
      <c r="C6195" s="362"/>
      <c r="D6195" s="362"/>
      <c r="E6195" s="401"/>
      <c r="F6195" s="196"/>
      <c r="G6195" s="362"/>
      <c r="H6195" s="362"/>
      <c r="I6195" s="362"/>
      <c r="J6195" s="196"/>
      <c r="AW6195" s="117"/>
      <c r="AX6195" s="117"/>
      <c r="AY6195" s="117"/>
      <c r="AZ6195" s="117"/>
      <c r="BA6195" s="117"/>
      <c r="BB6195" s="117"/>
      <c r="BC6195" s="117"/>
      <c r="BD6195" s="117"/>
    </row>
    <row r="6196" spans="1:56" ht="15">
      <c r="A6196" s="114"/>
      <c r="B6196" s="303" t="s">
        <v>1162</v>
      </c>
      <c r="C6196" s="362"/>
      <c r="D6196" s="362"/>
      <c r="E6196" s="410"/>
      <c r="F6196" s="362"/>
      <c r="G6196" s="362"/>
      <c r="H6196" s="362"/>
      <c r="I6196" s="362"/>
      <c r="J6196" s="196"/>
      <c r="AW6196" s="117"/>
      <c r="AX6196" s="117"/>
      <c r="AY6196" s="117"/>
      <c r="AZ6196" s="117"/>
      <c r="BA6196" s="117"/>
      <c r="BB6196" s="117"/>
      <c r="BC6196" s="117"/>
      <c r="BD6196" s="117"/>
    </row>
    <row r="6197" spans="1:56" ht="15">
      <c r="A6197" s="114"/>
      <c r="B6197" s="398" t="s">
        <v>1152</v>
      </c>
      <c r="C6197" s="398"/>
      <c r="D6197" s="366"/>
      <c r="E6197" s="411">
        <v>10</v>
      </c>
      <c r="F6197" s="390" t="s">
        <v>1153</v>
      </c>
      <c r="G6197" s="362"/>
      <c r="H6197" s="362"/>
      <c r="I6197" s="362"/>
      <c r="J6197" s="196"/>
      <c r="AW6197" s="117"/>
      <c r="AX6197" s="117"/>
      <c r="AY6197" s="117"/>
      <c r="AZ6197" s="117"/>
      <c r="BA6197" s="117"/>
      <c r="BB6197" s="117"/>
      <c r="BC6197" s="117"/>
      <c r="BD6197" s="117"/>
    </row>
    <row r="6198" spans="1:56" ht="15">
      <c r="A6198" s="114"/>
      <c r="B6198" s="399" t="s">
        <v>1154</v>
      </c>
      <c r="C6198" s="31"/>
      <c r="D6198" s="32"/>
      <c r="E6198" s="412">
        <f>C6184*E6197</f>
        <v>10</v>
      </c>
      <c r="F6198" s="390" t="s">
        <v>1153</v>
      </c>
      <c r="G6198" s="362"/>
      <c r="H6198" s="362"/>
      <c r="I6198" s="362"/>
      <c r="J6198" s="196"/>
      <c r="AW6198" s="117"/>
      <c r="AX6198" s="117"/>
      <c r="AY6198" s="117"/>
      <c r="AZ6198" s="117"/>
      <c r="BA6198" s="117"/>
      <c r="BB6198" s="117"/>
      <c r="BC6198" s="117"/>
      <c r="BD6198" s="117"/>
    </row>
    <row r="6199" spans="1:56" ht="15">
      <c r="A6199" s="114"/>
      <c r="B6199" s="398" t="s">
        <v>1155</v>
      </c>
      <c r="C6199" s="21"/>
      <c r="D6199" s="413"/>
      <c r="E6199" s="411">
        <v>700</v>
      </c>
      <c r="F6199" s="390" t="s">
        <v>1156</v>
      </c>
      <c r="G6199" s="362"/>
      <c r="H6199" s="414"/>
      <c r="I6199" s="362"/>
      <c r="J6199" s="196"/>
      <c r="AW6199" s="117"/>
      <c r="AX6199" s="117"/>
      <c r="AY6199" s="117"/>
      <c r="AZ6199" s="117"/>
      <c r="BA6199" s="117"/>
      <c r="BB6199" s="117"/>
      <c r="BC6199" s="117"/>
      <c r="BD6199" s="117"/>
    </row>
    <row r="6200" spans="1:56" ht="15">
      <c r="A6200" s="114"/>
      <c r="B6200" s="398" t="s">
        <v>1157</v>
      </c>
      <c r="C6200" s="21"/>
      <c r="D6200" s="413"/>
      <c r="E6200" s="418">
        <v>32</v>
      </c>
      <c r="F6200" s="390" t="s">
        <v>10</v>
      </c>
      <c r="G6200" s="362"/>
      <c r="H6200" s="6"/>
      <c r="I6200" s="362"/>
      <c r="J6200" s="196"/>
      <c r="AW6200" s="117"/>
      <c r="AX6200" s="117"/>
      <c r="AY6200" s="117"/>
      <c r="AZ6200" s="117"/>
      <c r="BA6200" s="117"/>
      <c r="BB6200" s="117"/>
      <c r="BC6200" s="117"/>
      <c r="BD6200" s="117"/>
    </row>
    <row r="6201" spans="1:56" ht="15">
      <c r="A6201" s="114"/>
      <c r="B6201" s="398" t="s">
        <v>1158</v>
      </c>
      <c r="C6201" s="21"/>
      <c r="D6201" s="413"/>
      <c r="E6201" s="412">
        <f>E6198*E6200</f>
        <v>320</v>
      </c>
      <c r="F6201" s="390" t="s">
        <v>10</v>
      </c>
      <c r="G6201" s="362"/>
      <c r="H6201" s="362"/>
      <c r="I6201" s="362"/>
      <c r="J6201" s="196"/>
      <c r="AW6201" s="117"/>
      <c r="AX6201" s="117"/>
      <c r="AY6201" s="117"/>
      <c r="AZ6201" s="117"/>
      <c r="BA6201" s="117"/>
      <c r="BB6201" s="117"/>
      <c r="BC6201" s="117"/>
      <c r="BD6201" s="117"/>
    </row>
    <row r="6202" spans="1:56" ht="15">
      <c r="A6202" s="114"/>
      <c r="B6202" s="362"/>
      <c r="C6202" s="362"/>
      <c r="D6202" s="362"/>
      <c r="E6202" s="410"/>
      <c r="F6202" s="362"/>
      <c r="G6202" s="362"/>
      <c r="H6202" s="362"/>
      <c r="I6202" s="362"/>
      <c r="J6202" s="196"/>
      <c r="AW6202" s="117"/>
      <c r="AX6202" s="117"/>
      <c r="AY6202" s="117"/>
      <c r="AZ6202" s="117"/>
      <c r="BA6202" s="117"/>
      <c r="BB6202" s="117"/>
      <c r="BC6202" s="117"/>
      <c r="BD6202" s="117"/>
    </row>
    <row r="6203" spans="1:56" ht="15">
      <c r="A6203" s="114"/>
      <c r="B6203" s="303" t="s">
        <v>1160</v>
      </c>
      <c r="C6203" s="362"/>
      <c r="D6203" s="362"/>
      <c r="E6203" s="410"/>
      <c r="F6203" s="362"/>
      <c r="G6203" s="362"/>
      <c r="H6203" s="362"/>
      <c r="I6203" s="362"/>
      <c r="J6203" s="362"/>
      <c r="AW6203" s="117"/>
      <c r="AX6203" s="117"/>
      <c r="AY6203" s="117"/>
      <c r="AZ6203" s="117"/>
      <c r="BA6203" s="117"/>
      <c r="BB6203" s="117"/>
      <c r="BC6203" s="117"/>
      <c r="BD6203" s="117"/>
    </row>
    <row r="6204" spans="1:56" ht="18">
      <c r="A6204" s="114"/>
      <c r="B6204" s="398" t="s">
        <v>1128</v>
      </c>
      <c r="C6204" s="172"/>
      <c r="D6204" s="173"/>
      <c r="E6204" s="402">
        <f>E6194*0.05</f>
        <v>2.3939999999999997</v>
      </c>
      <c r="F6204" s="390" t="s">
        <v>1124</v>
      </c>
      <c r="G6204" s="362"/>
      <c r="H6204" s="362"/>
      <c r="I6204" s="362"/>
      <c r="J6204" s="362"/>
      <c r="AW6204" s="117"/>
      <c r="AX6204" s="117"/>
      <c r="AY6204" s="117"/>
      <c r="AZ6204" s="117"/>
      <c r="BA6204" s="117"/>
      <c r="BB6204" s="117"/>
      <c r="BC6204" s="117"/>
      <c r="BD6204" s="117"/>
    </row>
    <row r="6205" spans="1:56">
      <c r="A6205" s="114"/>
      <c r="B6205" s="398" t="s">
        <v>1129</v>
      </c>
      <c r="C6205" s="172"/>
      <c r="D6205" s="173"/>
      <c r="E6205" s="397">
        <f>(2*(C6180+C6181)*C6183)*C6184</f>
        <v>91.199999999999989</v>
      </c>
      <c r="F6205" s="390" t="s">
        <v>13</v>
      </c>
      <c r="G6205" s="115"/>
      <c r="H6205" s="115"/>
      <c r="I6205" s="115"/>
      <c r="J6205" s="196"/>
      <c r="AW6205" s="117"/>
      <c r="AX6205" s="117"/>
      <c r="AY6205" s="117"/>
      <c r="AZ6205" s="117"/>
      <c r="BA6205" s="117"/>
      <c r="BB6205" s="117"/>
      <c r="BC6205" s="117"/>
      <c r="BD6205" s="117"/>
    </row>
    <row r="6206" spans="1:56" ht="18">
      <c r="A6206" s="114"/>
      <c r="B6206" s="398" t="s">
        <v>1130</v>
      </c>
      <c r="C6206" s="172"/>
      <c r="D6206" s="173"/>
      <c r="E6206" s="402">
        <f>(C6180*C6181*C6183)*C6184</f>
        <v>134.39999999999998</v>
      </c>
      <c r="F6206" s="390" t="s">
        <v>1124</v>
      </c>
      <c r="G6206" s="115"/>
      <c r="H6206" s="115"/>
      <c r="I6206" s="115"/>
      <c r="J6206" s="362"/>
      <c r="AW6206" s="117"/>
      <c r="AX6206" s="117"/>
      <c r="AY6206" s="117"/>
      <c r="AZ6206" s="117"/>
      <c r="BA6206" s="117"/>
      <c r="BB6206" s="117"/>
      <c r="BC6206" s="117"/>
      <c r="BD6206" s="117"/>
    </row>
    <row r="6207" spans="1:56">
      <c r="A6207" s="114"/>
      <c r="B6207" s="115"/>
      <c r="C6207" s="115"/>
      <c r="D6207" s="115"/>
      <c r="E6207" s="115"/>
      <c r="F6207" s="115"/>
      <c r="G6207" s="115"/>
      <c r="H6207" s="115"/>
      <c r="I6207" s="115"/>
      <c r="J6207" s="362"/>
      <c r="AW6207" s="117"/>
      <c r="AX6207" s="117"/>
      <c r="AY6207" s="117"/>
      <c r="AZ6207" s="117"/>
      <c r="BA6207" s="117"/>
      <c r="BB6207" s="117"/>
      <c r="BC6207" s="117"/>
      <c r="BD6207" s="117"/>
    </row>
    <row r="6208" spans="1:56" customFormat="1">
      <c r="A6208" s="114"/>
      <c r="B6208" s="385" t="s">
        <v>1340</v>
      </c>
      <c r="C6208" s="140"/>
      <c r="D6208" s="140"/>
      <c r="E6208" s="140"/>
      <c r="F6208" s="401"/>
      <c r="G6208" s="401"/>
      <c r="H6208" s="401"/>
      <c r="I6208" s="401"/>
      <c r="J6208" s="362"/>
    </row>
    <row r="6209" spans="1:56" ht="15">
      <c r="A6209" s="114"/>
      <c r="B6209" s="456"/>
      <c r="C6209" s="401"/>
      <c r="D6209" s="401"/>
      <c r="E6209" s="401"/>
      <c r="F6209" s="401"/>
      <c r="G6209" s="489"/>
      <c r="H6209" s="489"/>
      <c r="I6209" s="489"/>
      <c r="J6209" s="362"/>
      <c r="AW6209" s="117"/>
      <c r="AX6209" s="117"/>
      <c r="AY6209" s="117"/>
      <c r="AZ6209" s="117"/>
      <c r="BA6209" s="117"/>
      <c r="BB6209" s="117"/>
      <c r="BC6209" s="117"/>
      <c r="BD6209" s="117"/>
    </row>
    <row r="6210" spans="1:56" ht="18">
      <c r="A6210" s="114"/>
      <c r="B6210" s="457" t="s">
        <v>1141</v>
      </c>
      <c r="C6210" s="458">
        <v>0.3</v>
      </c>
      <c r="D6210" s="459" t="s">
        <v>10</v>
      </c>
      <c r="E6210" s="401"/>
      <c r="F6210" s="401"/>
      <c r="G6210" s="406" t="s">
        <v>1142</v>
      </c>
      <c r="H6210" s="407">
        <f>C6213*C6214</f>
        <v>20.552999999999997</v>
      </c>
      <c r="I6210" s="405" t="s">
        <v>1143</v>
      </c>
      <c r="J6210" s="362"/>
      <c r="AW6210" s="117"/>
      <c r="AX6210" s="117"/>
      <c r="AY6210" s="117"/>
      <c r="AZ6210" s="117"/>
      <c r="BA6210" s="117"/>
      <c r="BB6210" s="117"/>
      <c r="BC6210" s="117"/>
      <c r="BD6210" s="117"/>
    </row>
    <row r="6211" spans="1:56" ht="15">
      <c r="A6211" s="114"/>
      <c r="B6211" s="457" t="s">
        <v>1145</v>
      </c>
      <c r="C6211" s="458">
        <v>0.3</v>
      </c>
      <c r="D6211" s="459" t="s">
        <v>10</v>
      </c>
      <c r="E6211" s="401"/>
      <c r="F6211" s="401"/>
      <c r="G6211" s="406"/>
      <c r="H6211" s="407"/>
      <c r="I6211" s="405"/>
      <c r="J6211" s="401"/>
      <c r="AW6211" s="117"/>
      <c r="AX6211" s="117"/>
      <c r="AY6211" s="117"/>
      <c r="AZ6211" s="117"/>
      <c r="BA6211" s="117"/>
      <c r="BB6211" s="117"/>
      <c r="BC6211" s="117"/>
      <c r="BD6211" s="117"/>
    </row>
    <row r="6212" spans="1:56" ht="15">
      <c r="A6212" s="114"/>
      <c r="B6212" s="457" t="s">
        <v>1144</v>
      </c>
      <c r="C6212" s="458">
        <v>0.3</v>
      </c>
      <c r="D6212" s="459" t="s">
        <v>10</v>
      </c>
      <c r="E6212" s="401"/>
      <c r="F6212" s="401"/>
      <c r="G6212" s="406" t="e">
        <f>TEXT(C6221,"tg 0°=")</f>
        <v>#VALUE!</v>
      </c>
      <c r="H6212" s="408">
        <f>TAN(3.14159265359*C6221/180)</f>
        <v>1.732050807569153</v>
      </c>
      <c r="I6212" s="405"/>
      <c r="J6212" s="401"/>
      <c r="AW6212" s="117"/>
      <c r="AX6212" s="117"/>
      <c r="AY6212" s="117"/>
      <c r="AZ6212" s="117"/>
      <c r="BA6212" s="117"/>
      <c r="BB6212" s="117"/>
      <c r="BC6212" s="117"/>
      <c r="BD6212" s="117"/>
    </row>
    <row r="6213" spans="1:56" ht="15">
      <c r="A6213" s="114"/>
      <c r="B6213" s="457" t="s">
        <v>1110</v>
      </c>
      <c r="C6213" s="458">
        <v>3.9</v>
      </c>
      <c r="D6213" s="459" t="s">
        <v>10</v>
      </c>
      <c r="E6213" s="401"/>
      <c r="F6213" s="401"/>
      <c r="G6213" s="406"/>
      <c r="H6213" s="407"/>
      <c r="I6213" s="405"/>
      <c r="J6213" s="401"/>
      <c r="AW6213" s="117"/>
      <c r="AX6213" s="117"/>
      <c r="AY6213" s="117"/>
      <c r="AZ6213" s="117"/>
      <c r="BA6213" s="117"/>
      <c r="BB6213" s="117"/>
      <c r="BC6213" s="117"/>
      <c r="BD6213" s="117"/>
    </row>
    <row r="6214" spans="1:56" ht="18">
      <c r="A6214" s="114"/>
      <c r="B6214" s="457" t="s">
        <v>1111</v>
      </c>
      <c r="C6214" s="458">
        <v>5.27</v>
      </c>
      <c r="D6214" s="459" t="s">
        <v>10</v>
      </c>
      <c r="E6214" s="401"/>
      <c r="F6214" s="401"/>
      <c r="G6214" s="406" t="s">
        <v>1142</v>
      </c>
      <c r="H6214" s="409">
        <f>(C6213+2*C6216+((C6215+0.05)/H6212)*2)*(C6214+2*C6216+((C6215+0.05)/H6212)*2)</f>
        <v>55.634708272594246</v>
      </c>
      <c r="I6214" s="405" t="s">
        <v>1143</v>
      </c>
      <c r="J6214" s="196"/>
      <c r="AW6214" s="117"/>
      <c r="AX6214" s="117"/>
      <c r="AY6214" s="117"/>
      <c r="AZ6214" s="117"/>
      <c r="BA6214" s="117"/>
      <c r="BB6214" s="117"/>
      <c r="BC6214" s="117"/>
      <c r="BD6214" s="117"/>
    </row>
    <row r="6215" spans="1:56" ht="18">
      <c r="A6215" s="114"/>
      <c r="B6215" s="457" t="s">
        <v>1112</v>
      </c>
      <c r="C6215" s="458">
        <v>1.6</v>
      </c>
      <c r="D6215" s="459" t="s">
        <v>10</v>
      </c>
      <c r="E6215" s="288" t="s">
        <v>1239</v>
      </c>
      <c r="F6215" s="401"/>
      <c r="G6215" s="406" t="s">
        <v>1147</v>
      </c>
      <c r="H6215" s="409">
        <f>(C6213+2*C6216)*(C6214+2*C6216)</f>
        <v>30.722999999999999</v>
      </c>
      <c r="I6215" s="405" t="s">
        <v>1143</v>
      </c>
      <c r="J6215" s="196"/>
      <c r="AW6215" s="117"/>
      <c r="AX6215" s="117"/>
      <c r="AY6215" s="117"/>
      <c r="AZ6215" s="117"/>
      <c r="BA6215" s="117"/>
      <c r="BB6215" s="117"/>
      <c r="BC6215" s="117"/>
      <c r="BD6215" s="117"/>
    </row>
    <row r="6216" spans="1:56" ht="15">
      <c r="A6216" s="114"/>
      <c r="B6216" s="457" t="s">
        <v>1113</v>
      </c>
      <c r="C6216" s="458">
        <v>0.5</v>
      </c>
      <c r="D6216" s="459" t="s">
        <v>10</v>
      </c>
      <c r="E6216" s="361" t="s">
        <v>1120</v>
      </c>
      <c r="F6216" s="401"/>
      <c r="G6216" s="406"/>
      <c r="H6216" s="407"/>
      <c r="I6216" s="405"/>
      <c r="J6216" s="196"/>
      <c r="AW6216" s="117"/>
      <c r="AX6216" s="117"/>
      <c r="AY6216" s="117"/>
      <c r="AZ6216" s="117"/>
      <c r="BA6216" s="117"/>
      <c r="BB6216" s="117"/>
      <c r="BC6216" s="117"/>
      <c r="BD6216" s="117"/>
    </row>
    <row r="6217" spans="1:56" ht="15">
      <c r="A6217" s="114"/>
      <c r="B6217" s="457" t="s">
        <v>1113</v>
      </c>
      <c r="C6217" s="458">
        <v>0.1</v>
      </c>
      <c r="D6217" s="459" t="s">
        <v>10</v>
      </c>
      <c r="E6217" s="361" t="s">
        <v>1121</v>
      </c>
      <c r="F6217" s="401"/>
      <c r="G6217" s="392"/>
      <c r="H6217" s="393"/>
      <c r="I6217" s="196"/>
      <c r="J6217" s="196"/>
      <c r="AW6217" s="117"/>
      <c r="AX6217" s="117"/>
      <c r="AY6217" s="117"/>
      <c r="AZ6217" s="117"/>
      <c r="BA6217" s="117"/>
      <c r="BB6217" s="117"/>
      <c r="BC6217" s="117"/>
      <c r="BD6217" s="117"/>
    </row>
    <row r="6218" spans="1:56" ht="15">
      <c r="A6218" s="114"/>
      <c r="B6218" s="457" t="s">
        <v>1117</v>
      </c>
      <c r="C6218" s="460">
        <v>1</v>
      </c>
      <c r="D6218" s="459" t="s">
        <v>1118</v>
      </c>
      <c r="E6218" s="401"/>
      <c r="F6218" s="401"/>
      <c r="G6218" s="401"/>
      <c r="H6218" s="392"/>
      <c r="I6218" s="393"/>
      <c r="J6218" s="196"/>
      <c r="AW6218" s="117"/>
      <c r="AX6218" s="117"/>
      <c r="AY6218" s="117"/>
      <c r="AZ6218" s="117"/>
      <c r="BA6218" s="117"/>
      <c r="BB6218" s="117"/>
      <c r="BC6218" s="117"/>
      <c r="BD6218" s="117"/>
    </row>
    <row r="6219" spans="1:56" ht="15">
      <c r="A6219" s="114"/>
      <c r="B6219" s="410"/>
      <c r="C6219" s="410"/>
      <c r="D6219" s="410"/>
      <c r="E6219" s="410"/>
      <c r="F6219" s="401"/>
      <c r="G6219" s="401"/>
      <c r="H6219" s="392"/>
      <c r="I6219" s="393"/>
      <c r="J6219" s="196"/>
      <c r="AW6219" s="117"/>
      <c r="AX6219" s="117"/>
      <c r="AY6219" s="117"/>
      <c r="AZ6219" s="117"/>
      <c r="BA6219" s="117"/>
      <c r="BB6219" s="117"/>
      <c r="BC6219" s="117"/>
      <c r="BD6219" s="117"/>
    </row>
    <row r="6220" spans="1:56" ht="15">
      <c r="A6220" s="114"/>
      <c r="B6220" s="401" t="s">
        <v>1148</v>
      </c>
      <c r="C6220" s="461"/>
      <c r="D6220" s="401"/>
      <c r="E6220" s="401"/>
      <c r="F6220" s="401"/>
      <c r="G6220" s="401"/>
      <c r="H6220" s="392"/>
      <c r="I6220" s="393"/>
      <c r="J6220" s="196"/>
      <c r="AW6220" s="117"/>
      <c r="AX6220" s="117"/>
      <c r="AY6220" s="117"/>
      <c r="AZ6220" s="117"/>
      <c r="BA6220" s="117"/>
      <c r="BB6220" s="117"/>
      <c r="BC6220" s="117"/>
      <c r="BD6220" s="117"/>
    </row>
    <row r="6221" spans="1:56" ht="15">
      <c r="A6221" s="114"/>
      <c r="B6221" s="457" t="s">
        <v>1149</v>
      </c>
      <c r="C6221" s="462">
        <v>60</v>
      </c>
      <c r="D6221" s="459" t="s">
        <v>1150</v>
      </c>
      <c r="E6221" s="401"/>
      <c r="F6221" s="401"/>
      <c r="G6221" s="114"/>
      <c r="H6221" s="468" t="s">
        <v>1240</v>
      </c>
      <c r="I6221" s="362"/>
      <c r="J6221" s="196"/>
      <c r="AW6221" s="117"/>
      <c r="AX6221" s="117"/>
      <c r="AY6221" s="117"/>
      <c r="AZ6221" s="117"/>
      <c r="BA6221" s="117"/>
      <c r="BB6221" s="117"/>
      <c r="BC6221" s="117"/>
      <c r="BD6221" s="117"/>
    </row>
    <row r="6222" spans="1:56" ht="15">
      <c r="A6222" s="114"/>
      <c r="B6222" s="410"/>
      <c r="C6222" s="410"/>
      <c r="D6222" s="410"/>
      <c r="E6222" s="410"/>
      <c r="F6222" s="410"/>
      <c r="G6222" s="410"/>
      <c r="H6222" s="362"/>
      <c r="I6222" s="362"/>
      <c r="J6222" s="196"/>
      <c r="AW6222" s="117"/>
      <c r="AX6222" s="117"/>
      <c r="AY6222" s="117"/>
      <c r="AZ6222" s="117"/>
      <c r="BA6222" s="117"/>
      <c r="BB6222" s="117"/>
      <c r="BC6222" s="117"/>
      <c r="BD6222" s="117"/>
    </row>
    <row r="6223" spans="1:56" ht="15">
      <c r="A6223" s="114"/>
      <c r="B6223" s="303" t="s">
        <v>1122</v>
      </c>
      <c r="C6223" s="410"/>
      <c r="D6223" s="410"/>
      <c r="E6223" s="410"/>
      <c r="F6223" s="410"/>
      <c r="G6223" s="401"/>
      <c r="H6223" s="196"/>
      <c r="I6223" s="362"/>
      <c r="J6223" s="196"/>
      <c r="AW6223" s="117"/>
      <c r="AX6223" s="117"/>
      <c r="AY6223" s="117"/>
      <c r="AZ6223" s="117"/>
      <c r="BA6223" s="117"/>
      <c r="BB6223" s="117"/>
      <c r="BC6223" s="117"/>
      <c r="BD6223" s="117"/>
    </row>
    <row r="6224" spans="1:56" ht="16.5">
      <c r="A6224" s="114"/>
      <c r="B6224" s="463" t="s">
        <v>1123</v>
      </c>
      <c r="C6224" s="464"/>
      <c r="D6224" s="457"/>
      <c r="E6224" s="397">
        <f>C6218*(((H6215+H6214)/2)*(C6215+0.05))</f>
        <v>71.245109324890251</v>
      </c>
      <c r="F6224" s="459" t="s">
        <v>1241</v>
      </c>
      <c r="G6224" s="401"/>
      <c r="H6224" s="362"/>
      <c r="I6224" s="362"/>
      <c r="J6224" s="196"/>
      <c r="AW6224" s="117"/>
      <c r="AX6224" s="117"/>
      <c r="AY6224" s="117"/>
      <c r="AZ6224" s="117"/>
      <c r="BA6224" s="117"/>
      <c r="BB6224" s="117"/>
      <c r="BC6224" s="117"/>
      <c r="BD6224" s="117"/>
    </row>
    <row r="6225" spans="1:56" ht="16.5">
      <c r="A6225" s="114"/>
      <c r="B6225" s="463" t="s">
        <v>1125</v>
      </c>
      <c r="C6225" s="464"/>
      <c r="D6225" s="457"/>
      <c r="E6225" s="400">
        <f>E6224-(H6210*C6215*C6218)</f>
        <v>38.360309324890252</v>
      </c>
      <c r="F6225" s="459" t="s">
        <v>1241</v>
      </c>
      <c r="G6225" s="401"/>
      <c r="H6225" s="196"/>
      <c r="I6225" s="196"/>
      <c r="J6225" s="196"/>
      <c r="AW6225" s="117"/>
      <c r="AX6225" s="117"/>
      <c r="AY6225" s="117"/>
      <c r="AZ6225" s="117"/>
      <c r="BA6225" s="117"/>
      <c r="BB6225" s="117"/>
      <c r="BC6225" s="117"/>
      <c r="BD6225" s="117"/>
    </row>
    <row r="6226" spans="1:56" ht="15">
      <c r="A6226" s="114"/>
      <c r="B6226" s="463" t="s">
        <v>1126</v>
      </c>
      <c r="C6226" s="464"/>
      <c r="D6226" s="457"/>
      <c r="E6226" s="400">
        <f>C6218*((C6213+2*C6217)*(C6214+2*C6217))</f>
        <v>22.426999999999996</v>
      </c>
      <c r="F6226" s="459" t="s">
        <v>13</v>
      </c>
      <c r="G6226" s="465"/>
      <c r="H6226" s="362"/>
      <c r="I6226" s="362"/>
      <c r="J6226" s="196"/>
      <c r="AW6226" s="117"/>
      <c r="AX6226" s="117"/>
      <c r="AY6226" s="117"/>
      <c r="AZ6226" s="117"/>
      <c r="BA6226" s="117"/>
      <c r="BB6226" s="117"/>
      <c r="BC6226" s="117"/>
      <c r="BD6226" s="117"/>
    </row>
    <row r="6227" spans="1:56" ht="15">
      <c r="A6227" s="114"/>
      <c r="B6227" s="410"/>
      <c r="C6227" s="410"/>
      <c r="D6227" s="410"/>
      <c r="E6227" s="401"/>
      <c r="F6227" s="401"/>
      <c r="G6227" s="465"/>
      <c r="H6227" s="362"/>
      <c r="I6227" s="362"/>
      <c r="J6227" s="362"/>
      <c r="AW6227" s="117"/>
      <c r="AX6227" s="117"/>
      <c r="AY6227" s="117"/>
      <c r="AZ6227" s="117"/>
      <c r="BA6227" s="117"/>
      <c r="BB6227" s="117"/>
      <c r="BC6227" s="117"/>
      <c r="BD6227" s="117"/>
    </row>
    <row r="6228" spans="1:56" ht="15">
      <c r="A6228" s="114"/>
      <c r="B6228" s="303" t="s">
        <v>1242</v>
      </c>
      <c r="C6228" s="410"/>
      <c r="D6228" s="410"/>
      <c r="E6228" s="410"/>
      <c r="F6228" s="410"/>
      <c r="G6228" s="465"/>
      <c r="H6228" s="362"/>
      <c r="I6228" s="362"/>
      <c r="J6228" s="362"/>
      <c r="AW6228" s="117"/>
      <c r="AX6228" s="117"/>
      <c r="AY6228" s="117"/>
      <c r="AZ6228" s="117"/>
      <c r="BA6228" s="117"/>
      <c r="BB6228" s="117"/>
      <c r="BC6228" s="117"/>
      <c r="BD6228" s="117"/>
    </row>
    <row r="6229" spans="1:56" ht="16.5">
      <c r="A6229" s="114"/>
      <c r="B6229" s="463" t="s">
        <v>1128</v>
      </c>
      <c r="C6229" s="464"/>
      <c r="D6229" s="457"/>
      <c r="E6229" s="402">
        <f>E6226*0.05</f>
        <v>1.1213499999999998</v>
      </c>
      <c r="F6229" s="459" t="s">
        <v>1241</v>
      </c>
      <c r="G6229" s="465"/>
      <c r="H6229" s="362"/>
      <c r="I6229" s="362"/>
      <c r="J6229" s="196"/>
      <c r="AW6229" s="117"/>
      <c r="AX6229" s="117"/>
      <c r="AY6229" s="117"/>
      <c r="AZ6229" s="117"/>
      <c r="BA6229" s="117"/>
      <c r="BB6229" s="117"/>
      <c r="BC6229" s="117"/>
      <c r="BD6229" s="117"/>
    </row>
    <row r="6230" spans="1:56" ht="15">
      <c r="A6230" s="114"/>
      <c r="B6230" s="463" t="s">
        <v>1129</v>
      </c>
      <c r="C6230" s="464"/>
      <c r="D6230" s="457"/>
      <c r="E6230" s="397">
        <f>C6218*((2*C6213+2*C6214)*C6215+(2*(C6213-C6210-C6211)+2*(C6214-2*C6210))*(C6215-C6212))</f>
        <v>50.066000000000003</v>
      </c>
      <c r="F6230" s="459" t="s">
        <v>13</v>
      </c>
      <c r="G6230" s="465"/>
      <c r="H6230" s="362"/>
      <c r="I6230" s="362"/>
      <c r="J6230" s="362"/>
      <c r="AW6230" s="117"/>
      <c r="AX6230" s="117"/>
      <c r="AY6230" s="117"/>
      <c r="AZ6230" s="117"/>
      <c r="BA6230" s="117"/>
      <c r="BB6230" s="117"/>
      <c r="BC6230" s="117"/>
      <c r="BD6230" s="117"/>
    </row>
    <row r="6231" spans="1:56" ht="16.5">
      <c r="A6231" s="114"/>
      <c r="B6231" s="463" t="s">
        <v>1130</v>
      </c>
      <c r="C6231" s="464"/>
      <c r="D6231" s="457"/>
      <c r="E6231" s="467">
        <f>((C6213*C6214*C6212)+((C6213*C6214)-((C6213-C6210-C6211)*(C6214-C6210-C6210))*(C6215-C6212)))*C6218</f>
        <v>6.6845999999999943</v>
      </c>
      <c r="F6231" s="459" t="s">
        <v>1241</v>
      </c>
      <c r="G6231" s="465"/>
      <c r="H6231" s="362"/>
      <c r="I6231" s="362"/>
      <c r="J6231" s="362"/>
      <c r="AW6231" s="117"/>
      <c r="AX6231" s="117"/>
      <c r="AY6231" s="117"/>
      <c r="AZ6231" s="117"/>
      <c r="BA6231" s="117"/>
      <c r="BB6231" s="117"/>
      <c r="BC6231" s="117"/>
      <c r="BD6231" s="117"/>
    </row>
    <row r="6232" spans="1:56">
      <c r="A6232" s="114"/>
      <c r="B6232" s="115"/>
      <c r="C6232" s="115"/>
      <c r="D6232" s="115"/>
      <c r="E6232" s="115"/>
      <c r="F6232" s="115"/>
      <c r="G6232" s="115"/>
      <c r="H6232" s="115"/>
      <c r="I6232" s="115"/>
      <c r="J6232" s="362"/>
      <c r="AW6232" s="117"/>
      <c r="AX6232" s="117"/>
      <c r="AY6232" s="117"/>
      <c r="AZ6232" s="117"/>
      <c r="BA6232" s="117"/>
      <c r="BB6232" s="117"/>
      <c r="BC6232" s="117"/>
      <c r="BD6232" s="117"/>
    </row>
    <row r="6233" spans="1:56" ht="15">
      <c r="A6233" s="449"/>
      <c r="B6233" s="456"/>
      <c r="C6233" s="401"/>
      <c r="D6233" s="401"/>
      <c r="E6233" s="401"/>
      <c r="F6233" s="401"/>
      <c r="G6233" s="449"/>
      <c r="H6233" s="449"/>
      <c r="I6233" s="449"/>
      <c r="J6233" s="114"/>
      <c r="AW6233" s="117"/>
      <c r="AX6233" s="117"/>
      <c r="AY6233" s="117"/>
      <c r="AZ6233" s="117"/>
      <c r="BA6233" s="117"/>
      <c r="BB6233" s="117"/>
      <c r="BC6233" s="117"/>
      <c r="BD6233" s="117"/>
    </row>
    <row r="6234" spans="1:56" ht="15">
      <c r="A6234" s="466" t="s">
        <v>1105</v>
      </c>
      <c r="B6234" s="362"/>
      <c r="C6234" s="362"/>
      <c r="D6234" s="362"/>
      <c r="E6234" s="362"/>
      <c r="F6234" s="362"/>
      <c r="G6234" s="362"/>
      <c r="H6234" s="362"/>
      <c r="I6234" s="362"/>
      <c r="J6234" s="114"/>
      <c r="AW6234" s="117"/>
      <c r="AX6234" s="117"/>
      <c r="AY6234" s="117"/>
      <c r="AZ6234" s="117"/>
      <c r="BA6234" s="117"/>
      <c r="BB6234" s="117"/>
      <c r="BC6234" s="117"/>
      <c r="BD6234" s="117"/>
    </row>
    <row r="6235" spans="1:56" s="495" customFormat="1">
      <c r="A6235" s="114"/>
      <c r="B6235" s="385" t="s">
        <v>1341</v>
      </c>
      <c r="C6235" s="140"/>
      <c r="D6235" s="140"/>
      <c r="E6235" s="140"/>
      <c r="F6235" s="401"/>
      <c r="G6235" s="401"/>
      <c r="H6235" s="401"/>
      <c r="I6235" s="401"/>
      <c r="J6235" s="494"/>
      <c r="K6235" s="449"/>
      <c r="L6235" s="449"/>
      <c r="M6235" s="449"/>
      <c r="N6235" s="449"/>
      <c r="O6235" s="449"/>
      <c r="P6235" s="449"/>
      <c r="Q6235" s="449"/>
      <c r="R6235" s="449"/>
      <c r="S6235" s="449"/>
      <c r="T6235" s="449"/>
      <c r="U6235" s="449"/>
      <c r="V6235" s="449"/>
      <c r="W6235" s="449"/>
      <c r="X6235" s="449"/>
      <c r="Y6235" s="449"/>
      <c r="Z6235" s="449"/>
      <c r="AA6235" s="449"/>
      <c r="AB6235" s="449"/>
      <c r="AC6235" s="449"/>
      <c r="AD6235" s="449"/>
      <c r="AE6235" s="449"/>
      <c r="AF6235" s="449"/>
      <c r="AG6235" s="449"/>
      <c r="AH6235" s="449"/>
      <c r="AI6235" s="449"/>
      <c r="AJ6235" s="449"/>
      <c r="AK6235" s="449"/>
      <c r="AL6235" s="449"/>
      <c r="AM6235" s="449"/>
      <c r="AN6235" s="449"/>
      <c r="AO6235" s="449"/>
      <c r="AP6235" s="449"/>
      <c r="AQ6235" s="449"/>
      <c r="AR6235" s="449"/>
      <c r="AS6235" s="449"/>
      <c r="AT6235" s="449"/>
      <c r="AU6235" s="449"/>
      <c r="AV6235" s="449"/>
      <c r="AW6235" s="449"/>
    </row>
    <row r="6236" spans="1:56" ht="15">
      <c r="A6236" s="114"/>
      <c r="B6236" s="456"/>
      <c r="C6236" s="401"/>
      <c r="D6236" s="401"/>
      <c r="E6236" s="401"/>
      <c r="F6236" s="401"/>
      <c r="G6236" s="489"/>
      <c r="H6236" s="489"/>
      <c r="I6236" s="489"/>
      <c r="J6236" s="196"/>
      <c r="AX6236" s="117"/>
      <c r="AY6236" s="117"/>
      <c r="AZ6236" s="117"/>
      <c r="BA6236" s="117"/>
      <c r="BB6236" s="117"/>
      <c r="BC6236" s="117"/>
      <c r="BD6236" s="117"/>
    </row>
    <row r="6237" spans="1:56" ht="18">
      <c r="A6237" s="114"/>
      <c r="B6237" s="457" t="s">
        <v>1141</v>
      </c>
      <c r="C6237" s="458">
        <v>0.3</v>
      </c>
      <c r="D6237" s="459" t="s">
        <v>10</v>
      </c>
      <c r="E6237" s="401"/>
      <c r="F6237" s="401"/>
      <c r="G6237" s="406" t="s">
        <v>1142</v>
      </c>
      <c r="H6237" s="407">
        <f>C6240*C6241</f>
        <v>11.857499999999998</v>
      </c>
      <c r="I6237" s="405" t="s">
        <v>1143</v>
      </c>
      <c r="J6237" s="114"/>
      <c r="AV6237" s="117"/>
      <c r="AW6237" s="117"/>
      <c r="AX6237" s="117"/>
      <c r="AY6237" s="117"/>
      <c r="AZ6237" s="117"/>
      <c r="BA6237" s="117"/>
      <c r="BB6237" s="117"/>
      <c r="BC6237" s="117"/>
      <c r="BD6237" s="117"/>
    </row>
    <row r="6238" spans="1:56" ht="15">
      <c r="A6238" s="114"/>
      <c r="B6238" s="457" t="s">
        <v>1145</v>
      </c>
      <c r="C6238" s="458">
        <v>0.3</v>
      </c>
      <c r="D6238" s="459" t="s">
        <v>10</v>
      </c>
      <c r="E6238" s="401"/>
      <c r="F6238" s="401"/>
      <c r="G6238" s="406"/>
      <c r="H6238" s="407"/>
      <c r="I6238" s="405"/>
      <c r="J6238" s="114"/>
      <c r="AV6238" s="117"/>
      <c r="AW6238" s="117"/>
      <c r="AX6238" s="117"/>
      <c r="AY6238" s="117"/>
      <c r="AZ6238" s="117"/>
      <c r="BA6238" s="117"/>
      <c r="BB6238" s="117"/>
      <c r="BC6238" s="117"/>
      <c r="BD6238" s="117"/>
    </row>
    <row r="6239" spans="1:56" ht="15">
      <c r="A6239" s="114"/>
      <c r="B6239" s="457" t="s">
        <v>1144</v>
      </c>
      <c r="C6239" s="458">
        <v>0.3</v>
      </c>
      <c r="D6239" s="459" t="s">
        <v>10</v>
      </c>
      <c r="E6239" s="401"/>
      <c r="F6239" s="401"/>
      <c r="G6239" s="406" t="e">
        <f>TEXT(C6248,"tg 0°=")</f>
        <v>#VALUE!</v>
      </c>
      <c r="H6239" s="408">
        <f>TAN(3.14159265359*C6248/180)</f>
        <v>1.732050807569153</v>
      </c>
      <c r="I6239" s="405"/>
      <c r="J6239" s="114"/>
      <c r="AV6239" s="117"/>
      <c r="AW6239" s="117"/>
      <c r="AX6239" s="117"/>
      <c r="AY6239" s="117"/>
      <c r="AZ6239" s="117"/>
      <c r="BA6239" s="117"/>
      <c r="BB6239" s="117"/>
      <c r="BC6239" s="117"/>
      <c r="BD6239" s="117"/>
    </row>
    <row r="6240" spans="1:56" ht="15">
      <c r="A6240" s="114"/>
      <c r="B6240" s="457" t="s">
        <v>1110</v>
      </c>
      <c r="C6240" s="458">
        <v>2.25</v>
      </c>
      <c r="D6240" s="459" t="s">
        <v>10</v>
      </c>
      <c r="E6240" s="401"/>
      <c r="F6240" s="401"/>
      <c r="G6240" s="406"/>
      <c r="H6240" s="407"/>
      <c r="I6240" s="405"/>
      <c r="J6240" s="114"/>
      <c r="AV6240" s="117"/>
      <c r="AW6240" s="117"/>
      <c r="AX6240" s="117"/>
      <c r="AY6240" s="117"/>
      <c r="AZ6240" s="117"/>
      <c r="BA6240" s="117"/>
      <c r="BB6240" s="117"/>
      <c r="BC6240" s="117"/>
      <c r="BD6240" s="117"/>
    </row>
    <row r="6241" spans="1:56" ht="18">
      <c r="A6241" s="114"/>
      <c r="B6241" s="457" t="s">
        <v>1111</v>
      </c>
      <c r="C6241" s="458">
        <v>5.27</v>
      </c>
      <c r="D6241" s="459" t="s">
        <v>10</v>
      </c>
      <c r="E6241" s="401"/>
      <c r="F6241" s="401"/>
      <c r="G6241" s="406" t="s">
        <v>1142</v>
      </c>
      <c r="H6241" s="409">
        <f>(C6240+2*C6243+((C6242+0.05)/H6239)*2)*(C6241+2*C6243+((C6242+0.05)/H6239)*2)</f>
        <v>42.145536056857239</v>
      </c>
      <c r="I6241" s="405" t="s">
        <v>1143</v>
      </c>
      <c r="J6241" s="114"/>
      <c r="AV6241" s="117"/>
      <c r="AW6241" s="117"/>
      <c r="AX6241" s="117"/>
      <c r="AY6241" s="117"/>
      <c r="AZ6241" s="117"/>
      <c r="BA6241" s="117"/>
      <c r="BB6241" s="117"/>
      <c r="BC6241" s="117"/>
      <c r="BD6241" s="117"/>
    </row>
    <row r="6242" spans="1:56" ht="18">
      <c r="A6242" s="114"/>
      <c r="B6242" s="457" t="s">
        <v>1112</v>
      </c>
      <c r="C6242" s="458">
        <v>1.6</v>
      </c>
      <c r="D6242" s="459" t="s">
        <v>10</v>
      </c>
      <c r="E6242" s="288" t="s">
        <v>1239</v>
      </c>
      <c r="F6242" s="401"/>
      <c r="G6242" s="406" t="s">
        <v>1147</v>
      </c>
      <c r="H6242" s="409">
        <f>(C6240+2*C6243)*(C6241+2*C6243)</f>
        <v>20.377499999999998</v>
      </c>
      <c r="I6242" s="405" t="s">
        <v>1143</v>
      </c>
      <c r="J6242" s="114"/>
      <c r="AV6242" s="117"/>
      <c r="AW6242" s="117"/>
      <c r="AX6242" s="117"/>
      <c r="AY6242" s="117"/>
      <c r="AZ6242" s="117"/>
      <c r="BA6242" s="117"/>
      <c r="BB6242" s="117"/>
      <c r="BC6242" s="117"/>
      <c r="BD6242" s="117"/>
    </row>
    <row r="6243" spans="1:56" ht="15">
      <c r="A6243" s="114"/>
      <c r="B6243" s="457" t="s">
        <v>1113</v>
      </c>
      <c r="C6243" s="458">
        <v>0.5</v>
      </c>
      <c r="D6243" s="459" t="s">
        <v>10</v>
      </c>
      <c r="E6243" s="361" t="s">
        <v>1120</v>
      </c>
      <c r="F6243" s="401"/>
      <c r="G6243" s="406"/>
      <c r="H6243" s="407"/>
      <c r="I6243" s="405"/>
      <c r="J6243" s="114"/>
      <c r="AV6243" s="117"/>
      <c r="AW6243" s="117"/>
      <c r="AX6243" s="117"/>
      <c r="AY6243" s="117"/>
      <c r="AZ6243" s="117"/>
      <c r="BA6243" s="117"/>
      <c r="BB6243" s="117"/>
      <c r="BC6243" s="117"/>
      <c r="BD6243" s="117"/>
    </row>
    <row r="6244" spans="1:56" ht="15">
      <c r="A6244" s="114"/>
      <c r="B6244" s="457" t="s">
        <v>1113</v>
      </c>
      <c r="C6244" s="458">
        <v>0.1</v>
      </c>
      <c r="D6244" s="459" t="s">
        <v>10</v>
      </c>
      <c r="E6244" s="361" t="s">
        <v>1121</v>
      </c>
      <c r="F6244" s="401"/>
      <c r="G6244" s="392"/>
      <c r="H6244" s="393"/>
      <c r="I6244" s="196"/>
      <c r="J6244" s="114"/>
      <c r="AW6244" s="117"/>
      <c r="AX6244" s="117"/>
      <c r="AY6244" s="117"/>
      <c r="AZ6244" s="117"/>
      <c r="BA6244" s="117"/>
      <c r="BB6244" s="117"/>
      <c r="BC6244" s="117"/>
      <c r="BD6244" s="117"/>
    </row>
    <row r="6245" spans="1:56" ht="16.5" customHeight="1">
      <c r="A6245" s="114"/>
      <c r="B6245" s="457" t="s">
        <v>1117</v>
      </c>
      <c r="C6245" s="460">
        <v>1</v>
      </c>
      <c r="D6245" s="459" t="s">
        <v>1118</v>
      </c>
      <c r="E6245" s="401"/>
      <c r="F6245" s="401"/>
      <c r="G6245" s="401"/>
      <c r="H6245" s="392"/>
      <c r="I6245" s="393"/>
      <c r="J6245" s="196"/>
      <c r="AX6245" s="117"/>
      <c r="AY6245" s="117"/>
      <c r="AZ6245" s="117"/>
      <c r="BA6245" s="117"/>
      <c r="BB6245" s="117"/>
      <c r="BC6245" s="117"/>
      <c r="BD6245" s="117"/>
    </row>
    <row r="6246" spans="1:56" ht="15">
      <c r="A6246" s="114"/>
      <c r="B6246" s="410"/>
      <c r="C6246" s="410"/>
      <c r="D6246" s="410"/>
      <c r="E6246" s="410"/>
      <c r="F6246" s="401"/>
      <c r="G6246" s="401"/>
      <c r="H6246" s="392"/>
      <c r="I6246" s="393"/>
      <c r="J6246" s="114"/>
      <c r="AT6246" s="117"/>
      <c r="AU6246" s="117"/>
      <c r="AV6246" s="117"/>
      <c r="AW6246" s="117"/>
      <c r="AX6246" s="117"/>
      <c r="AY6246" s="117"/>
      <c r="AZ6246" s="117"/>
      <c r="BA6246" s="117"/>
      <c r="BB6246" s="117"/>
      <c r="BC6246" s="117"/>
      <c r="BD6246" s="117"/>
    </row>
    <row r="6247" spans="1:56" ht="15">
      <c r="A6247" s="114"/>
      <c r="B6247" s="401" t="s">
        <v>1148</v>
      </c>
      <c r="C6247" s="461"/>
      <c r="D6247" s="401"/>
      <c r="E6247" s="401"/>
      <c r="F6247" s="401"/>
      <c r="G6247" s="401"/>
      <c r="H6247" s="392"/>
      <c r="I6247" s="393"/>
      <c r="J6247" s="114"/>
      <c r="AT6247" s="117"/>
      <c r="AU6247" s="117"/>
      <c r="AV6247" s="117"/>
      <c r="AW6247" s="117"/>
      <c r="AX6247" s="117"/>
      <c r="AY6247" s="117"/>
      <c r="AZ6247" s="117"/>
      <c r="BA6247" s="117"/>
      <c r="BB6247" s="117"/>
      <c r="BC6247" s="117"/>
      <c r="BD6247" s="117"/>
    </row>
    <row r="6248" spans="1:56" ht="15">
      <c r="A6248" s="114"/>
      <c r="B6248" s="457" t="s">
        <v>1149</v>
      </c>
      <c r="C6248" s="462">
        <v>60</v>
      </c>
      <c r="D6248" s="459" t="s">
        <v>1150</v>
      </c>
      <c r="E6248" s="401"/>
      <c r="F6248" s="401"/>
      <c r="G6248" s="114"/>
      <c r="H6248" s="468" t="s">
        <v>1240</v>
      </c>
      <c r="I6248" s="362"/>
      <c r="J6248" s="114"/>
      <c r="AT6248" s="117"/>
      <c r="AU6248" s="117"/>
      <c r="AV6248" s="117"/>
      <c r="AW6248" s="117"/>
      <c r="AX6248" s="117"/>
      <c r="AY6248" s="117"/>
      <c r="AZ6248" s="117"/>
      <c r="BA6248" s="117"/>
      <c r="BB6248" s="117"/>
      <c r="BC6248" s="117"/>
      <c r="BD6248" s="117"/>
    </row>
    <row r="6249" spans="1:56" ht="15">
      <c r="A6249" s="114"/>
      <c r="B6249" s="410"/>
      <c r="C6249" s="410"/>
      <c r="D6249" s="410"/>
      <c r="E6249" s="410"/>
      <c r="F6249" s="410"/>
      <c r="G6249" s="410"/>
      <c r="H6249" s="362"/>
      <c r="I6249" s="362"/>
      <c r="J6249" s="114"/>
      <c r="AT6249" s="117"/>
      <c r="AU6249" s="117"/>
      <c r="AV6249" s="117"/>
      <c r="AW6249" s="117"/>
      <c r="AX6249" s="117"/>
      <c r="AY6249" s="117"/>
      <c r="AZ6249" s="117"/>
      <c r="BA6249" s="117"/>
      <c r="BB6249" s="117"/>
      <c r="BC6249" s="117"/>
      <c r="BD6249" s="117"/>
    </row>
    <row r="6250" spans="1:56" ht="15">
      <c r="A6250" s="114"/>
      <c r="B6250" s="303" t="s">
        <v>1122</v>
      </c>
      <c r="C6250" s="410"/>
      <c r="D6250" s="410"/>
      <c r="E6250" s="410"/>
      <c r="F6250" s="410"/>
      <c r="G6250" s="401"/>
      <c r="H6250" s="196"/>
      <c r="I6250" s="362"/>
      <c r="J6250" s="114"/>
      <c r="AT6250" s="117"/>
      <c r="AU6250" s="117"/>
      <c r="AV6250" s="117"/>
      <c r="AW6250" s="117"/>
      <c r="AX6250" s="117"/>
      <c r="AY6250" s="117"/>
      <c r="AZ6250" s="117"/>
      <c r="BA6250" s="117"/>
      <c r="BB6250" s="117"/>
      <c r="BC6250" s="117"/>
      <c r="BD6250" s="117"/>
    </row>
    <row r="6251" spans="1:56" ht="16.5">
      <c r="A6251" s="114"/>
      <c r="B6251" s="463" t="s">
        <v>1123</v>
      </c>
      <c r="C6251" s="464"/>
      <c r="D6251" s="457"/>
      <c r="E6251" s="397">
        <f>C6245*(((H6242+H6241)/2)*(C6242+0.05))</f>
        <v>51.581504746907221</v>
      </c>
      <c r="F6251" s="459" t="s">
        <v>1241</v>
      </c>
      <c r="G6251" s="401"/>
      <c r="H6251" s="362"/>
      <c r="I6251" s="362"/>
      <c r="J6251" s="114"/>
      <c r="AT6251" s="117"/>
      <c r="AU6251" s="117"/>
      <c r="AV6251" s="117"/>
      <c r="AW6251" s="117"/>
      <c r="AX6251" s="117"/>
      <c r="AY6251" s="117"/>
      <c r="AZ6251" s="117"/>
      <c r="BA6251" s="117"/>
      <c r="BB6251" s="117"/>
      <c r="BC6251" s="117"/>
      <c r="BD6251" s="117"/>
    </row>
    <row r="6252" spans="1:56" ht="16.5">
      <c r="A6252" s="114"/>
      <c r="B6252" s="463" t="s">
        <v>1125</v>
      </c>
      <c r="C6252" s="464"/>
      <c r="D6252" s="457"/>
      <c r="E6252" s="400">
        <f>E6251-(H6237*C6242*C6245)</f>
        <v>32.60950474690722</v>
      </c>
      <c r="F6252" s="459" t="s">
        <v>1241</v>
      </c>
      <c r="G6252" s="401"/>
      <c r="H6252" s="196"/>
      <c r="I6252" s="196"/>
      <c r="J6252" s="114"/>
      <c r="AW6252" s="117"/>
      <c r="AX6252" s="117"/>
      <c r="AY6252" s="117"/>
      <c r="AZ6252" s="117"/>
      <c r="BA6252" s="117"/>
      <c r="BB6252" s="117"/>
      <c r="BC6252" s="117"/>
      <c r="BD6252" s="117"/>
    </row>
    <row r="6253" spans="1:56" ht="15">
      <c r="A6253" s="114"/>
      <c r="B6253" s="463" t="s">
        <v>1126</v>
      </c>
      <c r="C6253" s="464"/>
      <c r="D6253" s="457"/>
      <c r="E6253" s="400">
        <f>C6245*((C6240+2*C6244)*(C6241+2*C6244))</f>
        <v>13.4015</v>
      </c>
      <c r="F6253" s="459" t="s">
        <v>13</v>
      </c>
      <c r="G6253" s="465"/>
      <c r="H6253" s="362"/>
      <c r="I6253" s="362"/>
      <c r="J6253" s="114"/>
      <c r="AW6253" s="117"/>
      <c r="AX6253" s="117"/>
      <c r="AY6253" s="117"/>
      <c r="AZ6253" s="117"/>
      <c r="BA6253" s="117"/>
      <c r="BB6253" s="117"/>
      <c r="BC6253" s="117"/>
      <c r="BD6253" s="117"/>
    </row>
    <row r="6254" spans="1:56" customFormat="1" ht="15">
      <c r="A6254" s="114"/>
      <c r="B6254" s="410"/>
      <c r="C6254" s="410"/>
      <c r="D6254" s="410"/>
      <c r="E6254" s="401"/>
      <c r="F6254" s="401"/>
      <c r="G6254" s="465"/>
      <c r="H6254" s="362"/>
      <c r="I6254" s="362"/>
      <c r="J6254" s="362"/>
    </row>
    <row r="6255" spans="1:56" customFormat="1" ht="15">
      <c r="A6255" s="114"/>
      <c r="B6255" s="303" t="s">
        <v>1242</v>
      </c>
      <c r="C6255" s="410"/>
      <c r="D6255" s="410"/>
      <c r="E6255" s="410"/>
      <c r="F6255" s="410"/>
      <c r="G6255" s="465"/>
      <c r="H6255" s="362"/>
      <c r="I6255" s="362"/>
      <c r="J6255" s="362"/>
    </row>
    <row r="6256" spans="1:56" ht="16.5">
      <c r="A6256" s="114"/>
      <c r="B6256" s="463" t="s">
        <v>1128</v>
      </c>
      <c r="C6256" s="464"/>
      <c r="D6256" s="457"/>
      <c r="E6256" s="402">
        <f>E6253*0.05</f>
        <v>0.67007500000000009</v>
      </c>
      <c r="F6256" s="459" t="s">
        <v>1241</v>
      </c>
      <c r="G6256" s="465"/>
      <c r="H6256" s="362"/>
      <c r="I6256" s="362"/>
      <c r="J6256" s="114"/>
      <c r="AU6256" s="117"/>
      <c r="AV6256" s="117"/>
      <c r="AW6256" s="117"/>
      <c r="AX6256" s="117"/>
      <c r="AY6256" s="117"/>
      <c r="AZ6256" s="117"/>
      <c r="BA6256" s="117"/>
      <c r="BB6256" s="117"/>
      <c r="BC6256" s="117"/>
      <c r="BD6256" s="117"/>
    </row>
    <row r="6257" spans="1:56" ht="15">
      <c r="A6257" s="114"/>
      <c r="B6257" s="463" t="s">
        <v>1129</v>
      </c>
      <c r="C6257" s="464"/>
      <c r="D6257" s="457"/>
      <c r="E6257" s="397">
        <f>C6245*((2*C6240+2*C6241)*C6242+(2*(C6240-C6237-C6238)+2*(C6241-2*C6237))*(C6242-C6239))</f>
        <v>40.496000000000002</v>
      </c>
      <c r="F6257" s="459" t="s">
        <v>13</v>
      </c>
      <c r="G6257" s="465"/>
      <c r="H6257" s="362"/>
      <c r="I6257" s="362"/>
      <c r="J6257" s="114"/>
      <c r="AU6257" s="117"/>
      <c r="AV6257" s="117"/>
      <c r="AW6257" s="117"/>
      <c r="AX6257" s="117"/>
      <c r="AY6257" s="117"/>
      <c r="AZ6257" s="117"/>
      <c r="BA6257" s="117"/>
      <c r="BB6257" s="117"/>
      <c r="BC6257" s="117"/>
      <c r="BD6257" s="117"/>
    </row>
    <row r="6258" spans="1:56" ht="16.5">
      <c r="A6258" s="114"/>
      <c r="B6258" s="463" t="s">
        <v>1130</v>
      </c>
      <c r="C6258" s="464"/>
      <c r="D6258" s="457"/>
      <c r="E6258" s="467">
        <f>((C6240*C6241*C6239)+((C6240*C6241)-((C6240-C6237-C6238)*(C6241-C6237-C6237))*(C6242-C6239)))*C6245</f>
        <v>5.3975999999999971</v>
      </c>
      <c r="F6258" s="459" t="s">
        <v>1241</v>
      </c>
      <c r="G6258" s="465"/>
      <c r="H6258" s="362"/>
      <c r="I6258" s="362"/>
      <c r="J6258" s="114"/>
      <c r="AU6258" s="117"/>
      <c r="AV6258" s="117"/>
      <c r="AW6258" s="117"/>
      <c r="AX6258" s="117"/>
      <c r="AY6258" s="117"/>
      <c r="AZ6258" s="117"/>
      <c r="BA6258" s="117"/>
      <c r="BB6258" s="117"/>
      <c r="BC6258" s="117"/>
      <c r="BD6258" s="117"/>
    </row>
    <row r="6259" spans="1:56" ht="15">
      <c r="A6259" s="449"/>
      <c r="B6259" s="494"/>
      <c r="C6259" s="494"/>
      <c r="D6259" s="494"/>
      <c r="E6259" s="494"/>
      <c r="F6259" s="494"/>
      <c r="G6259" s="362"/>
      <c r="H6259" s="362"/>
      <c r="I6259" s="362"/>
      <c r="J6259" s="114"/>
      <c r="AU6259" s="117"/>
      <c r="AV6259" s="117"/>
      <c r="AW6259" s="117"/>
      <c r="AX6259" s="117"/>
      <c r="AY6259" s="117"/>
      <c r="AZ6259" s="117"/>
      <c r="BA6259" s="117"/>
      <c r="BB6259" s="117"/>
      <c r="BC6259" s="117"/>
      <c r="BD6259" s="117"/>
    </row>
    <row r="6260" spans="1:56" ht="15">
      <c r="A6260" s="449"/>
      <c r="B6260" s="456"/>
      <c r="C6260" s="401"/>
      <c r="D6260" s="401"/>
      <c r="E6260" s="401"/>
      <c r="F6260" s="401"/>
      <c r="G6260" s="449"/>
      <c r="H6260" s="449"/>
      <c r="I6260" s="449"/>
      <c r="J6260" s="114"/>
      <c r="AU6260" s="117"/>
      <c r="AV6260" s="117"/>
      <c r="AW6260" s="117"/>
      <c r="AX6260" s="117"/>
      <c r="AY6260" s="117"/>
      <c r="AZ6260" s="117"/>
      <c r="BA6260" s="117"/>
      <c r="BB6260" s="117"/>
      <c r="BC6260" s="117"/>
      <c r="BD6260" s="117"/>
    </row>
    <row r="6261" spans="1:56" ht="15">
      <c r="A6261" s="466" t="s">
        <v>1105</v>
      </c>
      <c r="B6261" s="362"/>
      <c r="C6261" s="362"/>
      <c r="D6261" s="362"/>
      <c r="E6261" s="362"/>
      <c r="F6261" s="362"/>
      <c r="G6261" s="362"/>
      <c r="H6261" s="362"/>
      <c r="I6261" s="362"/>
      <c r="J6261" s="114"/>
      <c r="AU6261" s="117"/>
      <c r="AV6261" s="117"/>
      <c r="AW6261" s="117"/>
      <c r="AX6261" s="117"/>
      <c r="AY6261" s="117"/>
      <c r="AZ6261" s="117"/>
      <c r="BA6261" s="117"/>
      <c r="BB6261" s="117"/>
      <c r="BC6261" s="117"/>
      <c r="BD6261" s="117"/>
    </row>
    <row r="6262" spans="1:56">
      <c r="A6262" s="114"/>
      <c r="B6262" s="385" t="s">
        <v>1342</v>
      </c>
      <c r="C6262" s="140"/>
      <c r="D6262" s="140"/>
      <c r="E6262" s="140"/>
      <c r="F6262" s="401"/>
      <c r="G6262" s="401"/>
      <c r="H6262" s="401"/>
      <c r="I6262" s="401"/>
      <c r="J6262" s="114"/>
      <c r="AU6262" s="117"/>
      <c r="AV6262" s="117"/>
      <c r="AW6262" s="117"/>
      <c r="AX6262" s="117"/>
      <c r="AY6262" s="117"/>
      <c r="AZ6262" s="117"/>
      <c r="BA6262" s="117"/>
      <c r="BB6262" s="117"/>
      <c r="BC6262" s="117"/>
      <c r="BD6262" s="117"/>
    </row>
    <row r="6263" spans="1:56" ht="15">
      <c r="A6263" s="114"/>
      <c r="B6263" s="456"/>
      <c r="C6263" s="401"/>
      <c r="D6263" s="401"/>
      <c r="E6263" s="401"/>
      <c r="F6263" s="401"/>
      <c r="G6263" s="489"/>
      <c r="H6263" s="489"/>
      <c r="I6263" s="489"/>
      <c r="J6263" s="114"/>
      <c r="AU6263" s="117"/>
      <c r="AV6263" s="117"/>
      <c r="AW6263" s="117"/>
      <c r="AX6263" s="117"/>
      <c r="AY6263" s="117"/>
      <c r="AZ6263" s="117"/>
      <c r="BA6263" s="117"/>
      <c r="BB6263" s="117"/>
      <c r="BC6263" s="117"/>
      <c r="BD6263" s="117"/>
    </row>
    <row r="6264" spans="1:56" ht="18">
      <c r="A6264" s="114"/>
      <c r="B6264" s="457" t="s">
        <v>1141</v>
      </c>
      <c r="C6264" s="458">
        <v>0.3</v>
      </c>
      <c r="D6264" s="459" t="s">
        <v>10</v>
      </c>
      <c r="E6264" s="401"/>
      <c r="F6264" s="401"/>
      <c r="G6264" s="406" t="s">
        <v>1142</v>
      </c>
      <c r="H6264" s="407">
        <f>C6267*C6268</f>
        <v>20.552999999999997</v>
      </c>
      <c r="I6264" s="405" t="s">
        <v>1143</v>
      </c>
      <c r="J6264" s="114"/>
      <c r="AU6264" s="117"/>
      <c r="AV6264" s="117"/>
      <c r="AW6264" s="117"/>
      <c r="AX6264" s="117"/>
      <c r="AY6264" s="117"/>
      <c r="AZ6264" s="117"/>
      <c r="BA6264" s="117"/>
      <c r="BB6264" s="117"/>
      <c r="BC6264" s="117"/>
      <c r="BD6264" s="117"/>
    </row>
    <row r="6265" spans="1:56" ht="15">
      <c r="A6265" s="114"/>
      <c r="B6265" s="457" t="s">
        <v>1145</v>
      </c>
      <c r="C6265" s="458">
        <v>0.3</v>
      </c>
      <c r="D6265" s="459" t="s">
        <v>10</v>
      </c>
      <c r="E6265" s="401"/>
      <c r="F6265" s="401"/>
      <c r="G6265" s="406"/>
      <c r="H6265" s="407"/>
      <c r="I6265" s="405"/>
      <c r="J6265" s="114"/>
      <c r="AU6265" s="117"/>
      <c r="AV6265" s="117"/>
      <c r="AW6265" s="117"/>
      <c r="AX6265" s="117"/>
      <c r="AY6265" s="117"/>
      <c r="AZ6265" s="117"/>
      <c r="BA6265" s="117"/>
      <c r="BB6265" s="117"/>
      <c r="BC6265" s="117"/>
      <c r="BD6265" s="117"/>
    </row>
    <row r="6266" spans="1:56" ht="15">
      <c r="A6266" s="114"/>
      <c r="B6266" s="457" t="s">
        <v>1144</v>
      </c>
      <c r="C6266" s="458">
        <v>0.3</v>
      </c>
      <c r="D6266" s="459" t="s">
        <v>10</v>
      </c>
      <c r="E6266" s="401"/>
      <c r="F6266" s="401"/>
      <c r="G6266" s="406" t="e">
        <f>TEXT(C6275,"tg 0°=")</f>
        <v>#VALUE!</v>
      </c>
      <c r="H6266" s="408">
        <f>TAN(3.14159265359*C6275/180)</f>
        <v>1.732050807569153</v>
      </c>
      <c r="I6266" s="405"/>
      <c r="J6266" s="114"/>
      <c r="AU6266" s="117"/>
      <c r="AV6266" s="117"/>
      <c r="AW6266" s="117"/>
      <c r="AX6266" s="117"/>
      <c r="AY6266" s="117"/>
      <c r="AZ6266" s="117"/>
      <c r="BA6266" s="117"/>
      <c r="BB6266" s="117"/>
      <c r="BC6266" s="117"/>
      <c r="BD6266" s="117"/>
    </row>
    <row r="6267" spans="1:56" ht="15">
      <c r="A6267" s="114"/>
      <c r="B6267" s="457" t="s">
        <v>1110</v>
      </c>
      <c r="C6267" s="458">
        <v>3.9</v>
      </c>
      <c r="D6267" s="459" t="s">
        <v>10</v>
      </c>
      <c r="E6267" s="401"/>
      <c r="F6267" s="401"/>
      <c r="G6267" s="406"/>
      <c r="H6267" s="407"/>
      <c r="I6267" s="405"/>
      <c r="J6267" s="114"/>
      <c r="AU6267" s="117"/>
      <c r="AV6267" s="117"/>
      <c r="AW6267" s="117"/>
      <c r="AX6267" s="117"/>
      <c r="AY6267" s="117"/>
      <c r="AZ6267" s="117"/>
      <c r="BA6267" s="117"/>
      <c r="BB6267" s="117"/>
      <c r="BC6267" s="117"/>
      <c r="BD6267" s="117"/>
    </row>
    <row r="6268" spans="1:56" ht="18">
      <c r="A6268" s="114"/>
      <c r="B6268" s="457" t="s">
        <v>1111</v>
      </c>
      <c r="C6268" s="458">
        <v>5.27</v>
      </c>
      <c r="D6268" s="459" t="s">
        <v>10</v>
      </c>
      <c r="E6268" s="401"/>
      <c r="F6268" s="401"/>
      <c r="G6268" s="406" t="s">
        <v>1142</v>
      </c>
      <c r="H6268" s="409">
        <f>(C6267+2*C6270+((C6269+0.05)/H6266)*2)*(C6268+2*C6270+((C6269+0.05)/H6266)*2)</f>
        <v>55.634708272594246</v>
      </c>
      <c r="I6268" s="405" t="s">
        <v>1143</v>
      </c>
      <c r="J6268" s="114"/>
      <c r="AU6268" s="117"/>
      <c r="AV6268" s="117"/>
      <c r="AW6268" s="117"/>
      <c r="AX6268" s="117"/>
      <c r="AY6268" s="117"/>
      <c r="AZ6268" s="117"/>
      <c r="BA6268" s="117"/>
      <c r="BB6268" s="117"/>
      <c r="BC6268" s="117"/>
      <c r="BD6268" s="117"/>
    </row>
    <row r="6269" spans="1:56" ht="18">
      <c r="A6269" s="114"/>
      <c r="B6269" s="457" t="s">
        <v>1112</v>
      </c>
      <c r="C6269" s="458">
        <v>1.6</v>
      </c>
      <c r="D6269" s="459" t="s">
        <v>10</v>
      </c>
      <c r="E6269" s="288" t="s">
        <v>1239</v>
      </c>
      <c r="F6269" s="401"/>
      <c r="G6269" s="406" t="s">
        <v>1147</v>
      </c>
      <c r="H6269" s="409">
        <f>(C6267+2*C6270)*(C6268+2*C6270)</f>
        <v>30.722999999999999</v>
      </c>
      <c r="I6269" s="405" t="s">
        <v>1143</v>
      </c>
      <c r="J6269" s="114"/>
      <c r="AU6269" s="117"/>
      <c r="AV6269" s="117"/>
      <c r="AW6269" s="117"/>
      <c r="AX6269" s="117"/>
      <c r="AY6269" s="117"/>
      <c r="AZ6269" s="117"/>
      <c r="BA6269" s="117"/>
      <c r="BB6269" s="117"/>
      <c r="BC6269" s="117"/>
      <c r="BD6269" s="117"/>
    </row>
    <row r="6270" spans="1:56" ht="15">
      <c r="A6270" s="114"/>
      <c r="B6270" s="457" t="s">
        <v>1113</v>
      </c>
      <c r="C6270" s="458">
        <v>0.5</v>
      </c>
      <c r="D6270" s="459" t="s">
        <v>10</v>
      </c>
      <c r="E6270" s="361" t="s">
        <v>1120</v>
      </c>
      <c r="F6270" s="401"/>
      <c r="G6270" s="406"/>
      <c r="H6270" s="407"/>
      <c r="I6270" s="405"/>
      <c r="J6270" s="114"/>
      <c r="AU6270" s="117"/>
      <c r="AV6270" s="117"/>
      <c r="AW6270" s="117"/>
      <c r="AX6270" s="117"/>
      <c r="AY6270" s="117"/>
      <c r="AZ6270" s="117"/>
      <c r="BA6270" s="117"/>
      <c r="BB6270" s="117"/>
      <c r="BC6270" s="117"/>
      <c r="BD6270" s="117"/>
    </row>
    <row r="6271" spans="1:56" ht="15">
      <c r="A6271" s="114"/>
      <c r="B6271" s="457" t="s">
        <v>1113</v>
      </c>
      <c r="C6271" s="458">
        <v>0.1</v>
      </c>
      <c r="D6271" s="459" t="s">
        <v>10</v>
      </c>
      <c r="E6271" s="361" t="s">
        <v>1121</v>
      </c>
      <c r="F6271" s="401"/>
      <c r="G6271" s="392"/>
      <c r="H6271" s="393"/>
      <c r="I6271" s="196"/>
      <c r="J6271" s="114"/>
      <c r="AU6271" s="117"/>
      <c r="AV6271" s="117"/>
      <c r="AW6271" s="117"/>
      <c r="AX6271" s="117"/>
      <c r="AY6271" s="117"/>
      <c r="AZ6271" s="117"/>
      <c r="BA6271" s="117"/>
      <c r="BB6271" s="117"/>
      <c r="BC6271" s="117"/>
      <c r="BD6271" s="117"/>
    </row>
    <row r="6272" spans="1:56" ht="15">
      <c r="A6272" s="114"/>
      <c r="B6272" s="457" t="s">
        <v>1117</v>
      </c>
      <c r="C6272" s="460">
        <v>1</v>
      </c>
      <c r="D6272" s="459" t="s">
        <v>1118</v>
      </c>
      <c r="E6272" s="401"/>
      <c r="F6272" s="401"/>
      <c r="G6272" s="401"/>
      <c r="H6272" s="392"/>
      <c r="I6272" s="393"/>
      <c r="J6272" s="114"/>
      <c r="AU6272" s="117"/>
      <c r="AV6272" s="117"/>
      <c r="AW6272" s="117"/>
      <c r="AX6272" s="117"/>
      <c r="AY6272" s="117"/>
      <c r="AZ6272" s="117"/>
      <c r="BA6272" s="117"/>
      <c r="BB6272" s="117"/>
      <c r="BC6272" s="117"/>
      <c r="BD6272" s="117"/>
    </row>
    <row r="6273" spans="1:56" ht="15">
      <c r="A6273" s="114"/>
      <c r="B6273" s="410"/>
      <c r="C6273" s="410"/>
      <c r="D6273" s="410"/>
      <c r="E6273" s="410"/>
      <c r="F6273" s="401"/>
      <c r="G6273" s="401"/>
      <c r="H6273" s="392"/>
      <c r="I6273" s="393"/>
      <c r="J6273" s="114"/>
      <c r="AU6273" s="117"/>
      <c r="AV6273" s="117"/>
      <c r="AW6273" s="117"/>
      <c r="AX6273" s="117"/>
      <c r="AY6273" s="117"/>
      <c r="AZ6273" s="117"/>
      <c r="BA6273" s="117"/>
      <c r="BB6273" s="117"/>
      <c r="BC6273" s="117"/>
      <c r="BD6273" s="117"/>
    </row>
    <row r="6274" spans="1:56" ht="15">
      <c r="A6274" s="114"/>
      <c r="B6274" s="401" t="s">
        <v>1148</v>
      </c>
      <c r="C6274" s="461"/>
      <c r="D6274" s="401"/>
      <c r="E6274" s="401"/>
      <c r="F6274" s="401"/>
      <c r="G6274" s="401"/>
      <c r="H6274" s="392"/>
      <c r="I6274" s="393"/>
      <c r="J6274" s="114"/>
      <c r="AU6274" s="117"/>
      <c r="AV6274" s="117"/>
      <c r="AW6274" s="117"/>
      <c r="AX6274" s="117"/>
      <c r="AY6274" s="117"/>
      <c r="AZ6274" s="117"/>
      <c r="BA6274" s="117"/>
      <c r="BB6274" s="117"/>
      <c r="BC6274" s="117"/>
      <c r="BD6274" s="117"/>
    </row>
    <row r="6275" spans="1:56" ht="15">
      <c r="A6275" s="114"/>
      <c r="B6275" s="457" t="s">
        <v>1149</v>
      </c>
      <c r="C6275" s="462">
        <v>60</v>
      </c>
      <c r="D6275" s="459" t="s">
        <v>1150</v>
      </c>
      <c r="E6275" s="401"/>
      <c r="F6275" s="401"/>
      <c r="G6275" s="114"/>
      <c r="H6275" s="468" t="s">
        <v>1240</v>
      </c>
      <c r="I6275" s="362"/>
      <c r="J6275" s="114"/>
      <c r="AU6275" s="117"/>
      <c r="AV6275" s="117"/>
      <c r="AW6275" s="117"/>
      <c r="AX6275" s="117"/>
      <c r="AY6275" s="117"/>
      <c r="AZ6275" s="117"/>
      <c r="BA6275" s="117"/>
      <c r="BB6275" s="117"/>
      <c r="BC6275" s="117"/>
      <c r="BD6275" s="117"/>
    </row>
    <row r="6276" spans="1:56" ht="15">
      <c r="A6276" s="114"/>
      <c r="B6276" s="410"/>
      <c r="C6276" s="410"/>
      <c r="D6276" s="410"/>
      <c r="E6276" s="410"/>
      <c r="F6276" s="410"/>
      <c r="G6276" s="410"/>
      <c r="H6276" s="362"/>
      <c r="I6276" s="362"/>
      <c r="J6276" s="114"/>
      <c r="AW6276" s="117"/>
      <c r="AX6276" s="117"/>
      <c r="AY6276" s="117"/>
      <c r="AZ6276" s="117"/>
      <c r="BA6276" s="117"/>
      <c r="BB6276" s="117"/>
      <c r="BC6276" s="117"/>
      <c r="BD6276" s="117"/>
    </row>
    <row r="6277" spans="1:56" ht="15">
      <c r="A6277" s="114"/>
      <c r="B6277" s="303" t="s">
        <v>1122</v>
      </c>
      <c r="C6277" s="410"/>
      <c r="D6277" s="410"/>
      <c r="E6277" s="410"/>
      <c r="F6277" s="410"/>
      <c r="G6277" s="401"/>
      <c r="H6277" s="196"/>
      <c r="I6277" s="362"/>
      <c r="J6277" s="114"/>
      <c r="AW6277" s="117"/>
      <c r="AX6277" s="117"/>
      <c r="AY6277" s="117"/>
      <c r="AZ6277" s="117"/>
      <c r="BA6277" s="117"/>
      <c r="BB6277" s="117"/>
      <c r="BC6277" s="117"/>
      <c r="BD6277" s="117"/>
    </row>
    <row r="6278" spans="1:56" ht="16.5">
      <c r="A6278" s="114"/>
      <c r="B6278" s="463" t="s">
        <v>1123</v>
      </c>
      <c r="C6278" s="464"/>
      <c r="D6278" s="457"/>
      <c r="E6278" s="397">
        <f>C6272*(((H6269+H6268)/2)*(C6269+0.05))</f>
        <v>71.245109324890251</v>
      </c>
      <c r="F6278" s="459" t="s">
        <v>1241</v>
      </c>
      <c r="G6278" s="401"/>
      <c r="H6278" s="362"/>
      <c r="I6278" s="362"/>
      <c r="J6278" s="114"/>
      <c r="AW6278" s="117"/>
      <c r="AX6278" s="117"/>
      <c r="AY6278" s="117"/>
      <c r="AZ6278" s="117"/>
      <c r="BA6278" s="117"/>
      <c r="BB6278" s="117"/>
      <c r="BC6278" s="117"/>
      <c r="BD6278" s="117"/>
    </row>
    <row r="6279" spans="1:56" ht="16.5">
      <c r="A6279" s="114"/>
      <c r="B6279" s="463" t="s">
        <v>1125</v>
      </c>
      <c r="C6279" s="464"/>
      <c r="D6279" s="457"/>
      <c r="E6279" s="400">
        <f>E6278-(H6264*C6269*C6272)</f>
        <v>38.360309324890252</v>
      </c>
      <c r="F6279" s="459" t="s">
        <v>1241</v>
      </c>
      <c r="G6279" s="401"/>
      <c r="H6279" s="196"/>
      <c r="I6279" s="196"/>
      <c r="J6279" s="114"/>
      <c r="AW6279" s="117"/>
      <c r="AX6279" s="117"/>
      <c r="AY6279" s="117"/>
      <c r="AZ6279" s="117"/>
      <c r="BA6279" s="117"/>
      <c r="BB6279" s="117"/>
      <c r="BC6279" s="117"/>
      <c r="BD6279" s="117"/>
    </row>
    <row r="6280" spans="1:56" ht="15">
      <c r="A6280" s="114"/>
      <c r="B6280" s="463" t="s">
        <v>1126</v>
      </c>
      <c r="C6280" s="464"/>
      <c r="D6280" s="457"/>
      <c r="E6280" s="400">
        <f>C6272*((C6267+2*C6271)*(C6268+2*C6271))</f>
        <v>22.426999999999996</v>
      </c>
      <c r="F6280" s="459" t="s">
        <v>13</v>
      </c>
      <c r="G6280" s="465"/>
      <c r="H6280" s="362"/>
      <c r="I6280" s="362"/>
      <c r="J6280" s="114"/>
      <c r="AW6280" s="117"/>
      <c r="AX6280" s="117"/>
      <c r="AY6280" s="117"/>
      <c r="AZ6280" s="117"/>
      <c r="BA6280" s="117"/>
      <c r="BB6280" s="117"/>
      <c r="BC6280" s="117"/>
      <c r="BD6280" s="117"/>
    </row>
    <row r="6281" spans="1:56" ht="15">
      <c r="A6281" s="114"/>
      <c r="B6281" s="410"/>
      <c r="C6281" s="410"/>
      <c r="D6281" s="410"/>
      <c r="E6281" s="401"/>
      <c r="F6281" s="401"/>
      <c r="G6281" s="465"/>
      <c r="H6281" s="362"/>
      <c r="I6281" s="362"/>
      <c r="J6281" s="114"/>
      <c r="AW6281" s="117"/>
      <c r="AX6281" s="117"/>
      <c r="AY6281" s="117"/>
      <c r="AZ6281" s="117"/>
      <c r="BA6281" s="117"/>
      <c r="BB6281" s="117"/>
      <c r="BC6281" s="117"/>
      <c r="BD6281" s="117"/>
    </row>
    <row r="6282" spans="1:56" ht="15">
      <c r="A6282" s="114"/>
      <c r="B6282" s="303" t="s">
        <v>1242</v>
      </c>
      <c r="C6282" s="410"/>
      <c r="D6282" s="410"/>
      <c r="E6282" s="410"/>
      <c r="F6282" s="410"/>
      <c r="G6282" s="465"/>
      <c r="H6282" s="362"/>
      <c r="I6282" s="362"/>
      <c r="J6282" s="114"/>
      <c r="AW6282" s="117"/>
      <c r="AX6282" s="117"/>
      <c r="AY6282" s="117"/>
      <c r="AZ6282" s="117"/>
      <c r="BA6282" s="117"/>
      <c r="BB6282" s="117"/>
      <c r="BC6282" s="117"/>
      <c r="BD6282" s="117"/>
    </row>
    <row r="6283" spans="1:56" ht="16.5">
      <c r="A6283" s="114"/>
      <c r="B6283" s="463" t="s">
        <v>1128</v>
      </c>
      <c r="C6283" s="464"/>
      <c r="D6283" s="457"/>
      <c r="E6283" s="402">
        <f>E6280*0.05</f>
        <v>1.1213499999999998</v>
      </c>
      <c r="F6283" s="459" t="s">
        <v>1241</v>
      </c>
      <c r="G6283" s="465"/>
      <c r="H6283" s="362"/>
      <c r="I6283" s="362"/>
      <c r="J6283" s="114"/>
      <c r="AW6283" s="117"/>
      <c r="AX6283" s="117"/>
      <c r="AY6283" s="117"/>
      <c r="AZ6283" s="117"/>
      <c r="BA6283" s="117"/>
      <c r="BB6283" s="117"/>
      <c r="BC6283" s="117"/>
      <c r="BD6283" s="117"/>
    </row>
    <row r="6284" spans="1:56" ht="15">
      <c r="A6284" s="114"/>
      <c r="B6284" s="463" t="s">
        <v>1129</v>
      </c>
      <c r="C6284" s="464"/>
      <c r="D6284" s="457"/>
      <c r="E6284" s="397">
        <f>C6272*((2*C6267+2*C6268)*C6269+(2*(C6267-C6264-C6265)+2*(C6268-2*C6264))*(C6269-C6266))</f>
        <v>50.066000000000003</v>
      </c>
      <c r="F6284" s="459" t="s">
        <v>13</v>
      </c>
      <c r="G6284" s="465"/>
      <c r="H6284" s="362"/>
      <c r="I6284" s="362"/>
      <c r="J6284" s="114"/>
      <c r="AW6284" s="117"/>
      <c r="AX6284" s="117"/>
      <c r="AY6284" s="117"/>
      <c r="AZ6284" s="117"/>
      <c r="BA6284" s="117"/>
      <c r="BB6284" s="117"/>
      <c r="BC6284" s="117"/>
      <c r="BD6284" s="117"/>
    </row>
    <row r="6285" spans="1:56" ht="16.5">
      <c r="A6285" s="114"/>
      <c r="B6285" s="463" t="s">
        <v>1130</v>
      </c>
      <c r="C6285" s="464"/>
      <c r="D6285" s="457"/>
      <c r="E6285" s="467">
        <f>((C6267*C6268*C6266)+((C6267*C6268)-((C6267-C6264-C6265)*(C6268-C6264-C6264))*(C6269-C6266)))*C6272</f>
        <v>6.6845999999999943</v>
      </c>
      <c r="F6285" s="459" t="s">
        <v>1241</v>
      </c>
      <c r="G6285" s="465"/>
      <c r="H6285" s="362"/>
      <c r="I6285" s="362"/>
      <c r="J6285" s="114"/>
      <c r="AW6285" s="117"/>
      <c r="AX6285" s="117"/>
      <c r="AY6285" s="117"/>
      <c r="AZ6285" s="117"/>
      <c r="BA6285" s="117"/>
      <c r="BB6285" s="117"/>
      <c r="BC6285" s="117"/>
      <c r="BD6285" s="117"/>
    </row>
    <row r="6286" spans="1:56">
      <c r="A6286" s="114"/>
      <c r="B6286" s="115"/>
      <c r="C6286" s="115"/>
      <c r="D6286" s="115"/>
      <c r="E6286" s="115"/>
      <c r="F6286" s="115"/>
      <c r="G6286" s="115"/>
      <c r="H6286" s="115"/>
      <c r="I6286" s="115"/>
      <c r="J6286" s="114"/>
      <c r="AW6286" s="117"/>
      <c r="AX6286" s="117"/>
      <c r="AY6286" s="117"/>
      <c r="AZ6286" s="117"/>
      <c r="BA6286" s="117"/>
      <c r="BB6286" s="117"/>
      <c r="BC6286" s="117"/>
      <c r="BD6286" s="117"/>
    </row>
    <row r="6287" spans="1:56" ht="15">
      <c r="A6287" s="449"/>
      <c r="B6287" s="456"/>
      <c r="C6287" s="401"/>
      <c r="D6287" s="401"/>
      <c r="E6287" s="401"/>
      <c r="F6287" s="401"/>
      <c r="G6287" s="449"/>
      <c r="H6287" s="449"/>
      <c r="I6287" s="449"/>
      <c r="J6287" s="114"/>
      <c r="AW6287" s="117"/>
      <c r="AX6287" s="117"/>
      <c r="AY6287" s="117"/>
      <c r="AZ6287" s="117"/>
      <c r="BA6287" s="117"/>
      <c r="BB6287" s="117"/>
      <c r="BC6287" s="117"/>
      <c r="BD6287" s="117"/>
    </row>
    <row r="6288" spans="1:56" ht="15">
      <c r="A6288" s="466" t="s">
        <v>1105</v>
      </c>
      <c r="B6288" s="362"/>
      <c r="C6288" s="362"/>
      <c r="D6288" s="362"/>
      <c r="E6288" s="362"/>
      <c r="F6288" s="362"/>
      <c r="G6288" s="362"/>
      <c r="H6288" s="362"/>
      <c r="I6288" s="362"/>
      <c r="J6288" s="114"/>
      <c r="AW6288" s="117"/>
      <c r="AX6288" s="117"/>
      <c r="AY6288" s="117"/>
      <c r="AZ6288" s="117"/>
      <c r="BA6288" s="117"/>
      <c r="BB6288" s="117"/>
      <c r="BC6288" s="117"/>
      <c r="BD6288" s="117"/>
    </row>
    <row r="6289" spans="1:56">
      <c r="A6289" s="114"/>
      <c r="B6289" s="385" t="s">
        <v>1343</v>
      </c>
      <c r="C6289" s="140"/>
      <c r="D6289" s="140"/>
      <c r="E6289" s="140"/>
      <c r="F6289" s="401"/>
      <c r="G6289" s="401"/>
      <c r="H6289" s="401"/>
      <c r="I6289" s="401"/>
      <c r="J6289" s="114"/>
      <c r="AW6289" s="117"/>
      <c r="AX6289" s="117"/>
      <c r="AY6289" s="117"/>
      <c r="AZ6289" s="117"/>
      <c r="BA6289" s="117"/>
      <c r="BB6289" s="117"/>
      <c r="BC6289" s="117"/>
      <c r="BD6289" s="117"/>
    </row>
    <row r="6290" spans="1:56" ht="15">
      <c r="A6290" s="114"/>
      <c r="B6290" s="456"/>
      <c r="C6290" s="401"/>
      <c r="D6290" s="401"/>
      <c r="E6290" s="401"/>
      <c r="F6290" s="401"/>
      <c r="G6290" s="489"/>
      <c r="H6290" s="489"/>
      <c r="I6290" s="489"/>
      <c r="J6290" s="114"/>
      <c r="AW6290" s="117"/>
      <c r="AX6290" s="117"/>
      <c r="AY6290" s="117"/>
      <c r="AZ6290" s="117"/>
      <c r="BA6290" s="117"/>
      <c r="BB6290" s="117"/>
      <c r="BC6290" s="117"/>
      <c r="BD6290" s="117"/>
    </row>
    <row r="6291" spans="1:56" ht="18">
      <c r="A6291" s="114"/>
      <c r="B6291" s="457" t="s">
        <v>1141</v>
      </c>
      <c r="C6291" s="458">
        <v>0.3</v>
      </c>
      <c r="D6291" s="459" t="s">
        <v>10</v>
      </c>
      <c r="E6291" s="401"/>
      <c r="F6291" s="401"/>
      <c r="G6291" s="406" t="s">
        <v>1142</v>
      </c>
      <c r="H6291" s="407">
        <f>C6294*C6295</f>
        <v>11.857499999999998</v>
      </c>
      <c r="I6291" s="405" t="s">
        <v>1143</v>
      </c>
      <c r="J6291" s="114"/>
      <c r="AW6291" s="117"/>
      <c r="AX6291" s="117"/>
      <c r="AY6291" s="117"/>
      <c r="AZ6291" s="117"/>
      <c r="BA6291" s="117"/>
      <c r="BB6291" s="117"/>
      <c r="BC6291" s="117"/>
      <c r="BD6291" s="117"/>
    </row>
    <row r="6292" spans="1:56" ht="15">
      <c r="A6292" s="114"/>
      <c r="B6292" s="457" t="s">
        <v>1145</v>
      </c>
      <c r="C6292" s="458">
        <v>0.3</v>
      </c>
      <c r="D6292" s="459" t="s">
        <v>10</v>
      </c>
      <c r="E6292" s="401"/>
      <c r="F6292" s="401"/>
      <c r="G6292" s="406"/>
      <c r="H6292" s="407"/>
      <c r="I6292" s="405"/>
      <c r="J6292" s="114"/>
      <c r="AW6292" s="117"/>
      <c r="AX6292" s="117"/>
      <c r="AY6292" s="117"/>
      <c r="AZ6292" s="117"/>
      <c r="BA6292" s="117"/>
      <c r="BB6292" s="117"/>
      <c r="BC6292" s="117"/>
      <c r="BD6292" s="117"/>
    </row>
    <row r="6293" spans="1:56" ht="15">
      <c r="A6293" s="114"/>
      <c r="B6293" s="457" t="s">
        <v>1144</v>
      </c>
      <c r="C6293" s="458">
        <v>0.3</v>
      </c>
      <c r="D6293" s="459" t="s">
        <v>10</v>
      </c>
      <c r="E6293" s="401"/>
      <c r="F6293" s="401"/>
      <c r="G6293" s="406" t="e">
        <f>TEXT(C6302,"tg 0°=")</f>
        <v>#VALUE!</v>
      </c>
      <c r="H6293" s="408">
        <f>TAN(3.14159265359*C6302/180)</f>
        <v>1.732050807569153</v>
      </c>
      <c r="I6293" s="405"/>
      <c r="J6293" s="114"/>
      <c r="AW6293" s="117"/>
      <c r="AX6293" s="117"/>
      <c r="AY6293" s="117"/>
      <c r="AZ6293" s="117"/>
      <c r="BA6293" s="117"/>
      <c r="BB6293" s="117"/>
      <c r="BC6293" s="117"/>
      <c r="BD6293" s="117"/>
    </row>
    <row r="6294" spans="1:56" ht="15">
      <c r="A6294" s="114"/>
      <c r="B6294" s="457" t="s">
        <v>1110</v>
      </c>
      <c r="C6294" s="458">
        <v>2.25</v>
      </c>
      <c r="D6294" s="459" t="s">
        <v>10</v>
      </c>
      <c r="E6294" s="401"/>
      <c r="F6294" s="401"/>
      <c r="G6294" s="406"/>
      <c r="H6294" s="407"/>
      <c r="I6294" s="405"/>
      <c r="J6294" s="114"/>
      <c r="AW6294" s="117"/>
      <c r="AX6294" s="117"/>
      <c r="AY6294" s="117"/>
      <c r="AZ6294" s="117"/>
      <c r="BA6294" s="117"/>
      <c r="BB6294" s="117"/>
      <c r="BC6294" s="117"/>
      <c r="BD6294" s="117"/>
    </row>
    <row r="6295" spans="1:56" ht="18">
      <c r="A6295" s="114"/>
      <c r="B6295" s="457" t="s">
        <v>1111</v>
      </c>
      <c r="C6295" s="458">
        <v>5.27</v>
      </c>
      <c r="D6295" s="459" t="s">
        <v>10</v>
      </c>
      <c r="E6295" s="401"/>
      <c r="F6295" s="401"/>
      <c r="G6295" s="406" t="s">
        <v>1142</v>
      </c>
      <c r="H6295" s="409">
        <f>(C6294+2*C6297+((C6296+0.05)/H6293)*2)*(C6295+2*C6297+((C6296+0.05)/H6293)*2)</f>
        <v>42.145536056857239</v>
      </c>
      <c r="I6295" s="405" t="s">
        <v>1143</v>
      </c>
      <c r="J6295" s="114"/>
      <c r="AW6295" s="117"/>
      <c r="AX6295" s="117"/>
      <c r="AY6295" s="117"/>
      <c r="AZ6295" s="117"/>
      <c r="BA6295" s="117"/>
      <c r="BB6295" s="117"/>
      <c r="BC6295" s="117"/>
      <c r="BD6295" s="117"/>
    </row>
    <row r="6296" spans="1:56" ht="18">
      <c r="A6296" s="114"/>
      <c r="B6296" s="457" t="s">
        <v>1112</v>
      </c>
      <c r="C6296" s="458">
        <v>1.6</v>
      </c>
      <c r="D6296" s="459" t="s">
        <v>10</v>
      </c>
      <c r="E6296" s="288" t="s">
        <v>1239</v>
      </c>
      <c r="F6296" s="401"/>
      <c r="G6296" s="406" t="s">
        <v>1147</v>
      </c>
      <c r="H6296" s="409">
        <f>(C6294+2*C6297)*(C6295+2*C6297)</f>
        <v>20.377499999999998</v>
      </c>
      <c r="I6296" s="405" t="s">
        <v>1143</v>
      </c>
      <c r="J6296" s="114"/>
      <c r="AW6296" s="117"/>
      <c r="AX6296" s="117"/>
      <c r="AY6296" s="117"/>
      <c r="AZ6296" s="117"/>
      <c r="BA6296" s="117"/>
      <c r="BB6296" s="117"/>
      <c r="BC6296" s="117"/>
      <c r="BD6296" s="117"/>
    </row>
    <row r="6297" spans="1:56" ht="15">
      <c r="A6297" s="114"/>
      <c r="B6297" s="457" t="s">
        <v>1113</v>
      </c>
      <c r="C6297" s="458">
        <v>0.5</v>
      </c>
      <c r="D6297" s="459" t="s">
        <v>10</v>
      </c>
      <c r="E6297" s="361" t="s">
        <v>1120</v>
      </c>
      <c r="F6297" s="401"/>
      <c r="G6297" s="406"/>
      <c r="H6297" s="407"/>
      <c r="I6297" s="405"/>
      <c r="J6297" s="114"/>
      <c r="AW6297" s="117"/>
      <c r="AX6297" s="117"/>
      <c r="AY6297" s="117"/>
      <c r="AZ6297" s="117"/>
      <c r="BA6297" s="117"/>
      <c r="BB6297" s="117"/>
      <c r="BC6297" s="117"/>
      <c r="BD6297" s="117"/>
    </row>
    <row r="6298" spans="1:56" ht="15">
      <c r="A6298" s="114"/>
      <c r="B6298" s="457" t="s">
        <v>1113</v>
      </c>
      <c r="C6298" s="458">
        <v>0.1</v>
      </c>
      <c r="D6298" s="459" t="s">
        <v>10</v>
      </c>
      <c r="E6298" s="361" t="s">
        <v>1121</v>
      </c>
      <c r="F6298" s="401"/>
      <c r="G6298" s="392"/>
      <c r="H6298" s="393"/>
      <c r="I6298" s="196"/>
      <c r="J6298" s="114"/>
      <c r="AW6298" s="117"/>
      <c r="AX6298" s="117"/>
      <c r="AY6298" s="117"/>
      <c r="AZ6298" s="117"/>
      <c r="BA6298" s="117"/>
      <c r="BB6298" s="117"/>
      <c r="BC6298" s="117"/>
      <c r="BD6298" s="117"/>
    </row>
    <row r="6299" spans="1:56" ht="15">
      <c r="A6299" s="114"/>
      <c r="B6299" s="457" t="s">
        <v>1117</v>
      </c>
      <c r="C6299" s="460">
        <v>1</v>
      </c>
      <c r="D6299" s="459" t="s">
        <v>1118</v>
      </c>
      <c r="E6299" s="401"/>
      <c r="F6299" s="401"/>
      <c r="G6299" s="401"/>
      <c r="H6299" s="392"/>
      <c r="I6299" s="393"/>
      <c r="J6299" s="114"/>
      <c r="AW6299" s="117"/>
      <c r="AX6299" s="117"/>
      <c r="AY6299" s="117"/>
      <c r="AZ6299" s="117"/>
      <c r="BA6299" s="117"/>
      <c r="BB6299" s="117"/>
      <c r="BC6299" s="117"/>
      <c r="BD6299" s="117"/>
    </row>
    <row r="6300" spans="1:56" ht="15">
      <c r="A6300" s="114"/>
      <c r="B6300" s="410"/>
      <c r="C6300" s="410"/>
      <c r="D6300" s="410"/>
      <c r="E6300" s="410"/>
      <c r="F6300" s="401"/>
      <c r="G6300" s="401"/>
      <c r="H6300" s="392"/>
      <c r="I6300" s="393"/>
      <c r="J6300" s="114"/>
      <c r="AW6300" s="117"/>
      <c r="AX6300" s="117"/>
      <c r="AY6300" s="117"/>
      <c r="AZ6300" s="117"/>
      <c r="BA6300" s="117"/>
      <c r="BB6300" s="117"/>
      <c r="BC6300" s="117"/>
      <c r="BD6300" s="117"/>
    </row>
    <row r="6301" spans="1:56" ht="15">
      <c r="A6301" s="114"/>
      <c r="B6301" s="401" t="s">
        <v>1148</v>
      </c>
      <c r="C6301" s="461"/>
      <c r="D6301" s="401"/>
      <c r="E6301" s="401"/>
      <c r="F6301" s="401"/>
      <c r="G6301" s="401"/>
      <c r="H6301" s="392"/>
      <c r="I6301" s="393"/>
      <c r="J6301" s="114"/>
      <c r="AW6301" s="117"/>
      <c r="AX6301" s="117"/>
      <c r="AY6301" s="117"/>
      <c r="AZ6301" s="117"/>
      <c r="BA6301" s="117"/>
      <c r="BB6301" s="117"/>
      <c r="BC6301" s="117"/>
      <c r="BD6301" s="117"/>
    </row>
    <row r="6302" spans="1:56" ht="15">
      <c r="A6302" s="114"/>
      <c r="B6302" s="457" t="s">
        <v>1149</v>
      </c>
      <c r="C6302" s="462">
        <v>60</v>
      </c>
      <c r="D6302" s="459" t="s">
        <v>1150</v>
      </c>
      <c r="E6302" s="401"/>
      <c r="F6302" s="401"/>
      <c r="G6302" s="114"/>
      <c r="H6302" s="468" t="s">
        <v>1240</v>
      </c>
      <c r="I6302" s="362"/>
      <c r="J6302" s="114"/>
      <c r="AW6302" s="117"/>
      <c r="AX6302" s="117"/>
      <c r="AY6302" s="117"/>
      <c r="AZ6302" s="117"/>
      <c r="BA6302" s="117"/>
      <c r="BB6302" s="117"/>
      <c r="BC6302" s="117"/>
      <c r="BD6302" s="117"/>
    </row>
    <row r="6303" spans="1:56" ht="15">
      <c r="A6303" s="114"/>
      <c r="B6303" s="410"/>
      <c r="C6303" s="410"/>
      <c r="D6303" s="410"/>
      <c r="E6303" s="410"/>
      <c r="F6303" s="410"/>
      <c r="G6303" s="410"/>
      <c r="H6303" s="362"/>
      <c r="I6303" s="362"/>
      <c r="J6303" s="114"/>
      <c r="AW6303" s="117"/>
      <c r="AX6303" s="117"/>
      <c r="AY6303" s="117"/>
      <c r="AZ6303" s="117"/>
      <c r="BA6303" s="117"/>
      <c r="BB6303" s="117"/>
      <c r="BC6303" s="117"/>
      <c r="BD6303" s="117"/>
    </row>
    <row r="6304" spans="1:56" ht="15">
      <c r="A6304" s="114"/>
      <c r="B6304" s="303" t="s">
        <v>1122</v>
      </c>
      <c r="C6304" s="410"/>
      <c r="D6304" s="410"/>
      <c r="E6304" s="410"/>
      <c r="F6304" s="410"/>
      <c r="G6304" s="401"/>
      <c r="H6304" s="196"/>
      <c r="I6304" s="362"/>
      <c r="J6304" s="114"/>
      <c r="AW6304" s="117"/>
      <c r="AX6304" s="117"/>
      <c r="AY6304" s="117"/>
      <c r="AZ6304" s="117"/>
      <c r="BA6304" s="117"/>
      <c r="BB6304" s="117"/>
      <c r="BC6304" s="117"/>
      <c r="BD6304" s="117"/>
    </row>
    <row r="6305" spans="1:56" ht="16.5">
      <c r="A6305" s="114"/>
      <c r="B6305" s="463" t="s">
        <v>1123</v>
      </c>
      <c r="C6305" s="464"/>
      <c r="D6305" s="457"/>
      <c r="E6305" s="397">
        <f>C6299*(((H6296+H6295)/2)*(C6296+0.05))</f>
        <v>51.581504746907221</v>
      </c>
      <c r="F6305" s="459" t="s">
        <v>1241</v>
      </c>
      <c r="G6305" s="401"/>
      <c r="H6305" s="362"/>
      <c r="I6305" s="362"/>
      <c r="J6305" s="114"/>
      <c r="AW6305" s="117"/>
      <c r="AX6305" s="117"/>
      <c r="AY6305" s="117"/>
      <c r="AZ6305" s="117"/>
      <c r="BA6305" s="117"/>
      <c r="BB6305" s="117"/>
      <c r="BC6305" s="117"/>
      <c r="BD6305" s="117"/>
    </row>
    <row r="6306" spans="1:56" ht="16.5">
      <c r="A6306" s="114"/>
      <c r="B6306" s="463" t="s">
        <v>1125</v>
      </c>
      <c r="C6306" s="464"/>
      <c r="D6306" s="457"/>
      <c r="E6306" s="400">
        <f>E6305-(H6291*C6296*C6299)</f>
        <v>32.60950474690722</v>
      </c>
      <c r="F6306" s="459" t="s">
        <v>1241</v>
      </c>
      <c r="G6306" s="401"/>
      <c r="H6306" s="196"/>
      <c r="I6306" s="196"/>
      <c r="J6306" s="114"/>
      <c r="AW6306" s="117"/>
      <c r="AX6306" s="117"/>
      <c r="AY6306" s="117"/>
      <c r="AZ6306" s="117"/>
      <c r="BA6306" s="117"/>
      <c r="BB6306" s="117"/>
      <c r="BC6306" s="117"/>
      <c r="BD6306" s="117"/>
    </row>
    <row r="6307" spans="1:56" ht="15">
      <c r="A6307" s="114"/>
      <c r="B6307" s="463" t="s">
        <v>1126</v>
      </c>
      <c r="C6307" s="464"/>
      <c r="D6307" s="457"/>
      <c r="E6307" s="400">
        <f>C6299*((C6294+2*C6298)*(C6295+2*C6298))</f>
        <v>13.4015</v>
      </c>
      <c r="F6307" s="459" t="s">
        <v>13</v>
      </c>
      <c r="G6307" s="465"/>
      <c r="H6307" s="362"/>
      <c r="I6307" s="362"/>
      <c r="J6307" s="114"/>
      <c r="AW6307" s="117"/>
      <c r="AX6307" s="117"/>
      <c r="AY6307" s="117"/>
      <c r="AZ6307" s="117"/>
      <c r="BA6307" s="117"/>
      <c r="BB6307" s="117"/>
      <c r="BC6307" s="117"/>
      <c r="BD6307" s="117"/>
    </row>
    <row r="6308" spans="1:56" ht="15">
      <c r="A6308" s="114"/>
      <c r="B6308" s="410"/>
      <c r="C6308" s="410"/>
      <c r="D6308" s="410"/>
      <c r="E6308" s="401"/>
      <c r="F6308" s="401"/>
      <c r="G6308" s="465"/>
      <c r="H6308" s="362"/>
      <c r="I6308" s="362"/>
      <c r="J6308" s="114"/>
      <c r="AW6308" s="117"/>
      <c r="AX6308" s="117"/>
      <c r="AY6308" s="117"/>
      <c r="AZ6308" s="117"/>
      <c r="BA6308" s="117"/>
      <c r="BB6308" s="117"/>
      <c r="BC6308" s="117"/>
      <c r="BD6308" s="117"/>
    </row>
    <row r="6309" spans="1:56" ht="15">
      <c r="A6309" s="114"/>
      <c r="B6309" s="303" t="s">
        <v>1242</v>
      </c>
      <c r="C6309" s="410"/>
      <c r="D6309" s="410"/>
      <c r="E6309" s="410"/>
      <c r="F6309" s="410"/>
      <c r="G6309" s="465"/>
      <c r="H6309" s="362"/>
      <c r="I6309" s="362"/>
      <c r="J6309" s="114"/>
      <c r="AW6309" s="117"/>
      <c r="AX6309" s="117"/>
      <c r="AY6309" s="117"/>
      <c r="AZ6309" s="117"/>
      <c r="BA6309" s="117"/>
      <c r="BB6309" s="117"/>
      <c r="BC6309" s="117"/>
      <c r="BD6309" s="117"/>
    </row>
    <row r="6310" spans="1:56" ht="16.5">
      <c r="A6310" s="114"/>
      <c r="B6310" s="463" t="s">
        <v>1128</v>
      </c>
      <c r="C6310" s="464"/>
      <c r="D6310" s="457"/>
      <c r="E6310" s="402">
        <f>E6307*0.05</f>
        <v>0.67007500000000009</v>
      </c>
      <c r="F6310" s="459" t="s">
        <v>1241</v>
      </c>
      <c r="G6310" s="465"/>
      <c r="H6310" s="362"/>
      <c r="I6310" s="362"/>
      <c r="J6310" s="114"/>
      <c r="AW6310" s="117"/>
      <c r="AX6310" s="117"/>
      <c r="AY6310" s="117"/>
      <c r="AZ6310" s="117"/>
      <c r="BA6310" s="117"/>
      <c r="BB6310" s="117"/>
      <c r="BC6310" s="117"/>
      <c r="BD6310" s="117"/>
    </row>
    <row r="6311" spans="1:56" ht="15">
      <c r="A6311" s="114"/>
      <c r="B6311" s="463" t="s">
        <v>1129</v>
      </c>
      <c r="C6311" s="464"/>
      <c r="D6311" s="457"/>
      <c r="E6311" s="397">
        <f>C6299*((2*C6294+2*C6295)*C6296+(2*(C6294-C6291-C6292)+2*(C6295-2*C6291))*(C6296-C6293))</f>
        <v>40.496000000000002</v>
      </c>
      <c r="F6311" s="459" t="s">
        <v>13</v>
      </c>
      <c r="G6311" s="465"/>
      <c r="H6311" s="362"/>
      <c r="I6311" s="362"/>
      <c r="J6311" s="114"/>
      <c r="AW6311" s="117"/>
      <c r="AX6311" s="117"/>
      <c r="AY6311" s="117"/>
      <c r="AZ6311" s="117"/>
      <c r="BA6311" s="117"/>
      <c r="BB6311" s="117"/>
      <c r="BC6311" s="117"/>
      <c r="BD6311" s="117"/>
    </row>
    <row r="6312" spans="1:56" ht="16.5">
      <c r="A6312" s="114"/>
      <c r="B6312" s="463" t="s">
        <v>1130</v>
      </c>
      <c r="C6312" s="464"/>
      <c r="D6312" s="457"/>
      <c r="E6312" s="467">
        <f>((C6294*C6295*C6293)+((C6294*C6295)-((C6294-C6291-C6292)*(C6295-C6291-C6291))*(C6296-C6293)))*C6299</f>
        <v>5.3975999999999971</v>
      </c>
      <c r="F6312" s="459" t="s">
        <v>1241</v>
      </c>
      <c r="G6312" s="465"/>
      <c r="H6312" s="362"/>
      <c r="I6312" s="362"/>
      <c r="J6312" s="114"/>
      <c r="AW6312" s="117"/>
      <c r="AX6312" s="117"/>
      <c r="AY6312" s="117"/>
      <c r="AZ6312" s="117"/>
      <c r="BA6312" s="117"/>
      <c r="BB6312" s="117"/>
      <c r="BC6312" s="117"/>
      <c r="BD6312" s="117"/>
    </row>
    <row r="6313" spans="1:56" ht="15">
      <c r="A6313" s="449"/>
      <c r="B6313" s="494"/>
      <c r="C6313" s="494"/>
      <c r="D6313" s="494"/>
      <c r="E6313" s="494"/>
      <c r="F6313" s="494"/>
      <c r="G6313" s="362"/>
      <c r="H6313" s="362"/>
      <c r="I6313" s="362"/>
      <c r="J6313" s="114"/>
      <c r="AW6313" s="117"/>
      <c r="AX6313" s="117"/>
      <c r="AY6313" s="117"/>
      <c r="AZ6313" s="117"/>
      <c r="BA6313" s="117"/>
      <c r="BB6313" s="117"/>
      <c r="BC6313" s="117"/>
      <c r="BD6313" s="117"/>
    </row>
    <row r="6314" spans="1:56" ht="15">
      <c r="A6314" s="449"/>
      <c r="B6314" s="456"/>
      <c r="C6314" s="401"/>
      <c r="D6314" s="401"/>
      <c r="E6314" s="401"/>
      <c r="F6314" s="401"/>
      <c r="G6314" s="449"/>
      <c r="H6314" s="449"/>
      <c r="I6314" s="449"/>
      <c r="J6314" s="114"/>
      <c r="AW6314" s="117"/>
      <c r="AX6314" s="117"/>
      <c r="AY6314" s="117"/>
      <c r="AZ6314" s="117"/>
      <c r="BA6314" s="117"/>
      <c r="BB6314" s="117"/>
      <c r="BC6314" s="117"/>
      <c r="BD6314" s="117"/>
    </row>
    <row r="6315" spans="1:56" ht="15">
      <c r="A6315"/>
      <c r="B6315" s="530"/>
      <c r="C6315" s="530"/>
      <c r="D6315" s="530"/>
      <c r="E6315" s="530"/>
      <c r="F6315" s="530"/>
      <c r="G6315" s="530"/>
      <c r="H6315" s="530"/>
      <c r="I6315" s="530"/>
      <c r="J6315" s="114"/>
      <c r="AW6315" s="117"/>
      <c r="AX6315" s="117"/>
      <c r="AY6315" s="117"/>
      <c r="AZ6315" s="117"/>
      <c r="BA6315" s="117"/>
      <c r="BB6315" s="117"/>
      <c r="BC6315" s="117"/>
      <c r="BD6315" s="117"/>
    </row>
    <row r="6316" spans="1:56" ht="15">
      <c r="A6316"/>
      <c r="B6316" s="530"/>
      <c r="C6316" s="530"/>
      <c r="D6316" s="530"/>
      <c r="E6316" s="530"/>
      <c r="F6316" s="530"/>
      <c r="G6316" s="530"/>
      <c r="H6316" s="530"/>
      <c r="I6316" s="530"/>
      <c r="J6316" s="114"/>
      <c r="AW6316" s="117"/>
      <c r="AX6316" s="117"/>
      <c r="AY6316" s="117"/>
      <c r="AZ6316" s="117"/>
      <c r="BA6316" s="117"/>
      <c r="BB6316" s="117"/>
      <c r="BC6316" s="117"/>
      <c r="BD6316" s="117"/>
    </row>
    <row r="6317" spans="1:56" ht="15">
      <c r="A6317"/>
      <c r="B6317" s="530"/>
      <c r="C6317" s="530"/>
      <c r="D6317" s="530"/>
      <c r="E6317" s="530"/>
      <c r="F6317" s="530"/>
      <c r="G6317" s="530"/>
      <c r="H6317" s="530"/>
      <c r="I6317" s="530"/>
      <c r="J6317" s="114"/>
      <c r="AW6317" s="117"/>
      <c r="AX6317" s="117"/>
      <c r="AY6317" s="117"/>
      <c r="AZ6317" s="117"/>
      <c r="BA6317" s="117"/>
      <c r="BB6317" s="117"/>
      <c r="BC6317" s="117"/>
      <c r="BD6317" s="117"/>
    </row>
    <row r="6318" spans="1:56" ht="15">
      <c r="A6318" s="466" t="s">
        <v>1105</v>
      </c>
      <c r="B6318" s="362"/>
      <c r="C6318" s="362"/>
      <c r="D6318" s="362"/>
      <c r="E6318" s="362"/>
      <c r="F6318" s="362"/>
      <c r="G6318" s="362"/>
      <c r="H6318" s="362"/>
      <c r="I6318" s="362"/>
      <c r="J6318" s="114"/>
      <c r="AW6318" s="117"/>
      <c r="AX6318" s="117"/>
      <c r="AY6318" s="117"/>
      <c r="AZ6318" s="117"/>
      <c r="BA6318" s="117"/>
      <c r="BB6318" s="117"/>
      <c r="BC6318" s="117"/>
      <c r="BD6318" s="117"/>
    </row>
    <row r="6319" spans="1:56">
      <c r="A6319" s="114"/>
      <c r="B6319" s="385" t="s">
        <v>1344</v>
      </c>
      <c r="C6319" s="140"/>
      <c r="D6319" s="140"/>
      <c r="E6319" s="140"/>
      <c r="F6319" s="401"/>
      <c r="G6319" s="401"/>
      <c r="H6319" s="401"/>
      <c r="I6319" s="401"/>
      <c r="J6319" s="114"/>
      <c r="AW6319" s="117"/>
      <c r="AX6319" s="117"/>
      <c r="AY6319" s="117"/>
      <c r="AZ6319" s="117"/>
      <c r="BA6319" s="117"/>
      <c r="BB6319" s="117"/>
      <c r="BC6319" s="117"/>
      <c r="BD6319" s="117"/>
    </row>
    <row r="6320" spans="1:56" ht="15">
      <c r="A6320" s="114"/>
      <c r="B6320" s="456"/>
      <c r="C6320" s="401"/>
      <c r="D6320" s="401"/>
      <c r="E6320" s="401"/>
      <c r="F6320" s="401"/>
      <c r="G6320" s="489"/>
      <c r="H6320" s="489"/>
      <c r="I6320" s="489"/>
      <c r="J6320" s="114"/>
      <c r="AW6320" s="117"/>
      <c r="AX6320" s="117"/>
      <c r="AY6320" s="117"/>
      <c r="AZ6320" s="117"/>
      <c r="BA6320" s="117"/>
      <c r="BB6320" s="117"/>
      <c r="BC6320" s="117"/>
      <c r="BD6320" s="117"/>
    </row>
    <row r="6321" spans="1:56" ht="18">
      <c r="A6321" s="114"/>
      <c r="B6321" s="457" t="s">
        <v>1141</v>
      </c>
      <c r="C6321" s="458">
        <v>0.3</v>
      </c>
      <c r="D6321" s="459" t="s">
        <v>10</v>
      </c>
      <c r="E6321" s="401"/>
      <c r="F6321" s="401"/>
      <c r="G6321" s="406" t="s">
        <v>1142</v>
      </c>
      <c r="H6321" s="407">
        <f>C6324*C6325</f>
        <v>12.307499999999999</v>
      </c>
      <c r="I6321" s="405" t="s">
        <v>1143</v>
      </c>
      <c r="J6321" s="114"/>
      <c r="AW6321" s="117"/>
      <c r="AX6321" s="117"/>
      <c r="AY6321" s="117"/>
      <c r="AZ6321" s="117"/>
      <c r="BA6321" s="117"/>
      <c r="BB6321" s="117"/>
      <c r="BC6321" s="117"/>
      <c r="BD6321" s="117"/>
    </row>
    <row r="6322" spans="1:56" ht="15">
      <c r="A6322" s="114"/>
      <c r="B6322" s="457" t="s">
        <v>1145</v>
      </c>
      <c r="C6322" s="458">
        <v>0.3</v>
      </c>
      <c r="D6322" s="459" t="s">
        <v>10</v>
      </c>
      <c r="E6322" s="401"/>
      <c r="F6322" s="401"/>
      <c r="G6322" s="406"/>
      <c r="H6322" s="407"/>
      <c r="I6322" s="405"/>
      <c r="J6322" s="114"/>
      <c r="AW6322" s="117"/>
      <c r="AX6322" s="117"/>
      <c r="AY6322" s="117"/>
      <c r="AZ6322" s="117"/>
      <c r="BA6322" s="117"/>
      <c r="BB6322" s="117"/>
      <c r="BC6322" s="117"/>
      <c r="BD6322" s="117"/>
    </row>
    <row r="6323" spans="1:56" ht="15">
      <c r="A6323" s="114"/>
      <c r="B6323" s="457" t="s">
        <v>1144</v>
      </c>
      <c r="C6323" s="458">
        <v>0.3</v>
      </c>
      <c r="D6323" s="459" t="s">
        <v>10</v>
      </c>
      <c r="E6323" s="401"/>
      <c r="F6323" s="401"/>
      <c r="G6323" s="406" t="e">
        <f>TEXT(C6332,"tg 0°=")</f>
        <v>#VALUE!</v>
      </c>
      <c r="H6323" s="408">
        <f>TAN(3.14159265359*C6332/180)</f>
        <v>1.732050807569153</v>
      </c>
      <c r="I6323" s="405"/>
      <c r="J6323" s="114"/>
      <c r="AW6323" s="117"/>
      <c r="AX6323" s="117"/>
      <c r="AY6323" s="117"/>
      <c r="AZ6323" s="117"/>
      <c r="BA6323" s="117"/>
      <c r="BB6323" s="117"/>
      <c r="BC6323" s="117"/>
      <c r="BD6323" s="117"/>
    </row>
    <row r="6324" spans="1:56" ht="15">
      <c r="A6324" s="114"/>
      <c r="B6324" s="457" t="s">
        <v>1110</v>
      </c>
      <c r="C6324" s="458">
        <v>2.25</v>
      </c>
      <c r="D6324" s="459" t="s">
        <v>10</v>
      </c>
      <c r="E6324" s="401"/>
      <c r="F6324" s="401"/>
      <c r="G6324" s="406"/>
      <c r="H6324" s="407"/>
      <c r="I6324" s="405"/>
      <c r="J6324" s="114"/>
      <c r="AW6324" s="117"/>
      <c r="AX6324" s="117"/>
      <c r="AY6324" s="117"/>
      <c r="AZ6324" s="117"/>
      <c r="BA6324" s="117"/>
      <c r="BB6324" s="117"/>
      <c r="BC6324" s="117"/>
      <c r="BD6324" s="117"/>
    </row>
    <row r="6325" spans="1:56" ht="18">
      <c r="A6325" s="114"/>
      <c r="B6325" s="457" t="s">
        <v>1111</v>
      </c>
      <c r="C6325" s="458">
        <v>5.47</v>
      </c>
      <c r="D6325" s="459" t="s">
        <v>10</v>
      </c>
      <c r="E6325" s="401"/>
      <c r="F6325" s="401"/>
      <c r="G6325" s="406" t="s">
        <v>1142</v>
      </c>
      <c r="H6325" s="409">
        <f>(C6324+2*C6327+((C6326+0.05)/H6323)*2)*(C6325+2*C6327+((C6326+0.05)/H6323)*2)</f>
        <v>43.17658723452233</v>
      </c>
      <c r="I6325" s="405" t="s">
        <v>1143</v>
      </c>
      <c r="J6325" s="114"/>
      <c r="AW6325" s="117"/>
      <c r="AX6325" s="117"/>
      <c r="AY6325" s="117"/>
      <c r="AZ6325" s="117"/>
      <c r="BA6325" s="117"/>
      <c r="BB6325" s="117"/>
      <c r="BC6325" s="117"/>
      <c r="BD6325" s="117"/>
    </row>
    <row r="6326" spans="1:56" ht="18">
      <c r="A6326" s="114"/>
      <c r="B6326" s="457" t="s">
        <v>1112</v>
      </c>
      <c r="C6326" s="458">
        <v>1.6</v>
      </c>
      <c r="D6326" s="459" t="s">
        <v>10</v>
      </c>
      <c r="E6326" s="288" t="s">
        <v>1239</v>
      </c>
      <c r="F6326" s="401"/>
      <c r="G6326" s="406" t="s">
        <v>1147</v>
      </c>
      <c r="H6326" s="409">
        <f>(C6324+2*C6327)*(C6325+2*C6327)</f>
        <v>21.0275</v>
      </c>
      <c r="I6326" s="405" t="s">
        <v>1143</v>
      </c>
      <c r="J6326" s="114"/>
      <c r="AW6326" s="117"/>
      <c r="AX6326" s="117"/>
      <c r="AY6326" s="117"/>
      <c r="AZ6326" s="117"/>
      <c r="BA6326" s="117"/>
      <c r="BB6326" s="117"/>
      <c r="BC6326" s="117"/>
      <c r="BD6326" s="117"/>
    </row>
    <row r="6327" spans="1:56" ht="15">
      <c r="A6327" s="114"/>
      <c r="B6327" s="457" t="s">
        <v>1113</v>
      </c>
      <c r="C6327" s="458">
        <v>0.5</v>
      </c>
      <c r="D6327" s="459" t="s">
        <v>10</v>
      </c>
      <c r="E6327" s="361" t="s">
        <v>1120</v>
      </c>
      <c r="F6327" s="401"/>
      <c r="G6327" s="406"/>
      <c r="H6327" s="407"/>
      <c r="I6327" s="405"/>
      <c r="J6327" s="114"/>
      <c r="AW6327" s="117"/>
      <c r="AX6327" s="117"/>
      <c r="AY6327" s="117"/>
      <c r="AZ6327" s="117"/>
      <c r="BA6327" s="117"/>
      <c r="BB6327" s="117"/>
      <c r="BC6327" s="117"/>
      <c r="BD6327" s="117"/>
    </row>
    <row r="6328" spans="1:56" ht="15">
      <c r="A6328" s="114"/>
      <c r="B6328" s="457" t="s">
        <v>1113</v>
      </c>
      <c r="C6328" s="458">
        <v>0.1</v>
      </c>
      <c r="D6328" s="459" t="s">
        <v>10</v>
      </c>
      <c r="E6328" s="361" t="s">
        <v>1121</v>
      </c>
      <c r="F6328" s="401"/>
      <c r="G6328" s="392"/>
      <c r="H6328" s="393"/>
      <c r="I6328" s="196"/>
      <c r="J6328" s="114"/>
      <c r="AW6328" s="117"/>
      <c r="AX6328" s="117"/>
      <c r="AY6328" s="117"/>
      <c r="AZ6328" s="117"/>
      <c r="BA6328" s="117"/>
      <c r="BB6328" s="117"/>
      <c r="BC6328" s="117"/>
      <c r="BD6328" s="117"/>
    </row>
    <row r="6329" spans="1:56" ht="15">
      <c r="A6329" s="114"/>
      <c r="B6329" s="457" t="s">
        <v>1117</v>
      </c>
      <c r="C6329" s="460">
        <v>2</v>
      </c>
      <c r="D6329" s="459" t="s">
        <v>1118</v>
      </c>
      <c r="E6329" s="401"/>
      <c r="F6329" s="401"/>
      <c r="G6329" s="401"/>
      <c r="H6329" s="392"/>
      <c r="I6329" s="393"/>
      <c r="J6329" s="114"/>
      <c r="AW6329" s="117"/>
      <c r="AX6329" s="117"/>
      <c r="AY6329" s="117"/>
      <c r="AZ6329" s="117"/>
      <c r="BA6329" s="117"/>
      <c r="BB6329" s="117"/>
      <c r="BC6329" s="117"/>
      <c r="BD6329" s="117"/>
    </row>
    <row r="6330" spans="1:56" ht="15">
      <c r="A6330" s="114"/>
      <c r="B6330" s="410"/>
      <c r="C6330" s="410"/>
      <c r="D6330" s="410"/>
      <c r="E6330" s="410"/>
      <c r="F6330" s="401"/>
      <c r="G6330" s="401"/>
      <c r="H6330" s="392"/>
      <c r="I6330" s="393"/>
      <c r="J6330" s="114"/>
      <c r="AW6330" s="117"/>
      <c r="AX6330" s="117"/>
      <c r="AY6330" s="117"/>
      <c r="AZ6330" s="117"/>
      <c r="BA6330" s="117"/>
      <c r="BB6330" s="117"/>
      <c r="BC6330" s="117"/>
      <c r="BD6330" s="117"/>
    </row>
    <row r="6331" spans="1:56" ht="15">
      <c r="A6331" s="114"/>
      <c r="B6331" s="401" t="s">
        <v>1148</v>
      </c>
      <c r="C6331" s="461"/>
      <c r="D6331" s="401"/>
      <c r="E6331" s="401"/>
      <c r="F6331" s="401"/>
      <c r="G6331" s="401"/>
      <c r="H6331" s="392"/>
      <c r="I6331" s="393"/>
      <c r="J6331" s="114"/>
      <c r="AW6331" s="117"/>
      <c r="AX6331" s="117"/>
      <c r="AY6331" s="117"/>
      <c r="AZ6331" s="117"/>
      <c r="BA6331" s="117"/>
      <c r="BB6331" s="117"/>
      <c r="BC6331" s="117"/>
      <c r="BD6331" s="117"/>
    </row>
    <row r="6332" spans="1:56" ht="15">
      <c r="A6332" s="114"/>
      <c r="B6332" s="457" t="s">
        <v>1149</v>
      </c>
      <c r="C6332" s="462">
        <v>60</v>
      </c>
      <c r="D6332" s="459" t="s">
        <v>1150</v>
      </c>
      <c r="E6332" s="401"/>
      <c r="F6332" s="401"/>
      <c r="G6332" s="114"/>
      <c r="H6332" s="468" t="s">
        <v>1240</v>
      </c>
      <c r="I6332" s="362"/>
      <c r="J6332" s="114"/>
      <c r="AW6332" s="117"/>
      <c r="AX6332" s="117"/>
      <c r="AY6332" s="117"/>
      <c r="AZ6332" s="117"/>
      <c r="BA6332" s="117"/>
      <c r="BB6332" s="117"/>
      <c r="BC6332" s="117"/>
      <c r="BD6332" s="117"/>
    </row>
    <row r="6333" spans="1:56" ht="15">
      <c r="A6333" s="114"/>
      <c r="B6333" s="410"/>
      <c r="C6333" s="410"/>
      <c r="D6333" s="410"/>
      <c r="E6333" s="410"/>
      <c r="F6333" s="410"/>
      <c r="G6333" s="410"/>
      <c r="H6333" s="362"/>
      <c r="I6333" s="362"/>
      <c r="J6333" s="114"/>
      <c r="AW6333" s="117"/>
      <c r="AX6333" s="117"/>
      <c r="AY6333" s="117"/>
      <c r="AZ6333" s="117"/>
      <c r="BA6333" s="117"/>
      <c r="BB6333" s="117"/>
      <c r="BC6333" s="117"/>
      <c r="BD6333" s="117"/>
    </row>
    <row r="6334" spans="1:56" ht="15">
      <c r="A6334" s="114"/>
      <c r="B6334" s="303" t="s">
        <v>1122</v>
      </c>
      <c r="C6334" s="410"/>
      <c r="D6334" s="410"/>
      <c r="E6334" s="410"/>
      <c r="F6334" s="410"/>
      <c r="G6334" s="401"/>
      <c r="H6334" s="196"/>
      <c r="I6334" s="362"/>
      <c r="J6334" s="114"/>
      <c r="AW6334" s="117"/>
      <c r="AX6334" s="117"/>
      <c r="AY6334" s="117"/>
      <c r="AZ6334" s="117"/>
      <c r="BA6334" s="117"/>
      <c r="BB6334" s="117"/>
      <c r="BC6334" s="117"/>
      <c r="BD6334" s="117"/>
    </row>
    <row r="6335" spans="1:56" ht="16.5">
      <c r="A6335" s="114"/>
      <c r="B6335" s="463" t="s">
        <v>1123</v>
      </c>
      <c r="C6335" s="464"/>
      <c r="D6335" s="457"/>
      <c r="E6335" s="397">
        <f>C6329*(((H6326+H6325)/2)*(C6326+0.05))</f>
        <v>105.93674393696186</v>
      </c>
      <c r="F6335" s="459" t="s">
        <v>1241</v>
      </c>
      <c r="G6335" s="401"/>
      <c r="H6335" s="362"/>
      <c r="I6335" s="362"/>
      <c r="J6335" s="114"/>
      <c r="AW6335" s="117"/>
      <c r="AX6335" s="117"/>
      <c r="AY6335" s="117"/>
      <c r="AZ6335" s="117"/>
      <c r="BA6335" s="117"/>
      <c r="BB6335" s="117"/>
      <c r="BC6335" s="117"/>
      <c r="BD6335" s="117"/>
    </row>
    <row r="6336" spans="1:56" ht="16.5">
      <c r="A6336" s="114"/>
      <c r="B6336" s="463" t="s">
        <v>1125</v>
      </c>
      <c r="C6336" s="464"/>
      <c r="D6336" s="457"/>
      <c r="E6336" s="400">
        <f>E6335-(H6321*C6326*C6329)</f>
        <v>66.552743936961861</v>
      </c>
      <c r="F6336" s="459" t="s">
        <v>1241</v>
      </c>
      <c r="G6336" s="401"/>
      <c r="H6336" s="196"/>
      <c r="I6336" s="196"/>
      <c r="J6336" s="114"/>
      <c r="AW6336" s="117"/>
      <c r="AX6336" s="117"/>
      <c r="AY6336" s="117"/>
      <c r="AZ6336" s="117"/>
      <c r="BA6336" s="117"/>
      <c r="BB6336" s="117"/>
      <c r="BC6336" s="117"/>
      <c r="BD6336" s="117"/>
    </row>
    <row r="6337" spans="1:56" ht="15">
      <c r="A6337" s="114"/>
      <c r="B6337" s="463" t="s">
        <v>1126</v>
      </c>
      <c r="C6337" s="464"/>
      <c r="D6337" s="457"/>
      <c r="E6337" s="400">
        <f>C6329*((C6324+2*C6328)*(C6325+2*C6328))</f>
        <v>27.783000000000001</v>
      </c>
      <c r="F6337" s="459" t="s">
        <v>13</v>
      </c>
      <c r="G6337" s="465"/>
      <c r="H6337" s="362"/>
      <c r="I6337" s="362"/>
      <c r="J6337" s="114"/>
      <c r="AW6337" s="117"/>
      <c r="AX6337" s="117"/>
      <c r="AY6337" s="117"/>
      <c r="AZ6337" s="117"/>
      <c r="BA6337" s="117"/>
      <c r="BB6337" s="117"/>
      <c r="BC6337" s="117"/>
      <c r="BD6337" s="117"/>
    </row>
    <row r="6338" spans="1:56" ht="15">
      <c r="A6338" s="114"/>
      <c r="B6338" s="410"/>
      <c r="C6338" s="410"/>
      <c r="D6338" s="410"/>
      <c r="E6338" s="401"/>
      <c r="F6338" s="401"/>
      <c r="G6338" s="465"/>
      <c r="H6338" s="362"/>
      <c r="I6338" s="362"/>
      <c r="J6338" s="114"/>
      <c r="AW6338" s="117"/>
      <c r="AX6338" s="117"/>
      <c r="AY6338" s="117"/>
      <c r="AZ6338" s="117"/>
      <c r="BA6338" s="117"/>
      <c r="BB6338" s="117"/>
      <c r="BC6338" s="117"/>
      <c r="BD6338" s="117"/>
    </row>
    <row r="6339" spans="1:56" ht="15">
      <c r="A6339" s="114"/>
      <c r="B6339" s="303" t="s">
        <v>1242</v>
      </c>
      <c r="C6339" s="410"/>
      <c r="D6339" s="410"/>
      <c r="E6339" s="410"/>
      <c r="F6339" s="410"/>
      <c r="G6339" s="465"/>
      <c r="H6339" s="362"/>
      <c r="I6339" s="362"/>
      <c r="J6339" s="114"/>
      <c r="AW6339" s="117"/>
      <c r="AX6339" s="117"/>
      <c r="AY6339" s="117"/>
      <c r="AZ6339" s="117"/>
      <c r="BA6339" s="117"/>
      <c r="BB6339" s="117"/>
      <c r="BC6339" s="117"/>
      <c r="BD6339" s="117"/>
    </row>
    <row r="6340" spans="1:56" ht="16.5">
      <c r="A6340" s="114"/>
      <c r="B6340" s="463" t="s">
        <v>1128</v>
      </c>
      <c r="C6340" s="464"/>
      <c r="D6340" s="457"/>
      <c r="E6340" s="402">
        <f>E6337*0.05</f>
        <v>1.3891500000000001</v>
      </c>
      <c r="F6340" s="459" t="s">
        <v>1241</v>
      </c>
      <c r="G6340" s="465"/>
      <c r="H6340" s="362"/>
      <c r="I6340" s="362"/>
      <c r="J6340" s="114"/>
      <c r="AW6340" s="117"/>
      <c r="AX6340" s="117"/>
      <c r="AY6340" s="117"/>
      <c r="AZ6340" s="117"/>
      <c r="BA6340" s="117"/>
      <c r="BB6340" s="117"/>
      <c r="BC6340" s="117"/>
      <c r="BD6340" s="117"/>
    </row>
    <row r="6341" spans="1:56" ht="15">
      <c r="A6341" s="114"/>
      <c r="B6341" s="463" t="s">
        <v>1129</v>
      </c>
      <c r="C6341" s="464"/>
      <c r="D6341" s="457"/>
      <c r="E6341" s="397">
        <f>C6329*((2*C6324+2*C6325)*C6326+(2*(C6324-C6321-C6322)+2*(C6325-2*C6321))*(C6326-C6323))</f>
        <v>83.311999999999998</v>
      </c>
      <c r="F6341" s="459" t="s">
        <v>13</v>
      </c>
      <c r="G6341" s="465"/>
      <c r="H6341" s="362"/>
      <c r="I6341" s="362"/>
      <c r="J6341" s="114"/>
      <c r="AW6341" s="117"/>
      <c r="AX6341" s="117"/>
      <c r="AY6341" s="117"/>
      <c r="AZ6341" s="117"/>
      <c r="BA6341" s="117"/>
      <c r="BB6341" s="117"/>
      <c r="BC6341" s="117"/>
      <c r="BD6341" s="117"/>
    </row>
    <row r="6342" spans="1:56" ht="16.5">
      <c r="A6342" s="114"/>
      <c r="B6342" s="463" t="s">
        <v>1130</v>
      </c>
      <c r="C6342" s="464"/>
      <c r="D6342" s="457"/>
      <c r="E6342" s="467">
        <f>((C6324*C6325*C6323)+((C6324*C6325)-((C6324-C6321-C6322)*(C6325-C6321-C6321))*(C6326-C6323)))*C6329</f>
        <v>11.107199999999999</v>
      </c>
      <c r="F6342" s="459" t="s">
        <v>1241</v>
      </c>
      <c r="G6342" s="465"/>
      <c r="H6342" s="362"/>
      <c r="I6342" s="362"/>
      <c r="J6342" s="114"/>
      <c r="AW6342" s="117"/>
      <c r="AX6342" s="117"/>
      <c r="AY6342" s="117"/>
      <c r="AZ6342" s="117"/>
      <c r="BA6342" s="117"/>
      <c r="BB6342" s="117"/>
      <c r="BC6342" s="117"/>
      <c r="BD6342" s="117"/>
    </row>
    <row r="6343" spans="1:56" ht="15">
      <c r="A6343" s="449"/>
      <c r="B6343" s="494"/>
      <c r="C6343" s="494"/>
      <c r="D6343" s="494"/>
      <c r="E6343" s="494"/>
      <c r="F6343" s="494"/>
      <c r="G6343" s="362"/>
      <c r="H6343" s="362"/>
      <c r="I6343" s="362"/>
      <c r="J6343" s="114"/>
      <c r="AW6343" s="117"/>
      <c r="AX6343" s="117"/>
      <c r="AY6343" s="117"/>
      <c r="AZ6343" s="117"/>
      <c r="BA6343" s="117"/>
      <c r="BB6343" s="117"/>
      <c r="BC6343" s="117"/>
      <c r="BD6343" s="117"/>
    </row>
    <row r="6344" spans="1:56" ht="15">
      <c r="A6344" s="449"/>
      <c r="B6344" s="456"/>
      <c r="C6344" s="401"/>
      <c r="D6344" s="401"/>
      <c r="E6344" s="401"/>
      <c r="F6344" s="401"/>
      <c r="G6344" s="449"/>
      <c r="H6344" s="449"/>
      <c r="I6344" s="449"/>
      <c r="J6344" s="114"/>
      <c r="AW6344" s="117"/>
      <c r="AX6344" s="117"/>
      <c r="AY6344" s="117"/>
      <c r="AZ6344" s="117"/>
      <c r="BA6344" s="117"/>
      <c r="BB6344" s="117"/>
      <c r="BC6344" s="117"/>
      <c r="BD6344" s="117"/>
    </row>
    <row r="6345" spans="1:56" ht="15">
      <c r="A6345" s="466" t="s">
        <v>1105</v>
      </c>
      <c r="B6345" s="362"/>
      <c r="C6345" s="362"/>
      <c r="D6345" s="362"/>
      <c r="E6345" s="362"/>
      <c r="F6345" s="362"/>
      <c r="G6345" s="362"/>
      <c r="H6345" s="362"/>
      <c r="I6345" s="362"/>
      <c r="J6345" s="114"/>
      <c r="AW6345" s="117"/>
      <c r="AX6345" s="117"/>
      <c r="AY6345" s="117"/>
      <c r="AZ6345" s="117"/>
      <c r="BA6345" s="117"/>
      <c r="BB6345" s="117"/>
      <c r="BC6345" s="117"/>
      <c r="BD6345" s="117"/>
    </row>
    <row r="6346" spans="1:56">
      <c r="A6346" s="114"/>
      <c r="B6346" s="385" t="s">
        <v>1345</v>
      </c>
      <c r="C6346" s="140"/>
      <c r="D6346" s="140"/>
      <c r="E6346" s="140"/>
      <c r="F6346" s="401"/>
      <c r="G6346" s="401"/>
      <c r="H6346" s="401"/>
      <c r="I6346" s="401"/>
      <c r="J6346" s="114"/>
      <c r="AW6346" s="117"/>
      <c r="AX6346" s="117"/>
      <c r="AY6346" s="117"/>
      <c r="AZ6346" s="117"/>
      <c r="BA6346" s="117"/>
      <c r="BB6346" s="117"/>
      <c r="BC6346" s="117"/>
      <c r="BD6346" s="117"/>
    </row>
    <row r="6347" spans="1:56" ht="15">
      <c r="A6347" s="114"/>
      <c r="B6347" s="456"/>
      <c r="C6347" s="401"/>
      <c r="D6347" s="401"/>
      <c r="E6347" s="401"/>
      <c r="F6347" s="401"/>
      <c r="G6347" s="489"/>
      <c r="H6347" s="489"/>
      <c r="I6347" s="489"/>
      <c r="J6347" s="114"/>
      <c r="AW6347" s="117"/>
      <c r="AX6347" s="117"/>
      <c r="AY6347" s="117"/>
      <c r="AZ6347" s="117"/>
      <c r="BA6347" s="117"/>
      <c r="BB6347" s="117"/>
      <c r="BC6347" s="117"/>
      <c r="BD6347" s="117"/>
    </row>
    <row r="6348" spans="1:56" ht="18">
      <c r="A6348" s="114"/>
      <c r="B6348" s="457" t="s">
        <v>1141</v>
      </c>
      <c r="C6348" s="458">
        <v>0.3</v>
      </c>
      <c r="D6348" s="459" t="s">
        <v>10</v>
      </c>
      <c r="E6348" s="401"/>
      <c r="F6348" s="401"/>
      <c r="G6348" s="406" t="s">
        <v>1142</v>
      </c>
      <c r="H6348" s="407">
        <f>C6351*C6352</f>
        <v>5.1700000000000008</v>
      </c>
      <c r="I6348" s="405" t="s">
        <v>1143</v>
      </c>
      <c r="J6348" s="114"/>
      <c r="AW6348" s="117"/>
      <c r="AX6348" s="117"/>
      <c r="AY6348" s="117"/>
      <c r="AZ6348" s="117"/>
      <c r="BA6348" s="117"/>
      <c r="BB6348" s="117"/>
      <c r="BC6348" s="117"/>
      <c r="BD6348" s="117"/>
    </row>
    <row r="6349" spans="1:56" ht="15">
      <c r="A6349" s="114"/>
      <c r="B6349" s="457" t="s">
        <v>1145</v>
      </c>
      <c r="C6349" s="458">
        <v>0.3</v>
      </c>
      <c r="D6349" s="459" t="s">
        <v>10</v>
      </c>
      <c r="E6349" s="401"/>
      <c r="F6349" s="401"/>
      <c r="G6349" s="406"/>
      <c r="H6349" s="407"/>
      <c r="I6349" s="405"/>
      <c r="J6349" s="114"/>
      <c r="AW6349" s="117"/>
      <c r="AX6349" s="117"/>
      <c r="AY6349" s="117"/>
      <c r="AZ6349" s="117"/>
      <c r="BA6349" s="117"/>
      <c r="BB6349" s="117"/>
      <c r="BC6349" s="117"/>
      <c r="BD6349" s="117"/>
    </row>
    <row r="6350" spans="1:56" ht="15">
      <c r="A6350" s="114"/>
      <c r="B6350" s="457" t="s">
        <v>1144</v>
      </c>
      <c r="C6350" s="458">
        <v>0.3</v>
      </c>
      <c r="D6350" s="459" t="s">
        <v>10</v>
      </c>
      <c r="E6350" s="401"/>
      <c r="F6350" s="401"/>
      <c r="G6350" s="406" t="e">
        <f>TEXT(C6359,"tg 0°=")</f>
        <v>#VALUE!</v>
      </c>
      <c r="H6350" s="408">
        <f>TAN(3.14159265359*C6359/180)</f>
        <v>1.732050807569153</v>
      </c>
      <c r="I6350" s="405"/>
      <c r="J6350" s="114"/>
      <c r="AW6350" s="117"/>
      <c r="AX6350" s="117"/>
      <c r="AY6350" s="117"/>
      <c r="AZ6350" s="117"/>
      <c r="BA6350" s="117"/>
      <c r="BB6350" s="117"/>
      <c r="BC6350" s="117"/>
      <c r="BD6350" s="117"/>
    </row>
    <row r="6351" spans="1:56" ht="15">
      <c r="A6351" s="114"/>
      <c r="B6351" s="457" t="s">
        <v>1110</v>
      </c>
      <c r="C6351" s="458">
        <v>2.2000000000000002</v>
      </c>
      <c r="D6351" s="459" t="s">
        <v>10</v>
      </c>
      <c r="E6351" s="401"/>
      <c r="F6351" s="401"/>
      <c r="G6351" s="406"/>
      <c r="H6351" s="407"/>
      <c r="I6351" s="405"/>
      <c r="J6351" s="114"/>
      <c r="AW6351" s="117"/>
      <c r="AX6351" s="117"/>
      <c r="AY6351" s="117"/>
      <c r="AZ6351" s="117"/>
      <c r="BA6351" s="117"/>
      <c r="BB6351" s="117"/>
      <c r="BC6351" s="117"/>
      <c r="BD6351" s="117"/>
    </row>
    <row r="6352" spans="1:56" ht="18">
      <c r="A6352" s="114"/>
      <c r="B6352" s="457" t="s">
        <v>1111</v>
      </c>
      <c r="C6352" s="458">
        <v>2.35</v>
      </c>
      <c r="D6352" s="459" t="s">
        <v>10</v>
      </c>
      <c r="E6352" s="401"/>
      <c r="F6352" s="401"/>
      <c r="G6352" s="406" t="s">
        <v>1142</v>
      </c>
      <c r="H6352" s="409">
        <f>(C6351+2*C6354+((C6353+0.05)/H6350)*2)*(C6352+2*C6354+((C6353+0.05)/H6350)*2)</f>
        <v>28.039088254502104</v>
      </c>
      <c r="I6352" s="405" t="s">
        <v>1143</v>
      </c>
      <c r="J6352" s="114"/>
      <c r="AW6352" s="117"/>
      <c r="AX6352" s="117"/>
      <c r="AY6352" s="117"/>
      <c r="AZ6352" s="117"/>
      <c r="BA6352" s="117"/>
      <c r="BB6352" s="117"/>
      <c r="BC6352" s="117"/>
      <c r="BD6352" s="117"/>
    </row>
    <row r="6353" spans="1:56" ht="18">
      <c r="A6353" s="114"/>
      <c r="B6353" s="457" t="s">
        <v>1112</v>
      </c>
      <c r="C6353" s="458">
        <v>1.7</v>
      </c>
      <c r="D6353" s="459" t="s">
        <v>10</v>
      </c>
      <c r="E6353" s="288" t="s">
        <v>1239</v>
      </c>
      <c r="F6353" s="401"/>
      <c r="G6353" s="406" t="s">
        <v>1147</v>
      </c>
      <c r="H6353" s="409">
        <f>(C6351+2*C6354)*(C6352+2*C6354)</f>
        <v>10.72</v>
      </c>
      <c r="I6353" s="405" t="s">
        <v>1143</v>
      </c>
      <c r="J6353" s="114"/>
      <c r="AW6353" s="117"/>
      <c r="AX6353" s="117"/>
      <c r="AY6353" s="117"/>
      <c r="AZ6353" s="117"/>
      <c r="BA6353" s="117"/>
      <c r="BB6353" s="117"/>
      <c r="BC6353" s="117"/>
      <c r="BD6353" s="117"/>
    </row>
    <row r="6354" spans="1:56" ht="15">
      <c r="A6354" s="114"/>
      <c r="B6354" s="457" t="s">
        <v>1113</v>
      </c>
      <c r="C6354" s="458">
        <v>0.5</v>
      </c>
      <c r="D6354" s="459" t="s">
        <v>10</v>
      </c>
      <c r="E6354" s="361" t="s">
        <v>1120</v>
      </c>
      <c r="F6354" s="401"/>
      <c r="G6354" s="406"/>
      <c r="H6354" s="407"/>
      <c r="I6354" s="405"/>
      <c r="J6354" s="114"/>
      <c r="AW6354" s="117"/>
      <c r="AX6354" s="117"/>
      <c r="AY6354" s="117"/>
      <c r="AZ6354" s="117"/>
      <c r="BA6354" s="117"/>
      <c r="BB6354" s="117"/>
      <c r="BC6354" s="117"/>
      <c r="BD6354" s="117"/>
    </row>
    <row r="6355" spans="1:56" ht="15">
      <c r="A6355" s="114"/>
      <c r="B6355" s="457" t="s">
        <v>1113</v>
      </c>
      <c r="C6355" s="458">
        <v>0.1</v>
      </c>
      <c r="D6355" s="459" t="s">
        <v>10</v>
      </c>
      <c r="E6355" s="361" t="s">
        <v>1121</v>
      </c>
      <c r="F6355" s="401"/>
      <c r="G6355" s="392"/>
      <c r="H6355" s="393"/>
      <c r="I6355" s="196"/>
      <c r="J6355" s="114"/>
      <c r="AW6355" s="117"/>
      <c r="AX6355" s="117"/>
      <c r="AY6355" s="117"/>
      <c r="AZ6355" s="117"/>
      <c r="BA6355" s="117"/>
      <c r="BB6355" s="117"/>
      <c r="BC6355" s="117"/>
      <c r="BD6355" s="117"/>
    </row>
    <row r="6356" spans="1:56" ht="15">
      <c r="A6356" s="114"/>
      <c r="B6356" s="457" t="s">
        <v>1117</v>
      </c>
      <c r="C6356" s="460">
        <v>1</v>
      </c>
      <c r="D6356" s="459" t="s">
        <v>1118</v>
      </c>
      <c r="E6356" s="401"/>
      <c r="F6356" s="401"/>
      <c r="G6356" s="401"/>
      <c r="H6356" s="392"/>
      <c r="I6356" s="393"/>
      <c r="J6356" s="114"/>
      <c r="AW6356" s="117"/>
      <c r="AX6356" s="117"/>
      <c r="AY6356" s="117"/>
      <c r="AZ6356" s="117"/>
      <c r="BA6356" s="117"/>
      <c r="BB6356" s="117"/>
      <c r="BC6356" s="117"/>
      <c r="BD6356" s="117"/>
    </row>
    <row r="6357" spans="1:56" ht="15">
      <c r="A6357" s="114"/>
      <c r="B6357" s="410"/>
      <c r="C6357" s="410"/>
      <c r="D6357" s="410"/>
      <c r="E6357" s="410"/>
      <c r="F6357" s="401"/>
      <c r="G6357" s="401"/>
      <c r="H6357" s="392"/>
      <c r="I6357" s="393"/>
      <c r="J6357" s="114"/>
      <c r="AW6357" s="117"/>
      <c r="AX6357" s="117"/>
      <c r="AY6357" s="117"/>
      <c r="AZ6357" s="117"/>
      <c r="BA6357" s="117"/>
      <c r="BB6357" s="117"/>
      <c r="BC6357" s="117"/>
      <c r="BD6357" s="117"/>
    </row>
    <row r="6358" spans="1:56" ht="15">
      <c r="A6358" s="114"/>
      <c r="B6358" s="401" t="s">
        <v>1148</v>
      </c>
      <c r="C6358" s="461"/>
      <c r="D6358" s="401"/>
      <c r="E6358" s="401"/>
      <c r="F6358" s="401"/>
      <c r="G6358" s="401"/>
      <c r="H6358" s="392"/>
      <c r="I6358" s="393"/>
      <c r="J6358" s="114"/>
      <c r="AW6358" s="117"/>
      <c r="AX6358" s="117"/>
      <c r="AY6358" s="117"/>
      <c r="AZ6358" s="117"/>
      <c r="BA6358" s="117"/>
      <c r="BB6358" s="117"/>
      <c r="BC6358" s="117"/>
      <c r="BD6358" s="117"/>
    </row>
    <row r="6359" spans="1:56" ht="15">
      <c r="A6359" s="114"/>
      <c r="B6359" s="457" t="s">
        <v>1149</v>
      </c>
      <c r="C6359" s="462">
        <v>60</v>
      </c>
      <c r="D6359" s="459" t="s">
        <v>1150</v>
      </c>
      <c r="E6359" s="401"/>
      <c r="F6359" s="401"/>
      <c r="G6359" s="114"/>
      <c r="H6359" s="468" t="s">
        <v>1240</v>
      </c>
      <c r="I6359" s="362"/>
      <c r="J6359" s="114"/>
      <c r="AW6359" s="117"/>
      <c r="AX6359" s="117"/>
      <c r="AY6359" s="117"/>
      <c r="AZ6359" s="117"/>
      <c r="BA6359" s="117"/>
      <c r="BB6359" s="117"/>
      <c r="BC6359" s="117"/>
      <c r="BD6359" s="117"/>
    </row>
    <row r="6360" spans="1:56" ht="15">
      <c r="A6360" s="114"/>
      <c r="B6360" s="410"/>
      <c r="C6360" s="410"/>
      <c r="D6360" s="410"/>
      <c r="E6360" s="410"/>
      <c r="F6360" s="410"/>
      <c r="G6360" s="410"/>
      <c r="H6360" s="362"/>
      <c r="I6360" s="362"/>
      <c r="J6360" s="114"/>
      <c r="AW6360" s="117"/>
      <c r="AX6360" s="117"/>
      <c r="AY6360" s="117"/>
      <c r="AZ6360" s="117"/>
      <c r="BA6360" s="117"/>
      <c r="BB6360" s="117"/>
      <c r="BC6360" s="117"/>
      <c r="BD6360" s="117"/>
    </row>
    <row r="6361" spans="1:56" ht="15">
      <c r="A6361" s="114"/>
      <c r="B6361" s="303" t="s">
        <v>1122</v>
      </c>
      <c r="C6361" s="410"/>
      <c r="D6361" s="410"/>
      <c r="E6361" s="410"/>
      <c r="F6361" s="410"/>
      <c r="G6361" s="401"/>
      <c r="H6361" s="196"/>
      <c r="I6361" s="362"/>
      <c r="J6361" s="114"/>
      <c r="AW6361" s="117"/>
      <c r="AX6361" s="117"/>
      <c r="AY6361" s="117"/>
      <c r="AZ6361" s="117"/>
      <c r="BA6361" s="117"/>
      <c r="BB6361" s="117"/>
      <c r="BC6361" s="117"/>
      <c r="BD6361" s="117"/>
    </row>
    <row r="6362" spans="1:56" ht="16.5">
      <c r="A6362" s="114"/>
      <c r="B6362" s="463" t="s">
        <v>1123</v>
      </c>
      <c r="C6362" s="464"/>
      <c r="D6362" s="457"/>
      <c r="E6362" s="397">
        <f>C6356*(((H6353+H6352)/2)*(C6353+0.05))</f>
        <v>33.91420222268934</v>
      </c>
      <c r="F6362" s="459" t="s">
        <v>1241</v>
      </c>
      <c r="G6362" s="401"/>
      <c r="H6362" s="362"/>
      <c r="I6362" s="362"/>
      <c r="J6362" s="114"/>
      <c r="AW6362" s="117"/>
      <c r="AX6362" s="117"/>
      <c r="AY6362" s="117"/>
      <c r="AZ6362" s="117"/>
      <c r="BA6362" s="117"/>
      <c r="BB6362" s="117"/>
      <c r="BC6362" s="117"/>
      <c r="BD6362" s="117"/>
    </row>
    <row r="6363" spans="1:56" ht="16.5">
      <c r="A6363" s="114"/>
      <c r="B6363" s="463" t="s">
        <v>1125</v>
      </c>
      <c r="C6363" s="464"/>
      <c r="D6363" s="457"/>
      <c r="E6363" s="400">
        <f>E6362-(H6348*C6353*C6356)</f>
        <v>25.125202222689339</v>
      </c>
      <c r="F6363" s="459" t="s">
        <v>1241</v>
      </c>
      <c r="G6363" s="401"/>
      <c r="H6363" s="196"/>
      <c r="I6363" s="196"/>
      <c r="J6363" s="114"/>
      <c r="AW6363" s="117"/>
      <c r="AX6363" s="117"/>
      <c r="AY6363" s="117"/>
      <c r="AZ6363" s="117"/>
      <c r="BA6363" s="117"/>
      <c r="BB6363" s="117"/>
      <c r="BC6363" s="117"/>
      <c r="BD6363" s="117"/>
    </row>
    <row r="6364" spans="1:56" ht="15">
      <c r="A6364" s="114"/>
      <c r="B6364" s="463" t="s">
        <v>1126</v>
      </c>
      <c r="C6364" s="464"/>
      <c r="D6364" s="457"/>
      <c r="E6364" s="400">
        <f>C6356*((C6351+2*C6355)*(C6352+2*C6355))</f>
        <v>6.1200000000000019</v>
      </c>
      <c r="F6364" s="459" t="s">
        <v>13</v>
      </c>
      <c r="G6364" s="465"/>
      <c r="H6364" s="362"/>
      <c r="I6364" s="362"/>
      <c r="J6364" s="114"/>
      <c r="AW6364" s="117"/>
      <c r="AX6364" s="117"/>
      <c r="AY6364" s="117"/>
      <c r="AZ6364" s="117"/>
      <c r="BA6364" s="117"/>
      <c r="BB6364" s="117"/>
      <c r="BC6364" s="117"/>
      <c r="BD6364" s="117"/>
    </row>
    <row r="6365" spans="1:56" ht="15">
      <c r="A6365" s="114"/>
      <c r="B6365" s="410"/>
      <c r="C6365" s="410"/>
      <c r="D6365" s="410"/>
      <c r="E6365" s="401"/>
      <c r="F6365" s="401"/>
      <c r="G6365" s="465"/>
      <c r="H6365" s="362"/>
      <c r="I6365" s="362"/>
      <c r="J6365" s="114"/>
      <c r="AW6365" s="117"/>
      <c r="AX6365" s="117"/>
      <c r="AY6365" s="117"/>
      <c r="AZ6365" s="117"/>
      <c r="BA6365" s="117"/>
      <c r="BB6365" s="117"/>
      <c r="BC6365" s="117"/>
      <c r="BD6365" s="117"/>
    </row>
    <row r="6366" spans="1:56" ht="15">
      <c r="A6366" s="114"/>
      <c r="B6366" s="303" t="s">
        <v>1242</v>
      </c>
      <c r="C6366" s="410"/>
      <c r="D6366" s="410"/>
      <c r="E6366" s="410"/>
      <c r="F6366" s="410"/>
      <c r="G6366" s="465"/>
      <c r="H6366" s="362"/>
      <c r="I6366" s="362"/>
      <c r="J6366" s="114"/>
      <c r="AW6366" s="117"/>
      <c r="AX6366" s="117"/>
      <c r="AY6366" s="117"/>
      <c r="AZ6366" s="117"/>
      <c r="BA6366" s="117"/>
      <c r="BB6366" s="117"/>
      <c r="BC6366" s="117"/>
      <c r="BD6366" s="117"/>
    </row>
    <row r="6367" spans="1:56" ht="16.5">
      <c r="A6367" s="114"/>
      <c r="B6367" s="463" t="s">
        <v>1128</v>
      </c>
      <c r="C6367" s="464"/>
      <c r="D6367" s="457"/>
      <c r="E6367" s="402">
        <f>E6364*0.05</f>
        <v>0.30600000000000011</v>
      </c>
      <c r="F6367" s="459" t="s">
        <v>1241</v>
      </c>
      <c r="G6367" s="465"/>
      <c r="H6367" s="362"/>
      <c r="I6367" s="362"/>
      <c r="J6367" s="114"/>
      <c r="AW6367" s="117"/>
      <c r="AX6367" s="117"/>
      <c r="AY6367" s="117"/>
      <c r="AZ6367" s="117"/>
      <c r="BA6367" s="117"/>
      <c r="BB6367" s="117"/>
      <c r="BC6367" s="117"/>
      <c r="BD6367" s="117"/>
    </row>
    <row r="6368" spans="1:56" ht="15">
      <c r="A6368" s="114"/>
      <c r="B6368" s="463" t="s">
        <v>1129</v>
      </c>
      <c r="C6368" s="464"/>
      <c r="D6368" s="457"/>
      <c r="E6368" s="397">
        <f>C6356*((2*C6351+2*C6352)*C6353+(2*(C6351-C6348-C6349)+2*(C6352-2*C6348))*(C6353-C6350))</f>
        <v>24.85</v>
      </c>
      <c r="F6368" s="459" t="s">
        <v>13</v>
      </c>
      <c r="G6368" s="465"/>
      <c r="H6368" s="362"/>
      <c r="I6368" s="362"/>
      <c r="J6368" s="114"/>
      <c r="AW6368" s="117"/>
      <c r="AX6368" s="117"/>
      <c r="AY6368" s="117"/>
      <c r="AZ6368" s="117"/>
      <c r="BA6368" s="117"/>
      <c r="BB6368" s="117"/>
      <c r="BC6368" s="117"/>
      <c r="BD6368" s="117"/>
    </row>
    <row r="6369" spans="1:56" ht="16.5">
      <c r="A6369" s="114"/>
      <c r="B6369" s="463" t="s">
        <v>1130</v>
      </c>
      <c r="C6369" s="464"/>
      <c r="D6369" s="457"/>
      <c r="E6369" s="467">
        <f>((C6351*C6352*C6350)+((C6351*C6352)-((C6351-C6348-C6349)*(C6352-C6348-C6348))*(C6353-C6350)))*C6356</f>
        <v>2.8010000000000002</v>
      </c>
      <c r="F6369" s="459" t="s">
        <v>1241</v>
      </c>
      <c r="G6369" s="465"/>
      <c r="H6369" s="362"/>
      <c r="I6369" s="362"/>
      <c r="J6369" s="114"/>
      <c r="AW6369" s="117"/>
      <c r="AX6369" s="117"/>
      <c r="AY6369" s="117"/>
      <c r="AZ6369" s="117"/>
      <c r="BA6369" s="117"/>
      <c r="BB6369" s="117"/>
      <c r="BC6369" s="117"/>
      <c r="BD6369" s="117"/>
    </row>
    <row r="6370" spans="1:56" ht="15">
      <c r="A6370" s="449"/>
      <c r="B6370" s="494"/>
      <c r="C6370" s="494"/>
      <c r="D6370" s="494"/>
      <c r="E6370" s="494"/>
      <c r="F6370" s="494"/>
      <c r="G6370" s="362"/>
      <c r="H6370" s="362"/>
      <c r="I6370" s="362"/>
      <c r="J6370" s="114"/>
      <c r="AW6370" s="117"/>
      <c r="AX6370" s="117"/>
      <c r="AY6370" s="117"/>
      <c r="AZ6370" s="117"/>
      <c r="BA6370" s="117"/>
      <c r="BB6370" s="117"/>
      <c r="BC6370" s="117"/>
      <c r="BD6370" s="117"/>
    </row>
    <row r="6371" spans="1:56" ht="15">
      <c r="A6371" s="449"/>
      <c r="B6371" s="456"/>
      <c r="C6371" s="401"/>
      <c r="D6371" s="401"/>
      <c r="E6371" s="401"/>
      <c r="F6371" s="401"/>
      <c r="G6371" s="449"/>
      <c r="H6371" s="449"/>
      <c r="I6371" s="449"/>
      <c r="J6371" s="114"/>
      <c r="AW6371" s="117"/>
      <c r="AX6371" s="117"/>
      <c r="AY6371" s="117"/>
      <c r="AZ6371" s="117"/>
      <c r="BA6371" s="117"/>
      <c r="BB6371" s="117"/>
      <c r="BC6371" s="117"/>
      <c r="BD6371" s="117"/>
    </row>
    <row r="6372" spans="1:56" ht="15">
      <c r="A6372" s="466" t="s">
        <v>1105</v>
      </c>
      <c r="B6372" s="362"/>
      <c r="C6372" s="362"/>
      <c r="D6372" s="362"/>
      <c r="E6372" s="362"/>
      <c r="F6372" s="362"/>
      <c r="G6372" s="362"/>
      <c r="H6372" s="362"/>
      <c r="I6372" s="362"/>
      <c r="J6372" s="114"/>
      <c r="AW6372" s="117"/>
      <c r="AX6372" s="117"/>
      <c r="AY6372" s="117"/>
      <c r="AZ6372" s="117"/>
      <c r="BA6372" s="117"/>
      <c r="BB6372" s="117"/>
      <c r="BC6372" s="117"/>
      <c r="BD6372" s="117"/>
    </row>
    <row r="6373" spans="1:56">
      <c r="A6373" s="114"/>
      <c r="B6373" s="385" t="s">
        <v>1346</v>
      </c>
      <c r="C6373" s="140"/>
      <c r="D6373" s="140"/>
      <c r="E6373" s="140"/>
      <c r="F6373" s="401"/>
      <c r="G6373" s="401"/>
      <c r="H6373" s="401"/>
      <c r="I6373" s="401"/>
      <c r="J6373" s="114"/>
      <c r="AW6373" s="117"/>
      <c r="AX6373" s="117"/>
      <c r="AY6373" s="117"/>
      <c r="AZ6373" s="117"/>
      <c r="BA6373" s="117"/>
      <c r="BB6373" s="117"/>
      <c r="BC6373" s="117"/>
      <c r="BD6373" s="117"/>
    </row>
    <row r="6374" spans="1:56" ht="15">
      <c r="A6374" s="114"/>
      <c r="B6374" s="456"/>
      <c r="C6374" s="401"/>
      <c r="D6374" s="401"/>
      <c r="E6374" s="401"/>
      <c r="F6374" s="401"/>
      <c r="G6374" s="489"/>
      <c r="H6374" s="489"/>
      <c r="I6374" s="489"/>
      <c r="J6374" s="114"/>
      <c r="AW6374" s="117"/>
      <c r="AX6374" s="117"/>
      <c r="AY6374" s="117"/>
      <c r="AZ6374" s="117"/>
      <c r="BA6374" s="117"/>
      <c r="BB6374" s="117"/>
      <c r="BC6374" s="117"/>
      <c r="BD6374" s="117"/>
    </row>
    <row r="6375" spans="1:56" ht="18">
      <c r="A6375" s="114"/>
      <c r="B6375" s="457" t="s">
        <v>1141</v>
      </c>
      <c r="C6375" s="458">
        <v>0.3</v>
      </c>
      <c r="D6375" s="459" t="s">
        <v>10</v>
      </c>
      <c r="E6375" s="401"/>
      <c r="F6375" s="401"/>
      <c r="G6375" s="406" t="s">
        <v>1142</v>
      </c>
      <c r="H6375" s="407">
        <f>C6378*C6379</f>
        <v>18.742500000000003</v>
      </c>
      <c r="I6375" s="405" t="s">
        <v>1143</v>
      </c>
      <c r="J6375" s="114"/>
      <c r="AW6375" s="117"/>
      <c r="AX6375" s="117"/>
      <c r="AY6375" s="117"/>
      <c r="AZ6375" s="117"/>
      <c r="BA6375" s="117"/>
      <c r="BB6375" s="117"/>
      <c r="BC6375" s="117"/>
      <c r="BD6375" s="117"/>
    </row>
    <row r="6376" spans="1:56" ht="15">
      <c r="A6376" s="114"/>
      <c r="B6376" s="457" t="s">
        <v>1145</v>
      </c>
      <c r="C6376" s="458">
        <v>0.3</v>
      </c>
      <c r="D6376" s="459" t="s">
        <v>10</v>
      </c>
      <c r="E6376" s="401"/>
      <c r="F6376" s="401"/>
      <c r="G6376" s="406"/>
      <c r="H6376" s="407"/>
      <c r="I6376" s="405"/>
      <c r="J6376" s="114"/>
      <c r="AW6376" s="117"/>
      <c r="AX6376" s="117"/>
      <c r="AY6376" s="117"/>
      <c r="AZ6376" s="117"/>
      <c r="BA6376" s="117"/>
      <c r="BB6376" s="117"/>
      <c r="BC6376" s="117"/>
      <c r="BD6376" s="117"/>
    </row>
    <row r="6377" spans="1:56" ht="15">
      <c r="A6377" s="114"/>
      <c r="B6377" s="457" t="s">
        <v>1144</v>
      </c>
      <c r="C6377" s="458">
        <v>0.3</v>
      </c>
      <c r="D6377" s="459" t="s">
        <v>10</v>
      </c>
      <c r="E6377" s="401"/>
      <c r="F6377" s="401"/>
      <c r="G6377" s="406" t="e">
        <f>TEXT(C6386,"tg 0°=")</f>
        <v>#VALUE!</v>
      </c>
      <c r="H6377" s="408">
        <f>TAN(3.14159265359*C6386/180)</f>
        <v>1.732050807569153</v>
      </c>
      <c r="I6377" s="405"/>
      <c r="J6377" s="114"/>
      <c r="AW6377" s="117"/>
      <c r="AX6377" s="117"/>
      <c r="AY6377" s="117"/>
      <c r="AZ6377" s="117"/>
      <c r="BA6377" s="117"/>
      <c r="BB6377" s="117"/>
      <c r="BC6377" s="117"/>
      <c r="BD6377" s="117"/>
    </row>
    <row r="6378" spans="1:56" ht="15">
      <c r="A6378" s="114"/>
      <c r="B6378" s="457" t="s">
        <v>1110</v>
      </c>
      <c r="C6378" s="458">
        <v>7.65</v>
      </c>
      <c r="D6378" s="459" t="s">
        <v>10</v>
      </c>
      <c r="E6378" s="401"/>
      <c r="F6378" s="401"/>
      <c r="G6378" s="406"/>
      <c r="H6378" s="407"/>
      <c r="I6378" s="405"/>
      <c r="J6378" s="114"/>
      <c r="AW6378" s="117"/>
      <c r="AX6378" s="117"/>
      <c r="AY6378" s="117"/>
      <c r="AZ6378" s="117"/>
      <c r="BA6378" s="117"/>
      <c r="BB6378" s="117"/>
      <c r="BC6378" s="117"/>
      <c r="BD6378" s="117"/>
    </row>
    <row r="6379" spans="1:56" ht="18">
      <c r="A6379" s="114"/>
      <c r="B6379" s="457" t="s">
        <v>1111</v>
      </c>
      <c r="C6379" s="458">
        <v>2.4500000000000002</v>
      </c>
      <c r="D6379" s="459" t="s">
        <v>10</v>
      </c>
      <c r="E6379" s="401"/>
      <c r="F6379" s="401"/>
      <c r="G6379" s="406" t="s">
        <v>1142</v>
      </c>
      <c r="H6379" s="409">
        <f>(C6378+2*C6381+((C6380+0.05)/H6377)*2)*(C6379+2*C6381+((C6380+0.05)/H6377)*2)</f>
        <v>58.376617233508803</v>
      </c>
      <c r="I6379" s="405" t="s">
        <v>1143</v>
      </c>
      <c r="J6379" s="114"/>
      <c r="AW6379" s="117"/>
      <c r="AX6379" s="117"/>
      <c r="AY6379" s="117"/>
      <c r="AZ6379" s="117"/>
      <c r="BA6379" s="117"/>
      <c r="BB6379" s="117"/>
      <c r="BC6379" s="117"/>
      <c r="BD6379" s="117"/>
    </row>
    <row r="6380" spans="1:56" ht="18">
      <c r="A6380" s="114"/>
      <c r="B6380" s="457" t="s">
        <v>1112</v>
      </c>
      <c r="C6380" s="458">
        <v>1.7</v>
      </c>
      <c r="D6380" s="459" t="s">
        <v>10</v>
      </c>
      <c r="E6380" s="288" t="s">
        <v>1239</v>
      </c>
      <c r="F6380" s="401"/>
      <c r="G6380" s="406" t="s">
        <v>1147</v>
      </c>
      <c r="H6380" s="409">
        <f>(C6378+2*C6381)*(C6379+2*C6381)</f>
        <v>29.842500000000001</v>
      </c>
      <c r="I6380" s="405" t="s">
        <v>1143</v>
      </c>
      <c r="J6380" s="114"/>
      <c r="AW6380" s="117"/>
      <c r="AX6380" s="117"/>
      <c r="AY6380" s="117"/>
      <c r="AZ6380" s="117"/>
      <c r="BA6380" s="117"/>
      <c r="BB6380" s="117"/>
      <c r="BC6380" s="117"/>
      <c r="BD6380" s="117"/>
    </row>
    <row r="6381" spans="1:56" ht="15">
      <c r="A6381" s="114"/>
      <c r="B6381" s="457" t="s">
        <v>1113</v>
      </c>
      <c r="C6381" s="458">
        <v>0.5</v>
      </c>
      <c r="D6381" s="459" t="s">
        <v>10</v>
      </c>
      <c r="E6381" s="361" t="s">
        <v>1120</v>
      </c>
      <c r="F6381" s="401"/>
      <c r="G6381" s="406"/>
      <c r="H6381" s="407"/>
      <c r="I6381" s="405"/>
      <c r="J6381" s="114"/>
      <c r="AW6381" s="117"/>
      <c r="AX6381" s="117"/>
      <c r="AY6381" s="117"/>
      <c r="AZ6381" s="117"/>
      <c r="BA6381" s="117"/>
      <c r="BB6381" s="117"/>
      <c r="BC6381" s="117"/>
      <c r="BD6381" s="117"/>
    </row>
    <row r="6382" spans="1:56" ht="15">
      <c r="A6382" s="114"/>
      <c r="B6382" s="457" t="s">
        <v>1113</v>
      </c>
      <c r="C6382" s="458">
        <v>0.1</v>
      </c>
      <c r="D6382" s="459" t="s">
        <v>10</v>
      </c>
      <c r="E6382" s="361" t="s">
        <v>1121</v>
      </c>
      <c r="F6382" s="401"/>
      <c r="G6382" s="392"/>
      <c r="H6382" s="393"/>
      <c r="I6382" s="196"/>
      <c r="J6382" s="114"/>
      <c r="AW6382" s="117"/>
      <c r="AX6382" s="117"/>
      <c r="AY6382" s="117"/>
      <c r="AZ6382" s="117"/>
      <c r="BA6382" s="117"/>
      <c r="BB6382" s="117"/>
      <c r="BC6382" s="117"/>
      <c r="BD6382" s="117"/>
    </row>
    <row r="6383" spans="1:56" ht="15">
      <c r="A6383" s="114"/>
      <c r="B6383" s="457" t="s">
        <v>1117</v>
      </c>
      <c r="C6383" s="460">
        <v>1</v>
      </c>
      <c r="D6383" s="459" t="s">
        <v>1118</v>
      </c>
      <c r="E6383" s="401"/>
      <c r="F6383" s="401"/>
      <c r="G6383" s="401"/>
      <c r="H6383" s="392"/>
      <c r="I6383" s="393"/>
      <c r="J6383" s="114"/>
      <c r="AW6383" s="117"/>
      <c r="AX6383" s="117"/>
      <c r="AY6383" s="117"/>
      <c r="AZ6383" s="117"/>
      <c r="BA6383" s="117"/>
      <c r="BB6383" s="117"/>
      <c r="BC6383" s="117"/>
      <c r="BD6383" s="117"/>
    </row>
    <row r="6384" spans="1:56" ht="15">
      <c r="A6384" s="114"/>
      <c r="B6384" s="410"/>
      <c r="C6384" s="410"/>
      <c r="D6384" s="410"/>
      <c r="E6384" s="410"/>
      <c r="F6384" s="401"/>
      <c r="G6384" s="401"/>
      <c r="H6384" s="392"/>
      <c r="I6384" s="393"/>
      <c r="J6384" s="114"/>
      <c r="AW6384" s="117"/>
      <c r="AX6384" s="117"/>
      <c r="AY6384" s="117"/>
      <c r="AZ6384" s="117"/>
      <c r="BA6384" s="117"/>
      <c r="BB6384" s="117"/>
      <c r="BC6384" s="117"/>
      <c r="BD6384" s="117"/>
    </row>
    <row r="6385" spans="1:56" ht="15">
      <c r="A6385" s="114"/>
      <c r="B6385" s="401" t="s">
        <v>1148</v>
      </c>
      <c r="C6385" s="461"/>
      <c r="D6385" s="401"/>
      <c r="E6385" s="401"/>
      <c r="F6385" s="401"/>
      <c r="G6385" s="401"/>
      <c r="H6385" s="392"/>
      <c r="I6385" s="393"/>
      <c r="J6385" s="114"/>
      <c r="AW6385" s="117"/>
      <c r="AX6385" s="117"/>
      <c r="AY6385" s="117"/>
      <c r="AZ6385" s="117"/>
      <c r="BA6385" s="117"/>
      <c r="BB6385" s="117"/>
      <c r="BC6385" s="117"/>
      <c r="BD6385" s="117"/>
    </row>
    <row r="6386" spans="1:56" ht="15">
      <c r="A6386" s="114"/>
      <c r="B6386" s="457" t="s">
        <v>1149</v>
      </c>
      <c r="C6386" s="462">
        <v>60</v>
      </c>
      <c r="D6386" s="459" t="s">
        <v>1150</v>
      </c>
      <c r="E6386" s="401"/>
      <c r="F6386" s="401"/>
      <c r="G6386" s="114"/>
      <c r="H6386" s="468" t="s">
        <v>1240</v>
      </c>
      <c r="I6386" s="362"/>
      <c r="J6386" s="114"/>
      <c r="AW6386" s="117"/>
      <c r="AX6386" s="117"/>
      <c r="AY6386" s="117"/>
      <c r="AZ6386" s="117"/>
      <c r="BA6386" s="117"/>
      <c r="BB6386" s="117"/>
      <c r="BC6386" s="117"/>
      <c r="BD6386" s="117"/>
    </row>
    <row r="6387" spans="1:56" ht="15">
      <c r="A6387" s="114"/>
      <c r="B6387" s="410"/>
      <c r="C6387" s="410"/>
      <c r="D6387" s="410"/>
      <c r="E6387" s="410"/>
      <c r="F6387" s="410"/>
      <c r="G6387" s="410"/>
      <c r="H6387" s="362"/>
      <c r="I6387" s="362"/>
      <c r="J6387" s="114"/>
      <c r="AW6387" s="117"/>
      <c r="AX6387" s="117"/>
      <c r="AY6387" s="117"/>
      <c r="AZ6387" s="117"/>
      <c r="BA6387" s="117"/>
      <c r="BB6387" s="117"/>
      <c r="BC6387" s="117"/>
      <c r="BD6387" s="117"/>
    </row>
    <row r="6388" spans="1:56" ht="15">
      <c r="A6388" s="114"/>
      <c r="B6388" s="303" t="s">
        <v>1122</v>
      </c>
      <c r="C6388" s="410"/>
      <c r="D6388" s="410"/>
      <c r="E6388" s="410"/>
      <c r="F6388" s="410"/>
      <c r="G6388" s="401"/>
      <c r="H6388" s="196"/>
      <c r="I6388" s="362"/>
      <c r="J6388" s="114"/>
      <c r="AW6388" s="117"/>
      <c r="AX6388" s="117"/>
      <c r="AY6388" s="117"/>
      <c r="AZ6388" s="117"/>
      <c r="BA6388" s="117"/>
      <c r="BB6388" s="117"/>
      <c r="BC6388" s="117"/>
      <c r="BD6388" s="117"/>
    </row>
    <row r="6389" spans="1:56" ht="16.5">
      <c r="A6389" s="114"/>
      <c r="B6389" s="463" t="s">
        <v>1123</v>
      </c>
      <c r="C6389" s="464"/>
      <c r="D6389" s="457"/>
      <c r="E6389" s="397">
        <f>C6383*(((H6380+H6379)/2)*(C6380+0.05))</f>
        <v>77.191727579320201</v>
      </c>
      <c r="F6389" s="459" t="s">
        <v>1241</v>
      </c>
      <c r="G6389" s="401"/>
      <c r="H6389" s="362"/>
      <c r="I6389" s="362"/>
      <c r="J6389" s="114"/>
      <c r="AW6389" s="117"/>
      <c r="AX6389" s="117"/>
      <c r="AY6389" s="117"/>
      <c r="AZ6389" s="117"/>
      <c r="BA6389" s="117"/>
      <c r="BB6389" s="117"/>
      <c r="BC6389" s="117"/>
      <c r="BD6389" s="117"/>
    </row>
    <row r="6390" spans="1:56" ht="16.5">
      <c r="A6390" s="114"/>
      <c r="B6390" s="463" t="s">
        <v>1125</v>
      </c>
      <c r="C6390" s="464"/>
      <c r="D6390" s="457"/>
      <c r="E6390" s="400">
        <f>E6389-(H6375*C6380*C6383)</f>
        <v>45.329477579320198</v>
      </c>
      <c r="F6390" s="459" t="s">
        <v>1241</v>
      </c>
      <c r="G6390" s="401"/>
      <c r="H6390" s="196"/>
      <c r="I6390" s="196"/>
      <c r="J6390" s="114"/>
      <c r="AW6390" s="117"/>
      <c r="AX6390" s="117"/>
      <c r="AY6390" s="117"/>
      <c r="AZ6390" s="117"/>
      <c r="BA6390" s="117"/>
      <c r="BB6390" s="117"/>
      <c r="BC6390" s="117"/>
      <c r="BD6390" s="117"/>
    </row>
    <row r="6391" spans="1:56" ht="15">
      <c r="A6391" s="114"/>
      <c r="B6391" s="463" t="s">
        <v>1126</v>
      </c>
      <c r="C6391" s="464"/>
      <c r="D6391" s="457"/>
      <c r="E6391" s="400">
        <f>C6383*((C6378+2*C6382)*(C6379+2*C6382))</f>
        <v>20.802500000000006</v>
      </c>
      <c r="F6391" s="459" t="s">
        <v>13</v>
      </c>
      <c r="G6391" s="465"/>
      <c r="H6391" s="362"/>
      <c r="I6391" s="362"/>
      <c r="J6391" s="114"/>
      <c r="AW6391" s="117"/>
      <c r="AX6391" s="117"/>
      <c r="AY6391" s="117"/>
      <c r="AZ6391" s="117"/>
      <c r="BA6391" s="117"/>
      <c r="BB6391" s="117"/>
      <c r="BC6391" s="117"/>
      <c r="BD6391" s="117"/>
    </row>
    <row r="6392" spans="1:56" ht="15">
      <c r="A6392" s="114"/>
      <c r="B6392" s="410"/>
      <c r="C6392" s="410"/>
      <c r="D6392" s="410"/>
      <c r="E6392" s="401"/>
      <c r="F6392" s="401"/>
      <c r="G6392" s="465"/>
      <c r="H6392" s="362"/>
      <c r="I6392" s="362"/>
      <c r="J6392" s="114"/>
      <c r="AW6392" s="117"/>
      <c r="AX6392" s="117"/>
      <c r="AY6392" s="117"/>
      <c r="AZ6392" s="117"/>
      <c r="BA6392" s="117"/>
      <c r="BB6392" s="117"/>
      <c r="BC6392" s="117"/>
      <c r="BD6392" s="117"/>
    </row>
    <row r="6393" spans="1:56" ht="15">
      <c r="A6393" s="114"/>
      <c r="B6393" s="303" t="s">
        <v>1242</v>
      </c>
      <c r="C6393" s="410"/>
      <c r="D6393" s="410"/>
      <c r="E6393" s="410"/>
      <c r="F6393" s="410"/>
      <c r="G6393" s="465"/>
      <c r="H6393" s="362"/>
      <c r="I6393" s="362"/>
      <c r="J6393" s="114"/>
      <c r="AW6393" s="117"/>
      <c r="AX6393" s="117"/>
      <c r="AY6393" s="117"/>
      <c r="AZ6393" s="117"/>
      <c r="BA6393" s="117"/>
      <c r="BB6393" s="117"/>
      <c r="BC6393" s="117"/>
      <c r="BD6393" s="117"/>
    </row>
    <row r="6394" spans="1:56" ht="16.5">
      <c r="A6394" s="114"/>
      <c r="B6394" s="463" t="s">
        <v>1128</v>
      </c>
      <c r="C6394" s="464"/>
      <c r="D6394" s="457"/>
      <c r="E6394" s="402">
        <f>E6391*0.05</f>
        <v>1.0401250000000004</v>
      </c>
      <c r="F6394" s="459" t="s">
        <v>1241</v>
      </c>
      <c r="G6394" s="465"/>
      <c r="H6394" s="362"/>
      <c r="I6394" s="362"/>
      <c r="J6394" s="114"/>
      <c r="AW6394" s="117"/>
      <c r="AX6394" s="117"/>
      <c r="AY6394" s="117"/>
      <c r="AZ6394" s="117"/>
      <c r="BA6394" s="117"/>
      <c r="BB6394" s="117"/>
      <c r="BC6394" s="117"/>
      <c r="BD6394" s="117"/>
    </row>
    <row r="6395" spans="1:56" ht="15">
      <c r="A6395" s="114"/>
      <c r="B6395" s="463" t="s">
        <v>1129</v>
      </c>
      <c r="C6395" s="464"/>
      <c r="D6395" s="457"/>
      <c r="E6395" s="397">
        <f>C6383*((2*C6378+2*C6379)*C6380+(2*(C6378-C6375-C6376)+2*(C6379-2*C6375))*(C6380-C6377))</f>
        <v>59.260000000000005</v>
      </c>
      <c r="F6395" s="459" t="s">
        <v>13</v>
      </c>
      <c r="G6395" s="465"/>
      <c r="H6395" s="362"/>
      <c r="I6395" s="362"/>
      <c r="J6395" s="114"/>
      <c r="AW6395" s="117"/>
      <c r="AX6395" s="117"/>
      <c r="AY6395" s="117"/>
      <c r="AZ6395" s="117"/>
      <c r="BA6395" s="117"/>
      <c r="BB6395" s="117"/>
      <c r="BC6395" s="117"/>
      <c r="BD6395" s="117"/>
    </row>
    <row r="6396" spans="1:56" ht="16.5">
      <c r="A6396" s="114"/>
      <c r="B6396" s="463" t="s">
        <v>1130</v>
      </c>
      <c r="C6396" s="464"/>
      <c r="D6396" s="457"/>
      <c r="E6396" s="467">
        <f>((C6378*C6379*C6377)+((C6378*C6379)-((C6378-C6375-C6376)*(C6379-C6375-C6375))*(C6380-C6377)))*C6383</f>
        <v>6.1057500000000013</v>
      </c>
      <c r="F6396" s="459" t="s">
        <v>1241</v>
      </c>
      <c r="G6396" s="465"/>
      <c r="H6396" s="362"/>
      <c r="I6396" s="362"/>
      <c r="J6396" s="114"/>
      <c r="AW6396" s="117"/>
      <c r="AX6396" s="117"/>
      <c r="AY6396" s="117"/>
      <c r="AZ6396" s="117"/>
      <c r="BA6396" s="117"/>
      <c r="BB6396" s="117"/>
      <c r="BC6396" s="117"/>
      <c r="BD6396" s="117"/>
    </row>
    <row r="6397" spans="1:56">
      <c r="A6397" s="114"/>
      <c r="B6397" s="115"/>
      <c r="C6397" s="115"/>
      <c r="D6397" s="115"/>
      <c r="E6397" s="115"/>
      <c r="F6397" s="115"/>
      <c r="G6397" s="115"/>
      <c r="H6397" s="115"/>
      <c r="I6397" s="115"/>
      <c r="J6397" s="114"/>
      <c r="AW6397" s="117"/>
      <c r="AX6397" s="117"/>
      <c r="AY6397" s="117"/>
      <c r="AZ6397" s="117"/>
      <c r="BA6397" s="117"/>
      <c r="BB6397" s="117"/>
      <c r="BC6397" s="117"/>
      <c r="BD6397" s="117"/>
    </row>
    <row r="6398" spans="1:56">
      <c r="A6398" s="114"/>
      <c r="B6398" s="115"/>
      <c r="C6398" s="115"/>
      <c r="D6398" s="115"/>
      <c r="E6398" s="115"/>
      <c r="F6398" s="115"/>
      <c r="G6398" s="115"/>
      <c r="H6398" s="115"/>
      <c r="I6398" s="115"/>
      <c r="J6398" s="114"/>
      <c r="AW6398" s="117"/>
      <c r="AX6398" s="117"/>
      <c r="AY6398" s="117"/>
      <c r="AZ6398" s="117"/>
      <c r="BA6398" s="117"/>
      <c r="BB6398" s="117"/>
      <c r="BC6398" s="117"/>
      <c r="BD6398" s="117"/>
    </row>
    <row r="6399" spans="1:56" thickBot="1">
      <c r="A6399" s="449"/>
      <c r="B6399" s="494"/>
      <c r="C6399" s="494"/>
      <c r="D6399" s="494"/>
      <c r="E6399" s="494"/>
      <c r="F6399" s="494"/>
      <c r="G6399" s="362"/>
      <c r="H6399" s="362"/>
      <c r="I6399" s="362"/>
      <c r="J6399" s="114"/>
      <c r="AW6399" s="117"/>
      <c r="AX6399" s="117"/>
      <c r="AY6399" s="117"/>
      <c r="AZ6399" s="117"/>
      <c r="BA6399" s="117"/>
      <c r="BB6399" s="117"/>
      <c r="BC6399" s="117"/>
      <c r="BD6399" s="117"/>
    </row>
    <row r="6400" spans="1:56" ht="16.5" thickBot="1">
      <c r="A6400" s="114"/>
      <c r="B6400" s="496" t="s">
        <v>1347</v>
      </c>
      <c r="C6400" s="362"/>
      <c r="D6400" s="362"/>
      <c r="E6400" s="362"/>
      <c r="F6400" s="362"/>
      <c r="G6400" s="196"/>
      <c r="H6400" s="362"/>
      <c r="I6400" s="362"/>
      <c r="J6400" s="114"/>
      <c r="AW6400" s="117"/>
      <c r="AX6400" s="117"/>
      <c r="AY6400" s="117"/>
      <c r="AZ6400" s="117"/>
      <c r="BA6400" s="117"/>
      <c r="BB6400" s="117"/>
      <c r="BC6400" s="117"/>
      <c r="BD6400" s="117"/>
    </row>
    <row r="6401" spans="1:56" ht="15">
      <c r="A6401" s="114"/>
      <c r="B6401" s="566" t="s">
        <v>1348</v>
      </c>
      <c r="C6401" s="497" t="s">
        <v>304</v>
      </c>
      <c r="D6401" s="497" t="s">
        <v>94</v>
      </c>
      <c r="E6401" s="497" t="s">
        <v>67</v>
      </c>
      <c r="F6401" s="498" t="s">
        <v>95</v>
      </c>
      <c r="G6401" s="498" t="s">
        <v>397</v>
      </c>
      <c r="H6401" s="499" t="s">
        <v>1349</v>
      </c>
      <c r="I6401" s="529" t="s">
        <v>1425</v>
      </c>
      <c r="J6401" s="528"/>
      <c r="AW6401" s="117"/>
      <c r="AX6401" s="117"/>
      <c r="AY6401" s="117"/>
      <c r="AZ6401" s="117"/>
      <c r="BA6401" s="117"/>
      <c r="BB6401" s="117"/>
      <c r="BC6401" s="117"/>
      <c r="BD6401" s="117"/>
    </row>
    <row r="6402" spans="1:56" ht="15">
      <c r="A6402" s="114"/>
      <c r="B6402" s="272" t="s">
        <v>1350</v>
      </c>
      <c r="C6402" s="194">
        <v>0.24399999999999999</v>
      </c>
      <c r="D6402" s="181">
        <v>0.1</v>
      </c>
      <c r="E6402" s="181">
        <v>1</v>
      </c>
      <c r="F6402" s="475">
        <f t="shared" ref="F6402:F6407" si="0">(C6402*D6402)*E6402</f>
        <v>2.4400000000000002E-2</v>
      </c>
      <c r="G6402" s="476">
        <f t="shared" ref="G6402:G6407" si="1">(C6402*0.05)*E6402</f>
        <v>1.2200000000000001E-2</v>
      </c>
      <c r="H6402" s="500">
        <f t="shared" ref="H6402:H6407" si="2">C6402</f>
        <v>0.24399999999999999</v>
      </c>
      <c r="I6402" s="522">
        <f t="shared" ref="I6402:I6407" si="3">(D6402+0.55)*C6402</f>
        <v>0.15859999999999999</v>
      </c>
      <c r="J6402" s="114"/>
      <c r="AW6402" s="117"/>
      <c r="AX6402" s="117"/>
      <c r="AY6402" s="117"/>
      <c r="AZ6402" s="117"/>
      <c r="BA6402" s="117"/>
      <c r="BB6402" s="117"/>
      <c r="BC6402" s="117"/>
      <c r="BD6402" s="117"/>
    </row>
    <row r="6403" spans="1:56" ht="15">
      <c r="A6403" s="114"/>
      <c r="B6403" s="272" t="s">
        <v>1351</v>
      </c>
      <c r="C6403" s="194">
        <v>0.17799999999999999</v>
      </c>
      <c r="D6403" s="181">
        <v>0.1</v>
      </c>
      <c r="E6403" s="181">
        <v>2</v>
      </c>
      <c r="F6403" s="475">
        <f t="shared" si="0"/>
        <v>3.56E-2</v>
      </c>
      <c r="G6403" s="476">
        <f t="shared" si="1"/>
        <v>1.78E-2</v>
      </c>
      <c r="H6403" s="500">
        <f t="shared" si="2"/>
        <v>0.17799999999999999</v>
      </c>
      <c r="I6403" s="523">
        <f t="shared" si="3"/>
        <v>0.1157</v>
      </c>
      <c r="J6403" s="114"/>
      <c r="AW6403" s="117"/>
      <c r="AX6403" s="117"/>
      <c r="AY6403" s="117"/>
      <c r="AZ6403" s="117"/>
      <c r="BA6403" s="117"/>
      <c r="BB6403" s="117"/>
      <c r="BC6403" s="117"/>
      <c r="BD6403" s="117"/>
    </row>
    <row r="6404" spans="1:56" ht="15">
      <c r="A6404" s="114"/>
      <c r="B6404" s="272" t="s">
        <v>1352</v>
      </c>
      <c r="C6404" s="194">
        <v>0.28999999999999998</v>
      </c>
      <c r="D6404" s="181">
        <v>0.1</v>
      </c>
      <c r="E6404" s="181">
        <v>1</v>
      </c>
      <c r="F6404" s="475">
        <f t="shared" si="0"/>
        <v>2.8999999999999998E-2</v>
      </c>
      <c r="G6404" s="476">
        <f t="shared" si="1"/>
        <v>1.4499999999999999E-2</v>
      </c>
      <c r="H6404" s="500">
        <f t="shared" si="2"/>
        <v>0.28999999999999998</v>
      </c>
      <c r="I6404" s="523">
        <f t="shared" si="3"/>
        <v>0.1885</v>
      </c>
      <c r="J6404" s="114"/>
      <c r="AW6404" s="117"/>
      <c r="AX6404" s="117"/>
      <c r="AY6404" s="117"/>
      <c r="AZ6404" s="117"/>
      <c r="BA6404" s="117"/>
      <c r="BB6404" s="117"/>
      <c r="BC6404" s="117"/>
      <c r="BD6404" s="117"/>
    </row>
    <row r="6405" spans="1:56" ht="15">
      <c r="A6405" s="114"/>
      <c r="B6405" s="272" t="s">
        <v>1353</v>
      </c>
      <c r="C6405" s="194">
        <v>0.123</v>
      </c>
      <c r="D6405" s="181">
        <v>0.1</v>
      </c>
      <c r="E6405" s="181">
        <v>1</v>
      </c>
      <c r="F6405" s="475">
        <f t="shared" si="0"/>
        <v>1.23E-2</v>
      </c>
      <c r="G6405" s="476">
        <f t="shared" si="1"/>
        <v>6.1500000000000001E-3</v>
      </c>
      <c r="H6405" s="500">
        <f t="shared" si="2"/>
        <v>0.123</v>
      </c>
      <c r="I6405" s="523">
        <f t="shared" si="3"/>
        <v>7.9950000000000007E-2</v>
      </c>
      <c r="J6405" s="114"/>
      <c r="AW6405" s="117"/>
      <c r="AX6405" s="117"/>
      <c r="AY6405" s="117"/>
      <c r="AZ6405" s="117"/>
      <c r="BA6405" s="117"/>
      <c r="BB6405" s="117"/>
      <c r="BC6405" s="117"/>
      <c r="BD6405" s="117"/>
    </row>
    <row r="6406" spans="1:56" ht="15">
      <c r="A6406" s="114"/>
      <c r="B6406" s="272" t="s">
        <v>1354</v>
      </c>
      <c r="C6406" s="194">
        <v>0.183</v>
      </c>
      <c r="D6406" s="181">
        <v>0.1</v>
      </c>
      <c r="E6406" s="181">
        <v>1</v>
      </c>
      <c r="F6406" s="475">
        <f t="shared" si="0"/>
        <v>1.83E-2</v>
      </c>
      <c r="G6406" s="476">
        <f t="shared" si="1"/>
        <v>9.1500000000000001E-3</v>
      </c>
      <c r="H6406" s="500">
        <f t="shared" si="2"/>
        <v>0.183</v>
      </c>
      <c r="I6406" s="523">
        <f t="shared" si="3"/>
        <v>0.11895</v>
      </c>
      <c r="J6406" s="114"/>
      <c r="AW6406" s="117"/>
      <c r="AX6406" s="117"/>
      <c r="AY6406" s="117"/>
      <c r="AZ6406" s="117"/>
      <c r="BA6406" s="117"/>
      <c r="BB6406" s="117"/>
      <c r="BC6406" s="117"/>
      <c r="BD6406" s="117"/>
    </row>
    <row r="6407" spans="1:56" thickBot="1">
      <c r="A6407" s="114"/>
      <c r="B6407" s="567" t="s">
        <v>1355</v>
      </c>
      <c r="C6407" s="501">
        <v>0.39800000000000002</v>
      </c>
      <c r="D6407" s="502">
        <v>0.1</v>
      </c>
      <c r="E6407" s="502">
        <v>1</v>
      </c>
      <c r="F6407" s="524">
        <f t="shared" si="0"/>
        <v>3.9800000000000002E-2</v>
      </c>
      <c r="G6407" s="525">
        <f t="shared" si="1"/>
        <v>1.9900000000000001E-2</v>
      </c>
      <c r="H6407" s="476">
        <f t="shared" si="2"/>
        <v>0.39800000000000002</v>
      </c>
      <c r="I6407" s="475">
        <f t="shared" si="3"/>
        <v>0.25870000000000004</v>
      </c>
      <c r="J6407" s="114"/>
      <c r="AW6407" s="117"/>
      <c r="AX6407" s="117"/>
      <c r="AY6407" s="117"/>
      <c r="AZ6407" s="117"/>
      <c r="BA6407" s="117"/>
      <c r="BB6407" s="117"/>
      <c r="BC6407" s="117"/>
      <c r="BD6407" s="117"/>
    </row>
    <row r="6408" spans="1:56" ht="16.5" thickBot="1">
      <c r="A6408" s="114"/>
      <c r="B6408" s="115"/>
      <c r="C6408" s="115"/>
      <c r="D6408" s="115"/>
      <c r="E6408" s="115"/>
      <c r="F6408" s="115"/>
      <c r="G6408" s="115"/>
      <c r="H6408" s="526" t="s">
        <v>1356</v>
      </c>
      <c r="I6408" s="527">
        <f>SUM(I6402:I6407)-F6402-F6403-F6404-F6405-F6406-F6407-G6402-G6403-G6404-G6405-G6406-G6407</f>
        <v>0.68130000000000013</v>
      </c>
      <c r="J6408" s="114"/>
      <c r="AW6408" s="117"/>
      <c r="AX6408" s="117"/>
      <c r="AY6408" s="117"/>
      <c r="AZ6408" s="117"/>
      <c r="BA6408" s="117"/>
      <c r="BB6408" s="117"/>
      <c r="BC6408" s="117"/>
      <c r="BD6408" s="117"/>
    </row>
    <row r="6409" spans="1:56">
      <c r="A6409" s="114"/>
      <c r="B6409" s="115"/>
      <c r="C6409" s="115"/>
      <c r="D6409" s="115"/>
      <c r="E6409" s="115"/>
      <c r="F6409" s="115"/>
      <c r="G6409" s="115"/>
      <c r="H6409" s="115"/>
      <c r="I6409" s="115"/>
      <c r="J6409" s="114"/>
      <c r="AW6409" s="117"/>
      <c r="AX6409" s="117"/>
      <c r="AY6409" s="117"/>
      <c r="AZ6409" s="117"/>
      <c r="BA6409" s="117"/>
      <c r="BB6409" s="117"/>
      <c r="BC6409" s="117"/>
      <c r="BD6409" s="117"/>
    </row>
    <row r="6410" spans="1:56" thickBot="1">
      <c r="A6410"/>
      <c r="B6410" s="530"/>
      <c r="C6410" s="530"/>
      <c r="D6410" s="530"/>
      <c r="E6410" s="530"/>
      <c r="F6410" s="530"/>
      <c r="G6410" s="530"/>
      <c r="H6410" s="530"/>
      <c r="I6410" s="530"/>
      <c r="J6410" s="114"/>
      <c r="AW6410" s="117"/>
      <c r="AX6410" s="117"/>
      <c r="AY6410" s="117"/>
      <c r="AZ6410" s="117"/>
      <c r="BA6410" s="117"/>
      <c r="BB6410" s="117"/>
      <c r="BC6410" s="117"/>
      <c r="BD6410" s="117"/>
    </row>
    <row r="6411" spans="1:56" thickBot="1">
      <c r="A6411" s="114"/>
      <c r="B6411" s="1274" t="s">
        <v>394</v>
      </c>
      <c r="C6411" s="50"/>
      <c r="D6411" s="362"/>
      <c r="E6411" s="362"/>
      <c r="F6411" s="362"/>
      <c r="G6411" s="196"/>
      <c r="H6411" s="362"/>
      <c r="I6411" s="362"/>
      <c r="J6411" s="114"/>
      <c r="AW6411" s="117"/>
      <c r="AX6411" s="117"/>
      <c r="AY6411" s="117"/>
      <c r="AZ6411" s="117"/>
      <c r="BA6411" s="117"/>
      <c r="BB6411" s="117"/>
      <c r="BC6411" s="117"/>
      <c r="BD6411" s="117"/>
    </row>
    <row r="6412" spans="1:56" ht="15">
      <c r="A6412" s="114"/>
      <c r="B6412" s="1275"/>
      <c r="C6412" s="503" t="s">
        <v>304</v>
      </c>
      <c r="D6412" s="504" t="s">
        <v>94</v>
      </c>
      <c r="E6412" s="498" t="s">
        <v>95</v>
      </c>
      <c r="F6412" s="498" t="s">
        <v>397</v>
      </c>
      <c r="G6412" s="498" t="s">
        <v>1357</v>
      </c>
      <c r="H6412" s="114"/>
      <c r="I6412" s="114"/>
      <c r="J6412" s="114"/>
      <c r="AW6412" s="117"/>
      <c r="AX6412" s="117"/>
      <c r="AY6412" s="117"/>
      <c r="AZ6412" s="117"/>
      <c r="BA6412" s="117"/>
      <c r="BB6412" s="117"/>
      <c r="BC6412" s="117"/>
      <c r="BD6412" s="117"/>
    </row>
    <row r="6413" spans="1:56" ht="15">
      <c r="A6413" s="114"/>
      <c r="B6413" s="272" t="s">
        <v>1358</v>
      </c>
      <c r="C6413" s="194">
        <v>15266.2</v>
      </c>
      <c r="D6413" s="413">
        <v>0.08</v>
      </c>
      <c r="E6413" s="475">
        <f>C6413*D6413</f>
        <v>1221.296</v>
      </c>
      <c r="F6413" s="476">
        <f>C6413*0.05</f>
        <v>763.31000000000006</v>
      </c>
      <c r="G6413" s="505">
        <v>0</v>
      </c>
      <c r="H6413" s="114"/>
      <c r="I6413" s="114"/>
      <c r="J6413" s="114"/>
      <c r="AW6413" s="117"/>
      <c r="AX6413" s="117"/>
      <c r="AY6413" s="117"/>
      <c r="AZ6413" s="117"/>
      <c r="BA6413" s="117"/>
      <c r="BB6413" s="117"/>
      <c r="BC6413" s="117"/>
      <c r="BD6413" s="117"/>
    </row>
    <row r="6414" spans="1:56" ht="15">
      <c r="A6414" s="114"/>
      <c r="B6414" s="272" t="s">
        <v>1359</v>
      </c>
      <c r="C6414" s="194">
        <v>162.06</v>
      </c>
      <c r="D6414" s="413">
        <v>0.08</v>
      </c>
      <c r="E6414" s="475">
        <f>C6414*D6414</f>
        <v>12.9648</v>
      </c>
      <c r="F6414" s="476">
        <f>C6414*0.05</f>
        <v>8.1029999999999998</v>
      </c>
      <c r="G6414" s="505">
        <f>(D6414+0.05+0.18)*C6414</f>
        <v>50.238599999999998</v>
      </c>
      <c r="H6414" s="114"/>
      <c r="I6414" s="114"/>
      <c r="J6414" s="114"/>
      <c r="AW6414" s="117"/>
      <c r="AX6414" s="117"/>
      <c r="AY6414" s="117"/>
      <c r="AZ6414" s="117"/>
      <c r="BA6414" s="117"/>
      <c r="BB6414" s="117"/>
      <c r="BC6414" s="117"/>
      <c r="BD6414" s="117"/>
    </row>
    <row r="6415" spans="1:56" ht="15">
      <c r="A6415" s="114"/>
      <c r="B6415" s="272" t="s">
        <v>1360</v>
      </c>
      <c r="C6415" s="194">
        <v>1825.76</v>
      </c>
      <c r="D6415" s="413">
        <v>0.08</v>
      </c>
      <c r="E6415" s="475">
        <f>C6415*D6415</f>
        <v>146.0608</v>
      </c>
      <c r="F6415" s="476">
        <f>C6415*0.05</f>
        <v>91.288000000000011</v>
      </c>
      <c r="G6415" s="505">
        <f>(D6415+0.05+0.25)*C6415</f>
        <v>693.78880000000004</v>
      </c>
      <c r="H6415" s="114"/>
      <c r="I6415" s="114"/>
      <c r="J6415" s="114"/>
      <c r="AW6415" s="117"/>
      <c r="AX6415" s="117"/>
      <c r="AY6415" s="117"/>
      <c r="AZ6415" s="117"/>
      <c r="BA6415" s="117"/>
      <c r="BB6415" s="117"/>
      <c r="BC6415" s="117"/>
      <c r="BD6415" s="117"/>
    </row>
    <row r="6416" spans="1:56" ht="15">
      <c r="A6416" s="114"/>
      <c r="B6416" s="272" t="s">
        <v>1361</v>
      </c>
      <c r="C6416" s="194">
        <v>53.98</v>
      </c>
      <c r="D6416" s="413">
        <v>0.08</v>
      </c>
      <c r="E6416" s="475">
        <f>C6416*D6416</f>
        <v>4.3183999999999996</v>
      </c>
      <c r="F6416" s="476">
        <f>C6416*0.05</f>
        <v>2.6989999999999998</v>
      </c>
      <c r="G6416" s="505">
        <v>0</v>
      </c>
      <c r="H6416" s="114"/>
      <c r="I6416" s="114"/>
      <c r="J6416" s="114"/>
      <c r="AW6416" s="117"/>
      <c r="AX6416" s="117"/>
      <c r="AY6416" s="117"/>
      <c r="AZ6416" s="117"/>
      <c r="BA6416" s="117"/>
      <c r="BB6416" s="117"/>
      <c r="BC6416" s="117"/>
      <c r="BD6416" s="117"/>
    </row>
    <row r="6417" spans="1:56" ht="14.25" customHeight="1">
      <c r="A6417" s="114"/>
      <c r="B6417" s="272" t="s">
        <v>1362</v>
      </c>
      <c r="C6417" s="194">
        <v>714.7</v>
      </c>
      <c r="D6417" s="413">
        <v>0.08</v>
      </c>
      <c r="E6417" s="475">
        <f>C6417*D6417</f>
        <v>57.176000000000002</v>
      </c>
      <c r="F6417" s="476">
        <f>C6417*0.05</f>
        <v>35.735000000000007</v>
      </c>
      <c r="G6417" s="505">
        <v>0</v>
      </c>
      <c r="H6417" s="114"/>
      <c r="I6417" s="114"/>
      <c r="J6417" s="114"/>
      <c r="AW6417" s="117"/>
      <c r="AX6417" s="117"/>
      <c r="AY6417" s="117"/>
      <c r="AZ6417" s="117"/>
      <c r="BA6417" s="117"/>
      <c r="BB6417" s="117"/>
      <c r="BC6417" s="117"/>
      <c r="BD6417" s="117"/>
    </row>
    <row r="6418" spans="1:56">
      <c r="A6418" s="114"/>
      <c r="B6418" s="115"/>
      <c r="C6418" s="115"/>
      <c r="D6418" s="115"/>
      <c r="E6418" s="115"/>
      <c r="F6418" s="115"/>
      <c r="G6418" s="115"/>
      <c r="H6418" s="115"/>
      <c r="I6418" s="115"/>
      <c r="J6418" s="114"/>
      <c r="AW6418" s="117"/>
      <c r="AX6418" s="117"/>
      <c r="AY6418" s="117"/>
      <c r="AZ6418" s="117"/>
      <c r="BA6418" s="117"/>
      <c r="BB6418" s="117"/>
      <c r="BC6418" s="117"/>
      <c r="BD6418" s="117"/>
    </row>
    <row r="6419" spans="1:56">
      <c r="A6419" s="114"/>
      <c r="B6419" s="115"/>
      <c r="C6419" s="115"/>
      <c r="D6419" s="115"/>
      <c r="E6419" s="115"/>
      <c r="F6419" s="115"/>
      <c r="G6419" s="115"/>
      <c r="H6419" s="115"/>
      <c r="I6419" s="115"/>
      <c r="J6419" s="114"/>
      <c r="AW6419" s="117"/>
      <c r="AX6419" s="117"/>
      <c r="AY6419" s="117"/>
      <c r="AZ6419" s="117"/>
      <c r="BA6419" s="117"/>
      <c r="BB6419" s="117"/>
      <c r="BC6419" s="117"/>
      <c r="BD6419" s="117"/>
    </row>
    <row r="6420" spans="1:56" s="356" customFormat="1" ht="15">
      <c r="A6420" s="353"/>
      <c r="B6420" s="420" t="s">
        <v>1986</v>
      </c>
      <c r="C6420" s="420"/>
      <c r="D6420" s="420"/>
      <c r="E6420" s="420"/>
      <c r="F6420" s="420"/>
      <c r="G6420" s="420"/>
      <c r="H6420" s="421"/>
      <c r="I6420" s="421"/>
      <c r="J6420" s="353"/>
      <c r="K6420" s="353"/>
      <c r="L6420" s="353"/>
      <c r="M6420" s="353"/>
      <c r="N6420" s="353"/>
      <c r="O6420" s="353"/>
      <c r="P6420" s="353"/>
      <c r="Q6420" s="353"/>
      <c r="R6420" s="353"/>
      <c r="S6420" s="353"/>
      <c r="T6420" s="353"/>
      <c r="U6420" s="353"/>
      <c r="V6420" s="353"/>
      <c r="W6420" s="353"/>
      <c r="X6420" s="353"/>
      <c r="Y6420" s="353"/>
      <c r="Z6420" s="353"/>
      <c r="AA6420" s="353"/>
      <c r="AB6420" s="353"/>
      <c r="AC6420" s="353"/>
      <c r="AD6420" s="353"/>
      <c r="AE6420" s="353"/>
      <c r="AF6420" s="353"/>
      <c r="AG6420" s="353"/>
      <c r="AH6420" s="353"/>
      <c r="AI6420" s="353"/>
      <c r="AJ6420" s="353"/>
      <c r="AK6420" s="353"/>
      <c r="AL6420" s="353"/>
      <c r="AM6420" s="353"/>
      <c r="AN6420" s="353"/>
      <c r="AO6420" s="353"/>
      <c r="AP6420" s="353"/>
      <c r="AQ6420" s="353"/>
      <c r="AR6420" s="353"/>
      <c r="AS6420" s="353"/>
      <c r="AT6420" s="353"/>
      <c r="AU6420" s="353"/>
      <c r="AV6420" s="353"/>
    </row>
    <row r="6421" spans="1:56" ht="15">
      <c r="A6421" s="114"/>
      <c r="B6421" s="293" t="s">
        <v>1987</v>
      </c>
      <c r="C6421" s="387"/>
      <c r="D6421" s="387"/>
      <c r="E6421" s="387"/>
      <c r="F6421" s="387"/>
      <c r="G6421" s="387"/>
      <c r="H6421" s="386"/>
      <c r="I6421" s="386"/>
      <c r="J6421" s="114"/>
      <c r="AW6421" s="117"/>
      <c r="AX6421" s="117"/>
      <c r="AY6421" s="117"/>
      <c r="AZ6421" s="117"/>
      <c r="BA6421" s="117"/>
      <c r="BB6421" s="117"/>
      <c r="BC6421" s="117"/>
      <c r="BD6421" s="117"/>
    </row>
    <row r="6422" spans="1:56" ht="15">
      <c r="A6422" s="114"/>
      <c r="B6422" s="293"/>
      <c r="C6422" s="387"/>
      <c r="D6422" s="387"/>
      <c r="E6422" s="387"/>
      <c r="F6422" s="387"/>
      <c r="G6422" s="387"/>
      <c r="H6422" s="386"/>
      <c r="I6422" s="386"/>
      <c r="J6422" s="722"/>
      <c r="AX6422" s="117"/>
      <c r="AY6422" s="117"/>
      <c r="AZ6422" s="117"/>
      <c r="BA6422" s="117"/>
      <c r="BB6422" s="117"/>
      <c r="BC6422" s="117"/>
      <c r="BD6422" s="117"/>
    </row>
    <row r="6423" spans="1:56">
      <c r="A6423" s="114"/>
      <c r="B6423" s="385" t="s">
        <v>1966</v>
      </c>
      <c r="C6423" s="196"/>
      <c r="D6423" s="196"/>
      <c r="E6423" s="196"/>
      <c r="F6423" s="196"/>
      <c r="G6423" s="196"/>
      <c r="H6423" s="196"/>
      <c r="I6423" s="196"/>
      <c r="J6423" s="415"/>
      <c r="AX6423" s="117"/>
      <c r="AY6423" s="117"/>
      <c r="AZ6423" s="117"/>
      <c r="BA6423" s="117"/>
      <c r="BB6423" s="117"/>
      <c r="BC6423" s="117"/>
      <c r="BD6423" s="117"/>
    </row>
    <row r="6424" spans="1:56" ht="15">
      <c r="A6424" s="114"/>
      <c r="B6424" s="196"/>
      <c r="C6424" s="196"/>
      <c r="D6424" s="196"/>
      <c r="E6424" s="196"/>
      <c r="F6424" s="196"/>
      <c r="G6424" s="196"/>
      <c r="H6424" s="196"/>
      <c r="I6424" s="196"/>
      <c r="J6424" s="722"/>
      <c r="AX6424" s="117"/>
      <c r="AY6424" s="117"/>
      <c r="AZ6424" s="117"/>
      <c r="BA6424" s="117"/>
      <c r="BB6424" s="117"/>
      <c r="BC6424" s="117"/>
      <c r="BD6424" s="117"/>
    </row>
    <row r="6425" spans="1:56" ht="15">
      <c r="A6425" s="114"/>
      <c r="B6425" s="388" t="s">
        <v>1110</v>
      </c>
      <c r="C6425" s="389">
        <v>0.3</v>
      </c>
      <c r="D6425" s="390" t="s">
        <v>10</v>
      </c>
      <c r="E6425" s="196"/>
      <c r="F6425" s="196"/>
      <c r="G6425" s="392"/>
      <c r="H6425" s="393"/>
      <c r="I6425" s="196"/>
      <c r="J6425" s="722"/>
      <c r="AX6425" s="117"/>
      <c r="AY6425" s="117"/>
      <c r="AZ6425" s="117"/>
      <c r="BA6425" s="117"/>
      <c r="BB6425" s="117"/>
      <c r="BC6425" s="117"/>
      <c r="BD6425" s="117"/>
    </row>
    <row r="6426" spans="1:56" ht="15">
      <c r="A6426" s="114"/>
      <c r="B6426" s="388" t="s">
        <v>1111</v>
      </c>
      <c r="C6426" s="391">
        <v>3.6</v>
      </c>
      <c r="D6426" s="390" t="s">
        <v>10</v>
      </c>
      <c r="E6426" s="196"/>
      <c r="F6426" s="196"/>
      <c r="G6426" s="392"/>
      <c r="H6426" s="393"/>
      <c r="I6426" s="196"/>
      <c r="J6426" s="722"/>
      <c r="AX6426" s="117"/>
      <c r="AY6426" s="117"/>
      <c r="AZ6426" s="117"/>
      <c r="BA6426" s="117"/>
      <c r="BB6426" s="117"/>
      <c r="BC6426" s="117"/>
      <c r="BD6426" s="117"/>
    </row>
    <row r="6427" spans="1:56" ht="15">
      <c r="A6427" s="114"/>
      <c r="B6427" s="388" t="s">
        <v>1112</v>
      </c>
      <c r="C6427" s="389">
        <v>0.3</v>
      </c>
      <c r="D6427" s="390" t="s">
        <v>10</v>
      </c>
      <c r="E6427" s="196"/>
      <c r="F6427" s="196"/>
      <c r="G6427" s="392"/>
      <c r="H6427" s="393"/>
      <c r="I6427" s="196"/>
      <c r="J6427" s="722"/>
      <c r="AX6427" s="117"/>
      <c r="AY6427" s="117"/>
      <c r="AZ6427" s="117"/>
      <c r="BA6427" s="117"/>
      <c r="BB6427" s="117"/>
      <c r="BC6427" s="117"/>
      <c r="BD6427" s="117"/>
    </row>
    <row r="6428" spans="1:56" ht="15">
      <c r="A6428" s="114"/>
      <c r="B6428" s="388" t="s">
        <v>1113</v>
      </c>
      <c r="C6428" s="389">
        <v>0.5</v>
      </c>
      <c r="D6428" s="390" t="s">
        <v>10</v>
      </c>
      <c r="E6428" s="196"/>
      <c r="F6428" s="196"/>
      <c r="G6428" s="392"/>
      <c r="H6428" s="394"/>
      <c r="I6428" s="196"/>
      <c r="J6428" s="722"/>
      <c r="AX6428" s="117"/>
      <c r="AY6428" s="117"/>
      <c r="AZ6428" s="117"/>
      <c r="BA6428" s="117"/>
      <c r="BB6428" s="117"/>
      <c r="BC6428" s="117"/>
      <c r="BD6428" s="117"/>
    </row>
    <row r="6429" spans="1:56" ht="15">
      <c r="A6429" s="114"/>
      <c r="B6429" s="388" t="s">
        <v>1117</v>
      </c>
      <c r="C6429" s="389">
        <v>1</v>
      </c>
      <c r="D6429" s="390" t="s">
        <v>1118</v>
      </c>
      <c r="E6429" s="196"/>
      <c r="F6429" s="196"/>
      <c r="G6429" s="392"/>
      <c r="H6429" s="393"/>
      <c r="I6429" s="196"/>
      <c r="J6429" s="722"/>
      <c r="AX6429" s="117"/>
      <c r="AY6429" s="117"/>
      <c r="AZ6429" s="117"/>
      <c r="BA6429" s="117"/>
      <c r="BB6429" s="117"/>
      <c r="BC6429" s="117"/>
      <c r="BD6429" s="117"/>
    </row>
    <row r="6430" spans="1:56" ht="15">
      <c r="A6430" s="114"/>
      <c r="B6430" s="392"/>
      <c r="C6430" s="393"/>
      <c r="D6430" s="196"/>
      <c r="E6430" s="196"/>
      <c r="F6430" s="196"/>
      <c r="G6430" s="392"/>
      <c r="H6430" s="393"/>
      <c r="I6430" s="196"/>
      <c r="J6430" s="722"/>
      <c r="AX6430" s="117"/>
      <c r="AY6430" s="117"/>
      <c r="AZ6430" s="117"/>
      <c r="BA6430" s="117"/>
      <c r="BB6430" s="117"/>
      <c r="BC6430" s="117"/>
      <c r="BD6430" s="117"/>
    </row>
    <row r="6431" spans="1:56" ht="15">
      <c r="A6431" s="114"/>
      <c r="B6431" s="388" t="s">
        <v>1114</v>
      </c>
      <c r="C6431" s="389">
        <v>0.6</v>
      </c>
      <c r="D6431" s="390" t="s">
        <v>10</v>
      </c>
      <c r="E6431" s="288" t="s">
        <v>1120</v>
      </c>
      <c r="F6431" s="288"/>
      <c r="G6431" s="230"/>
      <c r="H6431" s="395"/>
      <c r="I6431" s="196"/>
      <c r="J6431" s="114"/>
      <c r="AW6431" s="117"/>
      <c r="AX6431" s="117"/>
      <c r="AY6431" s="117"/>
      <c r="AZ6431" s="117"/>
      <c r="BA6431" s="117"/>
      <c r="BB6431" s="117"/>
      <c r="BC6431" s="117"/>
      <c r="BD6431" s="117"/>
    </row>
    <row r="6432" spans="1:56" ht="15">
      <c r="A6432" s="114"/>
      <c r="B6432" s="388" t="s">
        <v>1114</v>
      </c>
      <c r="C6432" s="389">
        <v>0.2</v>
      </c>
      <c r="D6432" s="390" t="s">
        <v>10</v>
      </c>
      <c r="E6432" s="288" t="s">
        <v>1121</v>
      </c>
      <c r="F6432" s="288"/>
      <c r="G6432" s="230"/>
      <c r="H6432" s="395"/>
      <c r="I6432" s="196"/>
      <c r="J6432" s="114"/>
      <c r="AW6432" s="117"/>
      <c r="AX6432" s="117"/>
      <c r="AY6432" s="117"/>
      <c r="AZ6432" s="117"/>
      <c r="BA6432" s="117"/>
      <c r="BB6432" s="117"/>
      <c r="BC6432" s="117"/>
      <c r="BD6432" s="117"/>
    </row>
    <row r="6433" spans="1:56" ht="15">
      <c r="A6433" s="114"/>
      <c r="B6433" s="196"/>
      <c r="C6433" s="196"/>
      <c r="D6433" s="196"/>
      <c r="E6433" s="196"/>
      <c r="F6433" s="196"/>
      <c r="G6433" s="196"/>
      <c r="H6433" s="196"/>
      <c r="I6433" s="196"/>
      <c r="J6433" s="114"/>
      <c r="AW6433" s="117"/>
      <c r="AX6433" s="117"/>
      <c r="AY6433" s="117"/>
      <c r="AZ6433" s="117"/>
      <c r="BA6433" s="117"/>
      <c r="BB6433" s="117"/>
      <c r="BC6433" s="117"/>
      <c r="BD6433" s="117"/>
    </row>
    <row r="6434" spans="1:56" ht="15">
      <c r="A6434" s="114"/>
      <c r="B6434" s="303" t="s">
        <v>1122</v>
      </c>
      <c r="C6434" s="722"/>
      <c r="D6434" s="722"/>
      <c r="E6434" s="196"/>
      <c r="F6434" s="196"/>
      <c r="G6434" s="196"/>
      <c r="H6434" s="196"/>
      <c r="I6434" s="196"/>
      <c r="J6434" s="114"/>
      <c r="AW6434" s="117"/>
      <c r="AX6434" s="117"/>
      <c r="AY6434" s="117"/>
      <c r="AZ6434" s="117"/>
      <c r="BA6434" s="117"/>
      <c r="BB6434" s="117"/>
      <c r="BC6434" s="117"/>
      <c r="BD6434" s="117"/>
    </row>
    <row r="6435" spans="1:56" customFormat="1" ht="18">
      <c r="A6435" s="114"/>
      <c r="B6435" s="396" t="s">
        <v>1123</v>
      </c>
      <c r="C6435" s="289"/>
      <c r="D6435" s="290"/>
      <c r="E6435" s="397">
        <f>C6429*(C6431*2*(0.05+C6428+C6427)*C6426)</f>
        <v>3.6720000000000002</v>
      </c>
      <c r="F6435" s="390" t="s">
        <v>1124</v>
      </c>
      <c r="G6435" s="196"/>
      <c r="H6435" s="196"/>
      <c r="I6435" s="196"/>
      <c r="J6435" s="722"/>
    </row>
    <row r="6436" spans="1:56" ht="18">
      <c r="A6436" s="114"/>
      <c r="B6436" s="398" t="s">
        <v>1125</v>
      </c>
      <c r="C6436" s="172"/>
      <c r="D6436" s="173"/>
      <c r="E6436" s="397">
        <f>E6435-((C6425*0.05+C6425*C6428)*C6426)</f>
        <v>3.0780000000000003</v>
      </c>
      <c r="F6436" s="390" t="s">
        <v>1124</v>
      </c>
      <c r="G6436" s="196"/>
      <c r="H6436" s="196"/>
      <c r="I6436" s="196"/>
      <c r="J6436" s="404"/>
      <c r="AX6436" s="117"/>
      <c r="AY6436" s="117"/>
      <c r="AZ6436" s="117"/>
      <c r="BA6436" s="117"/>
      <c r="BB6436" s="117"/>
      <c r="BC6436" s="117"/>
      <c r="BD6436" s="117"/>
    </row>
    <row r="6437" spans="1:56" ht="15">
      <c r="A6437" s="114"/>
      <c r="B6437" s="399" t="s">
        <v>1126</v>
      </c>
      <c r="C6437" s="317"/>
      <c r="D6437" s="318"/>
      <c r="E6437" s="400">
        <f>(2*C6432)*C6426</f>
        <v>1.4400000000000002</v>
      </c>
      <c r="F6437" s="390" t="s">
        <v>13</v>
      </c>
      <c r="G6437" s="196"/>
      <c r="H6437" s="196"/>
      <c r="I6437" s="196"/>
      <c r="J6437" s="405"/>
      <c r="AX6437" s="117"/>
      <c r="AY6437" s="117"/>
      <c r="AZ6437" s="117"/>
      <c r="BA6437" s="117"/>
      <c r="BB6437" s="117"/>
      <c r="BC6437" s="117"/>
      <c r="BD6437" s="117"/>
    </row>
    <row r="6438" spans="1:56" ht="15">
      <c r="A6438" s="114"/>
      <c r="B6438" s="196"/>
      <c r="C6438" s="196"/>
      <c r="D6438" s="196"/>
      <c r="E6438" s="401"/>
      <c r="F6438" s="196"/>
      <c r="G6438" s="196"/>
      <c r="H6438" s="196"/>
      <c r="I6438" s="196"/>
      <c r="J6438" s="405"/>
      <c r="AX6438" s="117"/>
      <c r="AY6438" s="117"/>
      <c r="AZ6438" s="117"/>
      <c r="BA6438" s="117"/>
      <c r="BB6438" s="117"/>
      <c r="BC6438" s="117"/>
      <c r="BD6438" s="117"/>
    </row>
    <row r="6439" spans="1:56" ht="15">
      <c r="A6439" s="114"/>
      <c r="B6439" s="303" t="s">
        <v>1127</v>
      </c>
      <c r="C6439" s="196"/>
      <c r="D6439" s="196"/>
      <c r="E6439" s="401"/>
      <c r="F6439" s="196"/>
      <c r="G6439" s="196"/>
      <c r="H6439" s="196"/>
      <c r="I6439" s="196"/>
      <c r="J6439" s="405"/>
      <c r="AX6439" s="117"/>
      <c r="AY6439" s="117"/>
      <c r="AZ6439" s="117"/>
      <c r="BA6439" s="117"/>
      <c r="BB6439" s="117"/>
      <c r="BC6439" s="117"/>
      <c r="BD6439" s="117"/>
    </row>
    <row r="6440" spans="1:56" ht="18">
      <c r="A6440" s="114"/>
      <c r="B6440" s="398" t="s">
        <v>1128</v>
      </c>
      <c r="C6440" s="172"/>
      <c r="D6440" s="173"/>
      <c r="E6440" s="402">
        <f>E6437*0.05</f>
        <v>7.2000000000000008E-2</v>
      </c>
      <c r="F6440" s="390" t="s">
        <v>1124</v>
      </c>
      <c r="G6440" s="196"/>
      <c r="H6440" s="196"/>
      <c r="I6440" s="196"/>
      <c r="J6440" s="405"/>
      <c r="AX6440" s="117"/>
      <c r="AY6440" s="117"/>
      <c r="AZ6440" s="117"/>
      <c r="BA6440" s="117"/>
      <c r="BB6440" s="117"/>
      <c r="BC6440" s="117"/>
      <c r="BD6440" s="117"/>
    </row>
    <row r="6441" spans="1:56" ht="15">
      <c r="A6441" s="114"/>
      <c r="B6441" s="398" t="s">
        <v>1129</v>
      </c>
      <c r="C6441" s="172"/>
      <c r="D6441" s="173"/>
      <c r="E6441" s="397">
        <f>C6428*2*C6426</f>
        <v>3.6</v>
      </c>
      <c r="F6441" s="390" t="s">
        <v>13</v>
      </c>
      <c r="G6441" s="393" t="s">
        <v>1108</v>
      </c>
      <c r="H6441" s="196" t="s">
        <v>1131</v>
      </c>
      <c r="I6441" s="393"/>
      <c r="J6441" s="405"/>
      <c r="AX6441" s="117"/>
      <c r="AY6441" s="117"/>
      <c r="AZ6441" s="117"/>
      <c r="BA6441" s="117"/>
      <c r="BB6441" s="117"/>
      <c r="BC6441" s="117"/>
      <c r="BD6441" s="117"/>
    </row>
    <row r="6442" spans="1:56" ht="18">
      <c r="A6442" s="114"/>
      <c r="B6442" s="398" t="s">
        <v>1130</v>
      </c>
      <c r="C6442" s="172"/>
      <c r="D6442" s="173"/>
      <c r="E6442" s="402">
        <f>C6425*C6426*C6428</f>
        <v>0.54</v>
      </c>
      <c r="F6442" s="390" t="s">
        <v>1124</v>
      </c>
      <c r="G6442" s="196"/>
      <c r="H6442" s="196"/>
      <c r="I6442" s="196"/>
      <c r="J6442" s="405"/>
      <c r="AX6442" s="117"/>
      <c r="AY6442" s="117"/>
      <c r="AZ6442" s="117"/>
      <c r="BA6442" s="117"/>
      <c r="BB6442" s="117"/>
      <c r="BC6442" s="117"/>
      <c r="BD6442" s="117"/>
    </row>
    <row r="6443" spans="1:56" ht="15">
      <c r="A6443" s="114"/>
      <c r="B6443" s="288"/>
      <c r="C6443" s="230"/>
      <c r="D6443" s="230"/>
      <c r="E6443" s="384"/>
      <c r="F6443" s="196"/>
      <c r="G6443" s="196"/>
      <c r="H6443" s="196"/>
      <c r="I6443" s="196"/>
      <c r="J6443" s="405"/>
      <c r="AX6443" s="117"/>
      <c r="AY6443" s="117"/>
      <c r="AZ6443" s="117"/>
      <c r="BA6443" s="117"/>
      <c r="BB6443" s="117"/>
      <c r="BC6443" s="117"/>
      <c r="BD6443" s="117"/>
    </row>
    <row r="6444" spans="1:56">
      <c r="A6444" s="114"/>
      <c r="B6444" s="115"/>
      <c r="C6444" s="115"/>
      <c r="D6444" s="115"/>
      <c r="E6444" s="115"/>
      <c r="F6444" s="115"/>
      <c r="G6444" s="115"/>
      <c r="H6444" s="115"/>
      <c r="I6444" s="115"/>
      <c r="J6444" s="196"/>
      <c r="AW6444" s="117"/>
      <c r="AX6444" s="117"/>
      <c r="AY6444" s="117"/>
      <c r="AZ6444" s="117"/>
      <c r="BA6444" s="117"/>
      <c r="BB6444" s="117"/>
      <c r="BC6444" s="117"/>
      <c r="BD6444" s="117"/>
    </row>
    <row r="6445" spans="1:56">
      <c r="A6445"/>
      <c r="B6445" s="385" t="s">
        <v>1223</v>
      </c>
      <c r="C6445" s="722"/>
      <c r="D6445" s="722"/>
      <c r="E6445" s="722"/>
      <c r="F6445" s="722"/>
      <c r="G6445" s="115"/>
      <c r="H6445" s="115"/>
      <c r="I6445" s="114"/>
      <c r="J6445" s="196"/>
      <c r="AW6445" s="117"/>
      <c r="AX6445" s="117"/>
      <c r="AY6445" s="117"/>
      <c r="AZ6445" s="117"/>
      <c r="BA6445" s="117"/>
      <c r="BB6445" s="117"/>
      <c r="BC6445" s="117"/>
      <c r="BD6445" s="117"/>
    </row>
    <row r="6446" spans="1:56" ht="15">
      <c r="A6446" s="114"/>
      <c r="B6446" s="722"/>
      <c r="C6446" s="722"/>
      <c r="D6446" s="722"/>
      <c r="E6446" s="722"/>
      <c r="F6446" s="404"/>
      <c r="G6446" s="196"/>
      <c r="H6446" s="196"/>
      <c r="I6446" s="114"/>
      <c r="J6446" s="196"/>
      <c r="AW6446" s="117"/>
      <c r="AX6446" s="117"/>
      <c r="AY6446" s="117"/>
      <c r="AZ6446" s="117"/>
      <c r="BA6446" s="117"/>
      <c r="BB6446" s="117"/>
      <c r="BC6446" s="117"/>
      <c r="BD6446" s="117"/>
    </row>
    <row r="6447" spans="1:56" ht="15">
      <c r="A6447" s="114"/>
      <c r="B6447" s="388" t="s">
        <v>1169</v>
      </c>
      <c r="C6447" s="389">
        <v>0.50260000000000005</v>
      </c>
      <c r="D6447" s="390" t="s">
        <v>10</v>
      </c>
      <c r="E6447" s="196"/>
      <c r="F6447" s="405"/>
      <c r="G6447" s="196"/>
      <c r="H6447" s="196"/>
      <c r="I6447" s="114"/>
      <c r="J6447" s="196"/>
      <c r="AW6447" s="117"/>
      <c r="AX6447" s="117"/>
      <c r="AY6447" s="117"/>
      <c r="AZ6447" s="117"/>
      <c r="BA6447" s="117"/>
      <c r="BB6447" s="117"/>
      <c r="BC6447" s="117"/>
      <c r="BD6447" s="117"/>
    </row>
    <row r="6448" spans="1:56" ht="15">
      <c r="A6448" s="114"/>
      <c r="B6448" s="388" t="s">
        <v>1110</v>
      </c>
      <c r="C6448" s="389">
        <v>4.8</v>
      </c>
      <c r="D6448" s="390" t="s">
        <v>10</v>
      </c>
      <c r="E6448" s="196"/>
      <c r="F6448" s="405"/>
      <c r="G6448" s="404"/>
      <c r="H6448" s="404"/>
      <c r="I6448" s="404"/>
      <c r="J6448" s="196"/>
      <c r="AW6448" s="117"/>
      <c r="AX6448" s="117"/>
      <c r="AY6448" s="117"/>
      <c r="AZ6448" s="117"/>
      <c r="BA6448" s="117"/>
      <c r="BB6448" s="117"/>
      <c r="BC6448" s="117"/>
      <c r="BD6448" s="117"/>
    </row>
    <row r="6449" spans="1:56" ht="18">
      <c r="A6449" s="114"/>
      <c r="B6449" s="388" t="s">
        <v>1111</v>
      </c>
      <c r="C6449" s="389">
        <v>3</v>
      </c>
      <c r="D6449" s="390" t="s">
        <v>10</v>
      </c>
      <c r="E6449" s="196"/>
      <c r="F6449" s="405"/>
      <c r="G6449" s="406" t="s">
        <v>1142</v>
      </c>
      <c r="H6449" s="407">
        <f>C6447</f>
        <v>0.50260000000000005</v>
      </c>
      <c r="I6449" s="405" t="s">
        <v>1143</v>
      </c>
      <c r="J6449" s="196"/>
      <c r="AW6449" s="117"/>
      <c r="AX6449" s="117"/>
      <c r="AY6449" s="117"/>
      <c r="AZ6449" s="117"/>
      <c r="BA6449" s="117"/>
      <c r="BB6449" s="117"/>
      <c r="BC6449" s="117"/>
      <c r="BD6449" s="117"/>
    </row>
    <row r="6450" spans="1:56" ht="15">
      <c r="A6450" s="114"/>
      <c r="B6450" s="388" t="s">
        <v>1112</v>
      </c>
      <c r="C6450" s="389">
        <v>0.05</v>
      </c>
      <c r="D6450" s="390" t="s">
        <v>10</v>
      </c>
      <c r="E6450" s="196"/>
      <c r="F6450" s="405"/>
      <c r="G6450" s="406" t="e">
        <f>TEXT(C6454,"tg 0°=")</f>
        <v>#VALUE!</v>
      </c>
      <c r="H6450" s="408">
        <f>TAN(3.14159265359*C6454/180)</f>
        <v>1.732050807569153</v>
      </c>
      <c r="I6450" s="405"/>
      <c r="J6450" s="196"/>
      <c r="AW6450" s="117"/>
      <c r="AX6450" s="117"/>
      <c r="AY6450" s="117"/>
      <c r="AZ6450" s="117"/>
      <c r="BA6450" s="117"/>
      <c r="BB6450" s="117"/>
      <c r="BC6450" s="117"/>
      <c r="BD6450" s="117"/>
    </row>
    <row r="6451" spans="1:56" ht="15">
      <c r="A6451" s="114"/>
      <c r="B6451" s="388" t="s">
        <v>1113</v>
      </c>
      <c r="C6451" s="389">
        <v>1.5</v>
      </c>
      <c r="D6451" s="390" t="s">
        <v>10</v>
      </c>
      <c r="E6451" s="196"/>
      <c r="F6451" s="405"/>
      <c r="G6451" s="406"/>
      <c r="H6451" s="407"/>
      <c r="I6451" s="405"/>
      <c r="J6451" s="722"/>
      <c r="AW6451" s="117"/>
      <c r="AX6451" s="117"/>
      <c r="AY6451" s="117"/>
      <c r="AZ6451" s="117"/>
      <c r="BA6451" s="117"/>
      <c r="BB6451" s="117"/>
      <c r="BC6451" s="117"/>
      <c r="BD6451" s="117"/>
    </row>
    <row r="6452" spans="1:56" ht="18">
      <c r="A6452" s="114"/>
      <c r="B6452" s="388" t="s">
        <v>1117</v>
      </c>
      <c r="C6452" s="391">
        <v>5</v>
      </c>
      <c r="D6452" s="390" t="s">
        <v>1118</v>
      </c>
      <c r="E6452" s="196"/>
      <c r="F6452" s="405"/>
      <c r="G6452" s="406" t="s">
        <v>1142</v>
      </c>
      <c r="H6452" s="409">
        <f>(C6448+2*C6456+((C6450+C6451+0.05)/H6450)*2)*(C6449+2*C6456+((C6450+C6451+0.05)/H6450)*2)</f>
        <v>44.719037775116028</v>
      </c>
      <c r="I6452" s="405" t="s">
        <v>1143</v>
      </c>
      <c r="J6452" s="722"/>
      <c r="AW6452" s="117"/>
      <c r="AX6452" s="117"/>
      <c r="AY6452" s="117"/>
      <c r="AZ6452" s="117"/>
      <c r="BA6452" s="117"/>
      <c r="BB6452" s="117"/>
      <c r="BC6452" s="117"/>
      <c r="BD6452" s="117"/>
    </row>
    <row r="6453" spans="1:56" ht="18">
      <c r="A6453" s="114"/>
      <c r="B6453" s="196" t="s">
        <v>1148</v>
      </c>
      <c r="C6453" s="393"/>
      <c r="D6453" s="196"/>
      <c r="E6453" s="196"/>
      <c r="F6453" s="405"/>
      <c r="G6453" s="406" t="s">
        <v>1147</v>
      </c>
      <c r="H6453" s="409">
        <f>(C6448+2*C6456)*(C6449+2*C6456)</f>
        <v>23.2</v>
      </c>
      <c r="I6453" s="405" t="s">
        <v>1143</v>
      </c>
      <c r="J6453" s="196"/>
      <c r="AW6453" s="117"/>
      <c r="AX6453" s="117"/>
      <c r="AY6453" s="117"/>
      <c r="AZ6453" s="117"/>
      <c r="BA6453" s="117"/>
      <c r="BB6453" s="117"/>
      <c r="BC6453" s="117"/>
      <c r="BD6453" s="117"/>
    </row>
    <row r="6454" spans="1:56" ht="15">
      <c r="A6454" s="114"/>
      <c r="B6454" s="388" t="s">
        <v>1149</v>
      </c>
      <c r="C6454" s="389">
        <v>60</v>
      </c>
      <c r="D6454" s="390" t="s">
        <v>1150</v>
      </c>
      <c r="E6454" s="196"/>
      <c r="F6454" s="196"/>
      <c r="G6454" s="406"/>
      <c r="H6454" s="407"/>
      <c r="I6454" s="405"/>
      <c r="J6454" s="722"/>
      <c r="AW6454" s="117"/>
      <c r="AX6454" s="117"/>
      <c r="AY6454" s="117"/>
      <c r="AZ6454" s="117"/>
      <c r="BA6454" s="117"/>
      <c r="BB6454" s="117"/>
      <c r="BC6454" s="117"/>
      <c r="BD6454" s="117"/>
    </row>
    <row r="6455" spans="1:56" ht="15">
      <c r="A6455" s="114"/>
      <c r="B6455" s="722"/>
      <c r="C6455" s="196"/>
      <c r="D6455" s="196"/>
      <c r="E6455" s="196"/>
      <c r="F6455" s="196"/>
      <c r="G6455" s="406"/>
      <c r="H6455" s="407"/>
      <c r="I6455" s="405"/>
      <c r="J6455" s="722"/>
      <c r="AW6455" s="117"/>
      <c r="AX6455" s="117"/>
      <c r="AY6455" s="117"/>
      <c r="AZ6455" s="117"/>
      <c r="BA6455" s="117"/>
      <c r="BB6455" s="117"/>
      <c r="BC6455" s="117"/>
      <c r="BD6455" s="117"/>
    </row>
    <row r="6456" spans="1:56" ht="15">
      <c r="A6456" s="114"/>
      <c r="B6456" s="388" t="s">
        <v>1114</v>
      </c>
      <c r="C6456" s="389">
        <v>0.5</v>
      </c>
      <c r="D6456" s="390" t="s">
        <v>10</v>
      </c>
      <c r="E6456" s="288" t="s">
        <v>1120</v>
      </c>
      <c r="F6456" s="196"/>
      <c r="G6456" s="406"/>
      <c r="H6456" s="407"/>
      <c r="I6456" s="114"/>
      <c r="J6456" s="722"/>
      <c r="AW6456" s="117"/>
      <c r="AX6456" s="117"/>
      <c r="AY6456" s="117"/>
      <c r="AZ6456" s="117"/>
      <c r="BA6456" s="117"/>
      <c r="BB6456" s="117"/>
      <c r="BC6456" s="117"/>
      <c r="BD6456" s="117"/>
    </row>
    <row r="6457" spans="1:56" s="495" customFormat="1" ht="15">
      <c r="A6457" s="114"/>
      <c r="B6457" s="388" t="s">
        <v>1114</v>
      </c>
      <c r="C6457" s="389">
        <v>0.1</v>
      </c>
      <c r="D6457" s="390" t="s">
        <v>10</v>
      </c>
      <c r="E6457" s="288" t="s">
        <v>1121</v>
      </c>
      <c r="F6457" s="196"/>
      <c r="G6457" s="392"/>
      <c r="H6457" s="393"/>
      <c r="I6457" s="196"/>
      <c r="J6457" s="494"/>
      <c r="K6457" s="449"/>
      <c r="L6457" s="449"/>
      <c r="M6457" s="449"/>
      <c r="N6457" s="449"/>
      <c r="O6457" s="449"/>
      <c r="P6457" s="449"/>
      <c r="Q6457" s="449"/>
      <c r="R6457" s="449"/>
      <c r="S6457" s="449"/>
      <c r="T6457" s="449"/>
      <c r="U6457" s="449"/>
      <c r="V6457" s="449"/>
      <c r="W6457" s="449"/>
      <c r="X6457" s="449"/>
      <c r="Y6457" s="449"/>
      <c r="Z6457" s="449"/>
      <c r="AA6457" s="449"/>
      <c r="AB6457" s="449"/>
      <c r="AC6457" s="449"/>
      <c r="AD6457" s="449"/>
      <c r="AE6457" s="449"/>
      <c r="AF6457" s="449"/>
      <c r="AG6457" s="449"/>
      <c r="AH6457" s="449"/>
      <c r="AI6457" s="449"/>
      <c r="AJ6457" s="449"/>
      <c r="AK6457" s="449"/>
      <c r="AL6457" s="449"/>
      <c r="AM6457" s="449"/>
      <c r="AN6457" s="449"/>
      <c r="AO6457" s="449"/>
      <c r="AP6457" s="449"/>
      <c r="AQ6457" s="449"/>
      <c r="AR6457" s="449"/>
      <c r="AS6457" s="449"/>
      <c r="AT6457" s="449"/>
      <c r="AU6457" s="449"/>
      <c r="AV6457" s="449"/>
      <c r="AW6457" s="449"/>
    </row>
    <row r="6458" spans="1:56" s="495" customFormat="1" ht="15">
      <c r="A6458" s="114"/>
      <c r="B6458" s="722"/>
      <c r="C6458" s="722"/>
      <c r="D6458" s="722"/>
      <c r="E6458" s="722"/>
      <c r="F6458" s="722"/>
      <c r="G6458" s="722"/>
      <c r="H6458" s="722"/>
      <c r="I6458" s="196"/>
      <c r="J6458" s="401"/>
      <c r="K6458" s="449"/>
      <c r="L6458" s="449"/>
      <c r="M6458" s="449"/>
      <c r="N6458" s="449"/>
      <c r="O6458" s="449"/>
      <c r="P6458" s="449"/>
      <c r="Q6458" s="449"/>
      <c r="R6458" s="449"/>
      <c r="S6458" s="449"/>
      <c r="T6458" s="449"/>
      <c r="U6458" s="449"/>
      <c r="V6458" s="449"/>
      <c r="W6458" s="449"/>
      <c r="X6458" s="449"/>
      <c r="Y6458" s="449"/>
      <c r="Z6458" s="449"/>
      <c r="AA6458" s="449"/>
      <c r="AB6458" s="449"/>
      <c r="AC6458" s="449"/>
      <c r="AD6458" s="449"/>
      <c r="AE6458" s="449"/>
      <c r="AF6458" s="449"/>
      <c r="AG6458" s="449"/>
      <c r="AH6458" s="449"/>
      <c r="AI6458" s="449"/>
      <c r="AJ6458" s="449"/>
      <c r="AK6458" s="449"/>
      <c r="AL6458" s="449"/>
      <c r="AM6458" s="449"/>
      <c r="AN6458" s="449"/>
      <c r="AO6458" s="449"/>
      <c r="AP6458" s="449"/>
      <c r="AQ6458" s="449"/>
      <c r="AR6458" s="449"/>
      <c r="AS6458" s="449"/>
      <c r="AT6458" s="449"/>
      <c r="AU6458" s="449"/>
      <c r="AV6458" s="449"/>
      <c r="AW6458" s="449"/>
    </row>
    <row r="6459" spans="1:56" customFormat="1">
      <c r="A6459" s="114"/>
      <c r="B6459" s="303" t="s">
        <v>1122</v>
      </c>
      <c r="C6459" s="722"/>
      <c r="D6459" s="722"/>
      <c r="E6459" s="722"/>
      <c r="F6459" s="722"/>
      <c r="G6459" s="119"/>
      <c r="H6459" s="114"/>
      <c r="I6459" s="196"/>
      <c r="J6459" s="722"/>
    </row>
    <row r="6460" spans="1:56" ht="18">
      <c r="A6460" s="114"/>
      <c r="B6460" s="398" t="s">
        <v>1123</v>
      </c>
      <c r="C6460" s="172"/>
      <c r="D6460" s="173"/>
      <c r="E6460" s="397">
        <f>C6452*((H6453+H6452)/2)*(C6450+C6451+0.05)</f>
        <v>271.6761511004641</v>
      </c>
      <c r="F6460" s="390" t="s">
        <v>1124</v>
      </c>
      <c r="G6460" s="196"/>
      <c r="H6460" s="196"/>
      <c r="I6460" s="722"/>
      <c r="J6460" s="722"/>
      <c r="AW6460" s="117"/>
      <c r="AX6460" s="117"/>
      <c r="AY6460" s="117"/>
      <c r="AZ6460" s="117"/>
      <c r="BA6460" s="117"/>
      <c r="BB6460" s="117"/>
      <c r="BC6460" s="117"/>
      <c r="BD6460" s="117"/>
    </row>
    <row r="6461" spans="1:56" ht="18">
      <c r="A6461" s="114"/>
      <c r="B6461" s="398" t="s">
        <v>1125</v>
      </c>
      <c r="C6461" s="172"/>
      <c r="D6461" s="173"/>
      <c r="E6461" s="400">
        <f>E6460-C6452*(C6448*C6449*C6451+C6448*C6449*0.05+C6447*C6450)</f>
        <v>159.95050110046412</v>
      </c>
      <c r="F6461" s="390" t="s">
        <v>1124</v>
      </c>
      <c r="G6461" s="196"/>
      <c r="H6461" s="196"/>
      <c r="I6461" s="196"/>
      <c r="J6461" s="722"/>
      <c r="AW6461" s="117"/>
      <c r="AX6461" s="117"/>
      <c r="AY6461" s="117"/>
      <c r="AZ6461" s="117"/>
      <c r="BA6461" s="117"/>
      <c r="BB6461" s="117"/>
      <c r="BC6461" s="117"/>
      <c r="BD6461" s="117"/>
    </row>
    <row r="6462" spans="1:56" ht="15">
      <c r="A6462" s="114"/>
      <c r="B6462" s="398" t="s">
        <v>1126</v>
      </c>
      <c r="C6462" s="172"/>
      <c r="D6462" s="173"/>
      <c r="E6462" s="400">
        <f>((C6448+2*C6457)*(C6449+2*C6457))*C6452</f>
        <v>80</v>
      </c>
      <c r="F6462" s="390" t="s">
        <v>13</v>
      </c>
      <c r="G6462" s="722"/>
      <c r="H6462" s="722"/>
      <c r="I6462" s="722"/>
      <c r="J6462" s="401"/>
      <c r="AW6462" s="117"/>
      <c r="AX6462" s="117"/>
      <c r="AY6462" s="117"/>
      <c r="AZ6462" s="117"/>
      <c r="BA6462" s="117"/>
      <c r="BB6462" s="117"/>
      <c r="BC6462" s="117"/>
      <c r="BD6462" s="117"/>
    </row>
    <row r="6463" spans="1:56">
      <c r="A6463" s="114"/>
      <c r="B6463" s="722"/>
      <c r="C6463" s="722"/>
      <c r="D6463" s="722"/>
      <c r="E6463" s="401"/>
      <c r="F6463" s="196"/>
      <c r="G6463" s="722"/>
      <c r="I6463" s="722"/>
      <c r="J6463" s="401"/>
      <c r="AW6463" s="117"/>
      <c r="AX6463" s="117"/>
      <c r="AY6463" s="117"/>
      <c r="AZ6463" s="117"/>
      <c r="BA6463" s="117"/>
      <c r="BB6463" s="117"/>
      <c r="BC6463" s="117"/>
      <c r="BD6463" s="117"/>
    </row>
    <row r="6464" spans="1:56">
      <c r="A6464" s="114"/>
      <c r="B6464" s="303" t="s">
        <v>1162</v>
      </c>
      <c r="C6464" s="722"/>
      <c r="D6464" s="722"/>
      <c r="E6464" s="410"/>
      <c r="F6464" s="722"/>
      <c r="G6464" s="196" t="s">
        <v>2192</v>
      </c>
      <c r="I6464" s="722"/>
      <c r="J6464" s="401"/>
      <c r="AW6464" s="117"/>
      <c r="AX6464" s="117"/>
      <c r="AY6464" s="117"/>
      <c r="AZ6464" s="117"/>
      <c r="BA6464" s="117"/>
      <c r="BB6464" s="117"/>
      <c r="BC6464" s="117"/>
      <c r="BD6464" s="117"/>
    </row>
    <row r="6465" spans="1:56" ht="15">
      <c r="A6465" s="114"/>
      <c r="B6465" s="398" t="s">
        <v>1152</v>
      </c>
      <c r="C6465" s="398"/>
      <c r="D6465" s="724"/>
      <c r="E6465" s="411">
        <v>6</v>
      </c>
      <c r="F6465" s="390" t="s">
        <v>1153</v>
      </c>
      <c r="G6465" s="722"/>
      <c r="H6465" s="722"/>
      <c r="I6465" s="722"/>
      <c r="J6465" s="196"/>
      <c r="AW6465" s="117"/>
      <c r="AX6465" s="117"/>
      <c r="AY6465" s="117"/>
      <c r="AZ6465" s="117"/>
      <c r="BA6465" s="117"/>
      <c r="BB6465" s="117"/>
      <c r="BC6465" s="117"/>
      <c r="BD6465" s="117"/>
    </row>
    <row r="6466" spans="1:56" ht="15">
      <c r="A6466" s="114"/>
      <c r="B6466" s="399" t="s">
        <v>1154</v>
      </c>
      <c r="C6466" s="31"/>
      <c r="D6466" s="32"/>
      <c r="E6466" s="412">
        <f>C6452*E6465</f>
        <v>30</v>
      </c>
      <c r="F6466" s="390" t="s">
        <v>1153</v>
      </c>
      <c r="G6466" s="722"/>
      <c r="H6466" s="722"/>
      <c r="I6466" s="722"/>
      <c r="J6466" s="196"/>
      <c r="AW6466" s="117"/>
      <c r="AX6466" s="117"/>
      <c r="AY6466" s="117"/>
      <c r="AZ6466" s="117"/>
      <c r="BA6466" s="117"/>
      <c r="BB6466" s="117"/>
      <c r="BC6466" s="117"/>
      <c r="BD6466" s="117"/>
    </row>
    <row r="6467" spans="1:56" ht="15">
      <c r="A6467" s="114"/>
      <c r="B6467" s="398" t="s">
        <v>1155</v>
      </c>
      <c r="C6467" s="21"/>
      <c r="D6467" s="413"/>
      <c r="E6467" s="411">
        <v>400</v>
      </c>
      <c r="F6467" s="390" t="s">
        <v>1156</v>
      </c>
      <c r="G6467" s="722"/>
      <c r="H6467" s="414"/>
      <c r="I6467" s="722"/>
      <c r="J6467" s="196"/>
      <c r="AW6467" s="117"/>
      <c r="AX6467" s="117"/>
      <c r="AY6467" s="117"/>
      <c r="AZ6467" s="117"/>
      <c r="BA6467" s="117"/>
      <c r="BB6467" s="117"/>
      <c r="BC6467" s="117"/>
      <c r="BD6467" s="117"/>
    </row>
    <row r="6468" spans="1:56" ht="15">
      <c r="A6468" s="114"/>
      <c r="B6468" s="398" t="s">
        <v>1157</v>
      </c>
      <c r="C6468" s="21"/>
      <c r="D6468" s="413"/>
      <c r="E6468" s="418">
        <v>29</v>
      </c>
      <c r="F6468" s="390" t="s">
        <v>10</v>
      </c>
      <c r="G6468" s="722"/>
      <c r="H6468" s="6"/>
      <c r="I6468" s="722"/>
      <c r="J6468" s="196"/>
      <c r="AW6468" s="117"/>
      <c r="AX6468" s="117"/>
      <c r="AY6468" s="117"/>
      <c r="AZ6468" s="117"/>
      <c r="BA6468" s="117"/>
      <c r="BB6468" s="117"/>
      <c r="BC6468" s="117"/>
      <c r="BD6468" s="117"/>
    </row>
    <row r="6469" spans="1:56" ht="15">
      <c r="A6469" s="114"/>
      <c r="B6469" s="398" t="s">
        <v>1158</v>
      </c>
      <c r="C6469" s="21"/>
      <c r="D6469" s="413"/>
      <c r="E6469" s="412">
        <f>E6466*E6468</f>
        <v>870</v>
      </c>
      <c r="F6469" s="390" t="s">
        <v>10</v>
      </c>
      <c r="G6469" s="722"/>
      <c r="H6469" s="722"/>
      <c r="I6469" s="722"/>
      <c r="J6469" s="196"/>
      <c r="AW6469" s="117"/>
      <c r="AX6469" s="117"/>
      <c r="AY6469" s="117"/>
      <c r="AZ6469" s="117"/>
      <c r="BA6469" s="117"/>
      <c r="BB6469" s="117"/>
      <c r="BC6469" s="117"/>
      <c r="BD6469" s="117"/>
    </row>
    <row r="6470" spans="1:56" ht="15">
      <c r="A6470" s="114"/>
      <c r="B6470" s="722"/>
      <c r="C6470" s="722"/>
      <c r="D6470" s="722"/>
      <c r="E6470" s="410"/>
      <c r="F6470" s="722"/>
      <c r="G6470" s="722"/>
      <c r="H6470" s="722"/>
      <c r="I6470" s="722"/>
      <c r="J6470" s="196"/>
      <c r="AW6470" s="117"/>
      <c r="AX6470" s="117"/>
      <c r="AY6470" s="117"/>
      <c r="AZ6470" s="117"/>
      <c r="BA6470" s="117"/>
      <c r="BB6470" s="117"/>
      <c r="BC6470" s="117"/>
      <c r="BD6470" s="117"/>
    </row>
    <row r="6471" spans="1:56" ht="15">
      <c r="A6471" s="114"/>
      <c r="B6471" s="303" t="s">
        <v>1160</v>
      </c>
      <c r="C6471" s="722"/>
      <c r="D6471" s="722"/>
      <c r="E6471" s="410"/>
      <c r="F6471" s="722"/>
      <c r="G6471" s="722"/>
      <c r="H6471" s="722"/>
      <c r="I6471" s="722"/>
      <c r="J6471" s="196"/>
      <c r="AW6471" s="117"/>
      <c r="AX6471" s="117"/>
      <c r="AY6471" s="117"/>
      <c r="AZ6471" s="117"/>
      <c r="BA6471" s="117"/>
      <c r="BB6471" s="117"/>
      <c r="BC6471" s="117"/>
      <c r="BD6471" s="117"/>
    </row>
    <row r="6472" spans="1:56" ht="18">
      <c r="A6472" s="114"/>
      <c r="B6472" s="398" t="s">
        <v>1128</v>
      </c>
      <c r="C6472" s="172"/>
      <c r="D6472" s="173"/>
      <c r="E6472" s="402">
        <f>E6462*0.05</f>
        <v>4</v>
      </c>
      <c r="F6472" s="390" t="s">
        <v>1124</v>
      </c>
      <c r="G6472" s="722"/>
      <c r="H6472" s="722"/>
      <c r="I6472" s="722"/>
      <c r="J6472" s="196"/>
      <c r="AW6472" s="117"/>
      <c r="AX6472" s="117"/>
      <c r="AY6472" s="117"/>
      <c r="AZ6472" s="117"/>
      <c r="BA6472" s="117"/>
      <c r="BB6472" s="117"/>
      <c r="BC6472" s="117"/>
      <c r="BD6472" s="117"/>
    </row>
    <row r="6473" spans="1:56" ht="15">
      <c r="A6473" s="114"/>
      <c r="B6473" s="398" t="s">
        <v>1129</v>
      </c>
      <c r="C6473" s="172"/>
      <c r="D6473" s="173"/>
      <c r="E6473" s="397">
        <f>(2*(C6448+C6449)*C6451)*C6452</f>
        <v>117</v>
      </c>
      <c r="F6473" s="390" t="s">
        <v>13</v>
      </c>
      <c r="G6473" s="722"/>
      <c r="H6473" s="722"/>
      <c r="I6473" s="722"/>
      <c r="J6473" s="196"/>
      <c r="AW6473" s="117"/>
      <c r="AX6473" s="117"/>
      <c r="AY6473" s="117"/>
      <c r="AZ6473" s="117"/>
      <c r="BA6473" s="117"/>
      <c r="BB6473" s="117"/>
      <c r="BC6473" s="117"/>
      <c r="BD6473" s="117"/>
    </row>
    <row r="6474" spans="1:56" ht="18">
      <c r="A6474" s="114"/>
      <c r="B6474" s="398" t="s">
        <v>1130</v>
      </c>
      <c r="C6474" s="172"/>
      <c r="D6474" s="173"/>
      <c r="E6474" s="402">
        <f>(C6448*C6449*C6451)*C6452</f>
        <v>107.99999999999999</v>
      </c>
      <c r="F6474" s="390" t="s">
        <v>1124</v>
      </c>
      <c r="G6474" s="722"/>
      <c r="H6474" s="722"/>
      <c r="I6474" s="722"/>
      <c r="J6474" s="196"/>
      <c r="AW6474" s="117"/>
      <c r="AX6474" s="117"/>
      <c r="AY6474" s="117"/>
      <c r="AZ6474" s="117"/>
      <c r="BA6474" s="117"/>
      <c r="BB6474" s="117"/>
      <c r="BC6474" s="117"/>
      <c r="BD6474" s="117"/>
    </row>
    <row r="6475" spans="1:56">
      <c r="A6475" s="114"/>
      <c r="B6475" s="115"/>
      <c r="C6475" s="115"/>
      <c r="D6475" s="115"/>
      <c r="E6475" s="115"/>
      <c r="F6475" s="115"/>
      <c r="G6475" s="115"/>
      <c r="H6475" s="115"/>
      <c r="I6475" s="115"/>
      <c r="J6475" s="196"/>
      <c r="AW6475" s="117"/>
      <c r="AX6475" s="117"/>
      <c r="AY6475" s="117"/>
      <c r="AZ6475" s="117"/>
      <c r="BA6475" s="117"/>
      <c r="BB6475" s="117"/>
      <c r="BC6475" s="117"/>
      <c r="BD6475" s="117"/>
    </row>
    <row r="6476" spans="1:56">
      <c r="A6476" s="114"/>
      <c r="B6476" s="288"/>
      <c r="C6476" s="6"/>
      <c r="D6476" s="430"/>
      <c r="E6476" s="430"/>
      <c r="F6476" s="331"/>
      <c r="G6476" s="722"/>
      <c r="H6476" s="722"/>
      <c r="I6476" s="722"/>
      <c r="J6476" s="114"/>
      <c r="AW6476" s="117"/>
      <c r="AX6476" s="117"/>
      <c r="AY6476" s="117"/>
      <c r="AZ6476" s="117"/>
      <c r="BA6476" s="117"/>
      <c r="BB6476" s="117"/>
      <c r="BC6476" s="117"/>
      <c r="BD6476" s="117"/>
    </row>
    <row r="6477" spans="1:56">
      <c r="A6477" s="114"/>
      <c r="B6477" s="115"/>
      <c r="C6477" s="115"/>
      <c r="D6477" s="115"/>
      <c r="E6477" s="115"/>
      <c r="F6477" s="115"/>
      <c r="G6477" s="115"/>
      <c r="H6477" s="115"/>
      <c r="I6477" s="115"/>
      <c r="J6477" s="196"/>
      <c r="AW6477" s="117"/>
      <c r="AX6477" s="117"/>
      <c r="AY6477" s="117"/>
      <c r="AZ6477" s="117"/>
      <c r="BA6477" s="117"/>
      <c r="BB6477" s="117"/>
      <c r="BC6477" s="117"/>
      <c r="BD6477" s="117"/>
    </row>
    <row r="6478" spans="1:56">
      <c r="A6478"/>
      <c r="B6478" s="385" t="s">
        <v>1964</v>
      </c>
      <c r="C6478" s="722"/>
      <c r="D6478" s="722"/>
      <c r="E6478" s="722"/>
      <c r="F6478" s="722"/>
      <c r="G6478" s="115"/>
      <c r="H6478" s="115"/>
      <c r="I6478" s="722"/>
      <c r="J6478" s="722"/>
      <c r="AW6478" s="117"/>
      <c r="AX6478" s="117"/>
      <c r="AY6478" s="117"/>
      <c r="AZ6478" s="117"/>
      <c r="BA6478" s="117"/>
      <c r="BB6478" s="117"/>
      <c r="BC6478" s="117"/>
      <c r="BD6478" s="117"/>
    </row>
    <row r="6479" spans="1:56" ht="15">
      <c r="A6479" s="114"/>
      <c r="B6479" s="722"/>
      <c r="C6479" s="722"/>
      <c r="D6479" s="722"/>
      <c r="E6479" s="722"/>
      <c r="F6479" s="404"/>
      <c r="G6479" s="196"/>
      <c r="H6479" s="196"/>
      <c r="I6479" s="404"/>
      <c r="J6479" s="722"/>
      <c r="AW6479" s="117"/>
      <c r="AX6479" s="117"/>
      <c r="AY6479" s="117"/>
      <c r="AZ6479" s="117"/>
      <c r="BA6479" s="117"/>
      <c r="BB6479" s="117"/>
      <c r="BC6479" s="117"/>
      <c r="BD6479" s="117"/>
    </row>
    <row r="6480" spans="1:56" ht="18">
      <c r="A6480" s="114"/>
      <c r="B6480" s="388" t="s">
        <v>1141</v>
      </c>
      <c r="C6480" s="389">
        <v>0.9</v>
      </c>
      <c r="D6480" s="390" t="s">
        <v>10</v>
      </c>
      <c r="E6480" s="196"/>
      <c r="F6480" s="405"/>
      <c r="G6480" s="196"/>
      <c r="H6480" s="196"/>
      <c r="I6480" s="405" t="s">
        <v>1143</v>
      </c>
      <c r="J6480" s="196"/>
      <c r="AW6480" s="117"/>
      <c r="AX6480" s="117"/>
      <c r="AY6480" s="117"/>
      <c r="AZ6480" s="117"/>
      <c r="BA6480" s="117"/>
      <c r="BB6480" s="117"/>
      <c r="BC6480" s="117"/>
      <c r="BD6480" s="117"/>
    </row>
    <row r="6481" spans="1:56" ht="15">
      <c r="A6481" s="114"/>
      <c r="B6481" s="388" t="s">
        <v>1144</v>
      </c>
      <c r="C6481" s="389">
        <v>0.9</v>
      </c>
      <c r="D6481" s="390" t="s">
        <v>10</v>
      </c>
      <c r="E6481" s="196"/>
      <c r="F6481" s="405"/>
      <c r="G6481" s="722"/>
      <c r="H6481" s="722"/>
      <c r="I6481" s="405"/>
      <c r="J6481" s="722"/>
      <c r="AW6481" s="117"/>
      <c r="AX6481" s="117"/>
      <c r="AY6481" s="117"/>
      <c r="AZ6481" s="117"/>
      <c r="BA6481" s="117"/>
      <c r="BB6481" s="117"/>
      <c r="BC6481" s="117"/>
      <c r="BD6481" s="117"/>
    </row>
    <row r="6482" spans="1:56" ht="15">
      <c r="A6482" s="114"/>
      <c r="B6482" s="388" t="s">
        <v>1145</v>
      </c>
      <c r="C6482" s="389">
        <v>3</v>
      </c>
      <c r="D6482" s="390" t="s">
        <v>10</v>
      </c>
      <c r="E6482" s="196"/>
      <c r="F6482" s="405"/>
      <c r="G6482" s="404"/>
      <c r="H6482" s="404"/>
      <c r="I6482" s="405"/>
      <c r="J6482" s="722"/>
      <c r="AW6482" s="117"/>
      <c r="AX6482" s="117"/>
      <c r="AY6482" s="117"/>
      <c r="AZ6482" s="117"/>
      <c r="BA6482" s="117"/>
      <c r="BB6482" s="117"/>
      <c r="BC6482" s="117"/>
      <c r="BD6482" s="117"/>
    </row>
    <row r="6483" spans="1:56" ht="18">
      <c r="A6483" s="114"/>
      <c r="B6483" s="388" t="s">
        <v>1146</v>
      </c>
      <c r="C6483" s="389">
        <v>3</v>
      </c>
      <c r="D6483" s="390" t="s">
        <v>10</v>
      </c>
      <c r="E6483" s="196"/>
      <c r="F6483" s="405"/>
      <c r="G6483" s="406" t="s">
        <v>1142</v>
      </c>
      <c r="H6483" s="407">
        <f>C6480*C6481</f>
        <v>0.81</v>
      </c>
      <c r="I6483" s="405" t="s">
        <v>1143</v>
      </c>
      <c r="J6483" s="722"/>
      <c r="AW6483" s="117"/>
      <c r="AX6483" s="117"/>
      <c r="AY6483" s="117"/>
      <c r="AZ6483" s="117"/>
      <c r="BA6483" s="117"/>
      <c r="BB6483" s="117"/>
      <c r="BC6483" s="117"/>
      <c r="BD6483" s="117"/>
    </row>
    <row r="6484" spans="1:56" s="495" customFormat="1" ht="18">
      <c r="A6484" s="114"/>
      <c r="B6484" s="388" t="s">
        <v>1112</v>
      </c>
      <c r="C6484" s="389">
        <v>0.3</v>
      </c>
      <c r="D6484" s="390" t="s">
        <v>10</v>
      </c>
      <c r="E6484" s="196"/>
      <c r="F6484" s="405"/>
      <c r="G6484" s="406" t="e">
        <f>TEXT(C6488,"tg 0°=")</f>
        <v>#VALUE!</v>
      </c>
      <c r="H6484" s="408">
        <f>TAN(3.14159265359*C6488/180)</f>
        <v>1.732050807569153</v>
      </c>
      <c r="I6484" s="405" t="s">
        <v>1143</v>
      </c>
      <c r="J6484" s="494"/>
      <c r="K6484" s="449"/>
      <c r="L6484" s="449"/>
      <c r="M6484" s="449"/>
      <c r="N6484" s="449"/>
      <c r="O6484" s="449"/>
      <c r="P6484" s="449"/>
      <c r="Q6484" s="449"/>
      <c r="R6484" s="449"/>
      <c r="S6484" s="449"/>
      <c r="T6484" s="449"/>
      <c r="U6484" s="449"/>
      <c r="V6484" s="449"/>
      <c r="W6484" s="449"/>
      <c r="X6484" s="449"/>
      <c r="Y6484" s="449"/>
      <c r="Z6484" s="449"/>
      <c r="AA6484" s="449"/>
      <c r="AB6484" s="449"/>
      <c r="AC6484" s="449"/>
      <c r="AD6484" s="449"/>
      <c r="AE6484" s="449"/>
      <c r="AF6484" s="449"/>
      <c r="AG6484" s="449"/>
      <c r="AH6484" s="449"/>
      <c r="AI6484" s="449"/>
      <c r="AJ6484" s="449"/>
      <c r="AK6484" s="449"/>
      <c r="AL6484" s="449"/>
      <c r="AM6484" s="449"/>
      <c r="AN6484" s="449"/>
      <c r="AO6484" s="449"/>
      <c r="AP6484" s="449"/>
      <c r="AQ6484" s="449"/>
      <c r="AR6484" s="449"/>
      <c r="AS6484" s="449"/>
      <c r="AT6484" s="449"/>
      <c r="AU6484" s="449"/>
      <c r="AV6484" s="449"/>
      <c r="AW6484" s="449"/>
    </row>
    <row r="6485" spans="1:56" s="495" customFormat="1" ht="15">
      <c r="A6485" s="114"/>
      <c r="B6485" s="388" t="s">
        <v>1113</v>
      </c>
      <c r="C6485" s="389">
        <v>1.5</v>
      </c>
      <c r="D6485" s="390" t="s">
        <v>10</v>
      </c>
      <c r="E6485" s="196"/>
      <c r="F6485" s="405"/>
      <c r="G6485" s="406"/>
      <c r="H6485" s="407"/>
      <c r="I6485" s="405"/>
      <c r="J6485" s="401"/>
      <c r="K6485" s="449"/>
      <c r="L6485" s="449"/>
      <c r="M6485" s="449"/>
      <c r="N6485" s="449"/>
      <c r="O6485" s="449"/>
      <c r="P6485" s="449"/>
      <c r="Q6485" s="449"/>
      <c r="R6485" s="449"/>
      <c r="S6485" s="449"/>
      <c r="T6485" s="449"/>
      <c r="U6485" s="449"/>
      <c r="V6485" s="449"/>
      <c r="W6485" s="449"/>
      <c r="X6485" s="449"/>
      <c r="Y6485" s="449"/>
      <c r="Z6485" s="449"/>
      <c r="AA6485" s="449"/>
      <c r="AB6485" s="449"/>
      <c r="AC6485" s="449"/>
      <c r="AD6485" s="449"/>
      <c r="AE6485" s="449"/>
      <c r="AF6485" s="449"/>
      <c r="AG6485" s="449"/>
      <c r="AH6485" s="449"/>
      <c r="AI6485" s="449"/>
      <c r="AJ6485" s="449"/>
      <c r="AK6485" s="449"/>
      <c r="AL6485" s="449"/>
      <c r="AM6485" s="449"/>
      <c r="AN6485" s="449"/>
      <c r="AO6485" s="449"/>
      <c r="AP6485" s="449"/>
      <c r="AQ6485" s="449"/>
      <c r="AR6485" s="449"/>
      <c r="AS6485" s="449"/>
      <c r="AT6485" s="449"/>
      <c r="AU6485" s="449"/>
      <c r="AV6485" s="449"/>
      <c r="AW6485" s="449"/>
    </row>
    <row r="6486" spans="1:56" customFormat="1" ht="15">
      <c r="A6486" s="114"/>
      <c r="B6486" s="388" t="s">
        <v>1117</v>
      </c>
      <c r="C6486" s="391">
        <v>4</v>
      </c>
      <c r="D6486" s="390" t="s">
        <v>1118</v>
      </c>
      <c r="E6486" s="196"/>
      <c r="F6486" s="405"/>
      <c r="G6486" s="406" t="s">
        <v>1142</v>
      </c>
      <c r="H6486" s="409">
        <f>(C6482+2*C6490+((C6484+C6485+0.05)/H6484)*2)*(C6483+2*C6490+((C6484+C6485+0.05)/H6484)*2)</f>
        <v>37.652901301342084</v>
      </c>
      <c r="I6486" s="405"/>
      <c r="J6486" s="722"/>
    </row>
    <row r="6487" spans="1:56" ht="15">
      <c r="A6487" s="114"/>
      <c r="B6487" s="196" t="s">
        <v>1148</v>
      </c>
      <c r="C6487" s="393"/>
      <c r="D6487" s="196"/>
      <c r="E6487" s="196"/>
      <c r="F6487" s="405"/>
      <c r="G6487" s="406" t="s">
        <v>1147</v>
      </c>
      <c r="H6487" s="409">
        <f>(C6482+2*C6490)*(C6483+2*C6490)</f>
        <v>16</v>
      </c>
      <c r="I6487" s="405"/>
      <c r="J6487" s="722"/>
      <c r="AW6487" s="117"/>
      <c r="AX6487" s="117"/>
      <c r="AY6487" s="117"/>
      <c r="AZ6487" s="117"/>
      <c r="BA6487" s="117"/>
      <c r="BB6487" s="117"/>
      <c r="BC6487" s="117"/>
      <c r="BD6487" s="117"/>
    </row>
    <row r="6488" spans="1:56" ht="15">
      <c r="A6488" s="114"/>
      <c r="B6488" s="388" t="s">
        <v>1149</v>
      </c>
      <c r="C6488" s="389">
        <v>60</v>
      </c>
      <c r="D6488" s="390" t="s">
        <v>1150</v>
      </c>
      <c r="E6488" s="196"/>
      <c r="F6488" s="196"/>
      <c r="G6488" s="406"/>
      <c r="H6488" s="407"/>
      <c r="I6488" s="196"/>
      <c r="J6488" s="722"/>
      <c r="AW6488" s="117"/>
      <c r="AX6488" s="117"/>
      <c r="AY6488" s="117"/>
      <c r="AZ6488" s="117"/>
      <c r="BA6488" s="117"/>
      <c r="BB6488" s="117"/>
      <c r="BC6488" s="117"/>
      <c r="BD6488" s="117"/>
    </row>
    <row r="6489" spans="1:56" ht="15">
      <c r="A6489" s="114"/>
      <c r="B6489" s="722"/>
      <c r="C6489" s="196"/>
      <c r="D6489" s="196"/>
      <c r="E6489" s="196"/>
      <c r="F6489" s="196"/>
      <c r="G6489" s="406"/>
      <c r="H6489" s="407"/>
      <c r="I6489" s="722"/>
      <c r="J6489" s="401"/>
      <c r="AW6489" s="117"/>
      <c r="AX6489" s="117"/>
      <c r="AY6489" s="117"/>
      <c r="AZ6489" s="117"/>
      <c r="BA6489" s="117"/>
      <c r="BB6489" s="117"/>
      <c r="BC6489" s="117"/>
      <c r="BD6489" s="117"/>
    </row>
    <row r="6490" spans="1:56" ht="15">
      <c r="A6490" s="114"/>
      <c r="B6490" s="388" t="s">
        <v>1114</v>
      </c>
      <c r="C6490" s="389">
        <v>0.5</v>
      </c>
      <c r="D6490" s="390" t="s">
        <v>10</v>
      </c>
      <c r="E6490" s="288" t="s">
        <v>1120</v>
      </c>
      <c r="F6490" s="196"/>
      <c r="G6490" s="406"/>
      <c r="H6490" s="407"/>
      <c r="I6490" s="114"/>
      <c r="J6490" s="401"/>
      <c r="AW6490" s="117"/>
      <c r="AX6490" s="117"/>
      <c r="AY6490" s="117"/>
      <c r="AZ6490" s="117"/>
      <c r="BA6490" s="117"/>
      <c r="BB6490" s="117"/>
      <c r="BC6490" s="117"/>
      <c r="BD6490" s="117"/>
    </row>
    <row r="6491" spans="1:56" ht="15">
      <c r="A6491" s="114"/>
      <c r="B6491" s="388" t="s">
        <v>1114</v>
      </c>
      <c r="C6491" s="389">
        <v>0.1</v>
      </c>
      <c r="D6491" s="390" t="s">
        <v>10</v>
      </c>
      <c r="E6491" s="288" t="s">
        <v>1121</v>
      </c>
      <c r="F6491" s="196"/>
      <c r="G6491" s="392"/>
      <c r="H6491" s="393"/>
      <c r="I6491" s="196"/>
      <c r="J6491" s="401"/>
      <c r="AW6491" s="117"/>
      <c r="AX6491" s="117"/>
      <c r="AY6491" s="117"/>
      <c r="AZ6491" s="117"/>
      <c r="BA6491" s="117"/>
      <c r="BB6491" s="117"/>
      <c r="BC6491" s="117"/>
      <c r="BD6491" s="117"/>
    </row>
    <row r="6492" spans="1:56" ht="15">
      <c r="A6492" s="114"/>
      <c r="B6492" s="722"/>
      <c r="C6492" s="722"/>
      <c r="D6492" s="722"/>
      <c r="E6492" s="722"/>
      <c r="F6492" s="722"/>
      <c r="G6492" s="722"/>
      <c r="H6492" s="722"/>
      <c r="I6492" s="196"/>
      <c r="J6492" s="196"/>
      <c r="AW6492" s="117"/>
      <c r="AX6492" s="117"/>
      <c r="AY6492" s="117"/>
      <c r="AZ6492" s="117"/>
      <c r="BA6492" s="117"/>
      <c r="BB6492" s="117"/>
      <c r="BC6492" s="117"/>
      <c r="BD6492" s="117"/>
    </row>
    <row r="6493" spans="1:56" ht="15">
      <c r="A6493" s="114"/>
      <c r="B6493" s="303" t="s">
        <v>1122</v>
      </c>
      <c r="C6493" s="722"/>
      <c r="D6493" s="722"/>
      <c r="E6493" s="722"/>
      <c r="F6493" s="722"/>
      <c r="G6493" s="196" t="s">
        <v>1131</v>
      </c>
      <c r="H6493" s="114"/>
      <c r="I6493" s="196"/>
      <c r="J6493" s="196"/>
      <c r="AW6493" s="117"/>
      <c r="AX6493" s="117"/>
      <c r="AY6493" s="117"/>
      <c r="AZ6493" s="117"/>
      <c r="BA6493" s="117"/>
      <c r="BB6493" s="117"/>
      <c r="BC6493" s="117"/>
      <c r="BD6493" s="117"/>
    </row>
    <row r="6494" spans="1:56" ht="18">
      <c r="A6494" s="114"/>
      <c r="B6494" s="398" t="s">
        <v>1123</v>
      </c>
      <c r="C6494" s="172"/>
      <c r="D6494" s="173"/>
      <c r="E6494" s="397">
        <f>C6486*((H6487+H6486)/2)*(C6484+C6485+0.05)</f>
        <v>198.51573481496573</v>
      </c>
      <c r="F6494" s="390" t="s">
        <v>1124</v>
      </c>
      <c r="G6494" s="196"/>
      <c r="H6494" s="196"/>
      <c r="I6494" s="722"/>
      <c r="J6494" s="196"/>
      <c r="AW6494" s="117"/>
      <c r="AX6494" s="117"/>
      <c r="AY6494" s="117"/>
      <c r="AZ6494" s="117"/>
      <c r="BA6494" s="117"/>
      <c r="BB6494" s="117"/>
      <c r="BC6494" s="117"/>
      <c r="BD6494" s="117"/>
    </row>
    <row r="6495" spans="1:56" ht="18">
      <c r="A6495" s="114"/>
      <c r="B6495" s="398" t="s">
        <v>1125</v>
      </c>
      <c r="C6495" s="172"/>
      <c r="D6495" s="173"/>
      <c r="E6495" s="400">
        <f>E6494-C6486*(C6482*C6483*C6485+C6482*C6483*0.05+C6480*C6481*C6484)</f>
        <v>141.74373481496573</v>
      </c>
      <c r="F6495" s="390" t="s">
        <v>1124</v>
      </c>
      <c r="G6495" s="196"/>
      <c r="H6495" s="196"/>
      <c r="I6495" s="196"/>
      <c r="J6495" s="196"/>
      <c r="AW6495" s="117"/>
      <c r="AX6495" s="117"/>
      <c r="AY6495" s="117"/>
      <c r="AZ6495" s="117"/>
      <c r="BA6495" s="117"/>
      <c r="BB6495" s="117"/>
      <c r="BC6495" s="117"/>
      <c r="BD6495" s="117"/>
    </row>
    <row r="6496" spans="1:56" ht="15">
      <c r="A6496" s="114"/>
      <c r="B6496" s="398" t="s">
        <v>1126</v>
      </c>
      <c r="C6496" s="172"/>
      <c r="D6496" s="173"/>
      <c r="E6496" s="400">
        <f>((C6482+2*C6491)*(C6483+2*C6491))*C6486</f>
        <v>40.960000000000008</v>
      </c>
      <c r="F6496" s="390" t="s">
        <v>13</v>
      </c>
      <c r="G6496" s="722"/>
      <c r="H6496" s="722"/>
      <c r="I6496" s="722"/>
      <c r="J6496" s="196"/>
      <c r="AW6496" s="117"/>
      <c r="AX6496" s="117"/>
      <c r="AY6496" s="117"/>
      <c r="AZ6496" s="117"/>
      <c r="BA6496" s="117"/>
      <c r="BB6496" s="117"/>
      <c r="BC6496" s="117"/>
      <c r="BD6496" s="117"/>
    </row>
    <row r="6497" spans="1:56" ht="15">
      <c r="A6497" s="114"/>
      <c r="B6497" s="722"/>
      <c r="C6497" s="722"/>
      <c r="D6497" s="722"/>
      <c r="E6497" s="401"/>
      <c r="F6497" s="196"/>
      <c r="G6497" s="722"/>
      <c r="H6497" s="722"/>
      <c r="I6497" s="722"/>
      <c r="J6497" s="196"/>
      <c r="AW6497" s="117"/>
      <c r="AX6497" s="117"/>
      <c r="AY6497" s="117"/>
      <c r="AZ6497" s="117"/>
      <c r="BA6497" s="117"/>
      <c r="BB6497" s="117"/>
      <c r="BC6497" s="117"/>
      <c r="BD6497" s="117"/>
    </row>
    <row r="6498" spans="1:56" ht="15">
      <c r="A6498" s="114"/>
      <c r="B6498" s="303" t="s">
        <v>1162</v>
      </c>
      <c r="C6498" s="722"/>
      <c r="D6498" s="722"/>
      <c r="E6498" s="410"/>
      <c r="F6498" s="722"/>
      <c r="G6498" s="722"/>
      <c r="H6498" s="722"/>
      <c r="I6498" s="722"/>
      <c r="J6498" s="196"/>
      <c r="AW6498" s="117"/>
      <c r="AX6498" s="117"/>
      <c r="AY6498" s="117"/>
      <c r="AZ6498" s="117"/>
      <c r="BA6498" s="117"/>
      <c r="BB6498" s="117"/>
      <c r="BC6498" s="117"/>
      <c r="BD6498" s="117"/>
    </row>
    <row r="6499" spans="1:56" ht="15">
      <c r="A6499" s="114"/>
      <c r="B6499" s="398" t="s">
        <v>1152</v>
      </c>
      <c r="C6499" s="398"/>
      <c r="D6499" s="724"/>
      <c r="E6499" s="411">
        <v>4</v>
      </c>
      <c r="F6499" s="390" t="s">
        <v>1153</v>
      </c>
      <c r="G6499" s="722"/>
      <c r="H6499" s="722"/>
      <c r="I6499" s="722"/>
      <c r="J6499" s="196"/>
      <c r="AW6499" s="117"/>
      <c r="AX6499" s="117"/>
      <c r="AY6499" s="117"/>
      <c r="AZ6499" s="117"/>
      <c r="BA6499" s="117"/>
      <c r="BB6499" s="117"/>
      <c r="BC6499" s="117"/>
      <c r="BD6499" s="117"/>
    </row>
    <row r="6500" spans="1:56" ht="15">
      <c r="A6500" s="114"/>
      <c r="B6500" s="399" t="s">
        <v>1154</v>
      </c>
      <c r="C6500" s="31"/>
      <c r="D6500" s="32"/>
      <c r="E6500" s="412">
        <f>C6486*E6499</f>
        <v>16</v>
      </c>
      <c r="F6500" s="390" t="s">
        <v>1153</v>
      </c>
      <c r="G6500" s="722"/>
      <c r="H6500" s="722"/>
      <c r="I6500" s="722"/>
      <c r="J6500" s="196"/>
      <c r="AW6500" s="117"/>
      <c r="AX6500" s="117"/>
      <c r="AY6500" s="117"/>
      <c r="AZ6500" s="117"/>
      <c r="BA6500" s="117"/>
      <c r="BB6500" s="117"/>
      <c r="BC6500" s="117"/>
      <c r="BD6500" s="117"/>
    </row>
    <row r="6501" spans="1:56" ht="15">
      <c r="A6501" s="114"/>
      <c r="B6501" s="398" t="s">
        <v>1155</v>
      </c>
      <c r="C6501" s="21"/>
      <c r="D6501" s="413"/>
      <c r="E6501" s="411">
        <v>600</v>
      </c>
      <c r="F6501" s="390" t="s">
        <v>1156</v>
      </c>
      <c r="G6501" s="722"/>
      <c r="H6501" s="414"/>
      <c r="I6501" s="722"/>
      <c r="J6501" s="196"/>
      <c r="AW6501" s="117"/>
      <c r="AX6501" s="117"/>
      <c r="AY6501" s="117"/>
      <c r="AZ6501" s="117"/>
      <c r="BA6501" s="117"/>
      <c r="BB6501" s="117"/>
      <c r="BC6501" s="117"/>
      <c r="BD6501" s="117"/>
    </row>
    <row r="6502" spans="1:56" ht="15">
      <c r="A6502" s="114"/>
      <c r="B6502" s="398" t="s">
        <v>1157</v>
      </c>
      <c r="C6502" s="21"/>
      <c r="D6502" s="413"/>
      <c r="E6502" s="418">
        <v>31</v>
      </c>
      <c r="F6502" s="390" t="s">
        <v>10</v>
      </c>
      <c r="G6502" s="722"/>
      <c r="H6502" s="6"/>
      <c r="I6502" s="722"/>
      <c r="J6502" s="196"/>
      <c r="AW6502" s="117"/>
      <c r="AX6502" s="117"/>
      <c r="AY6502" s="117"/>
      <c r="AZ6502" s="117"/>
      <c r="BA6502" s="117"/>
      <c r="BB6502" s="117"/>
      <c r="BC6502" s="117"/>
      <c r="BD6502" s="117"/>
    </row>
    <row r="6503" spans="1:56" ht="15">
      <c r="A6503" s="114"/>
      <c r="B6503" s="398" t="s">
        <v>1158</v>
      </c>
      <c r="C6503" s="21"/>
      <c r="D6503" s="413"/>
      <c r="E6503" s="412">
        <f>E6500*E6502</f>
        <v>496</v>
      </c>
      <c r="F6503" s="390" t="s">
        <v>10</v>
      </c>
      <c r="G6503" s="722"/>
      <c r="H6503" s="722"/>
      <c r="I6503" s="722"/>
      <c r="J6503" s="196"/>
      <c r="AW6503" s="117"/>
      <c r="AX6503" s="117"/>
      <c r="AY6503" s="117"/>
      <c r="AZ6503" s="117"/>
      <c r="BA6503" s="117"/>
      <c r="BB6503" s="117"/>
      <c r="BC6503" s="117"/>
      <c r="BD6503" s="117"/>
    </row>
    <row r="6504" spans="1:56" ht="15">
      <c r="A6504" s="114"/>
      <c r="B6504" s="722"/>
      <c r="C6504" s="722"/>
      <c r="D6504" s="722"/>
      <c r="E6504" s="410"/>
      <c r="F6504" s="722"/>
      <c r="G6504" s="722"/>
      <c r="H6504" s="722"/>
      <c r="I6504" s="722"/>
      <c r="J6504" s="196"/>
      <c r="AW6504" s="117"/>
      <c r="AX6504" s="117"/>
      <c r="AY6504" s="117"/>
      <c r="AZ6504" s="117"/>
      <c r="BA6504" s="117"/>
      <c r="BB6504" s="117"/>
      <c r="BC6504" s="117"/>
      <c r="BD6504" s="117"/>
    </row>
    <row r="6505" spans="1:56" ht="15">
      <c r="A6505" s="114"/>
      <c r="B6505" s="303" t="s">
        <v>1160</v>
      </c>
      <c r="C6505" s="722"/>
      <c r="D6505" s="722"/>
      <c r="E6505" s="410"/>
      <c r="F6505" s="722"/>
      <c r="G6505" s="722"/>
      <c r="H6505" s="722"/>
      <c r="I6505" s="722"/>
      <c r="J6505" s="722"/>
      <c r="AW6505" s="117"/>
      <c r="AX6505" s="117"/>
      <c r="AY6505" s="117"/>
      <c r="AZ6505" s="117"/>
      <c r="BA6505" s="117"/>
      <c r="BB6505" s="117"/>
      <c r="BC6505" s="117"/>
      <c r="BD6505" s="117"/>
    </row>
    <row r="6506" spans="1:56" ht="18">
      <c r="A6506" s="114"/>
      <c r="B6506" s="398" t="s">
        <v>1128</v>
      </c>
      <c r="C6506" s="172"/>
      <c r="D6506" s="173"/>
      <c r="E6506" s="402">
        <f>E6496*0.05</f>
        <v>2.0480000000000005</v>
      </c>
      <c r="F6506" s="390" t="s">
        <v>1124</v>
      </c>
      <c r="G6506" s="722"/>
      <c r="H6506" s="722"/>
      <c r="I6506" s="722"/>
      <c r="J6506" s="722"/>
      <c r="AW6506" s="117"/>
      <c r="AX6506" s="117"/>
      <c r="AY6506" s="117"/>
      <c r="AZ6506" s="117"/>
      <c r="BA6506" s="117"/>
      <c r="BB6506" s="117"/>
      <c r="BC6506" s="117"/>
      <c r="BD6506" s="117"/>
    </row>
    <row r="6507" spans="1:56">
      <c r="A6507" s="114"/>
      <c r="B6507" s="398" t="s">
        <v>1129</v>
      </c>
      <c r="C6507" s="172"/>
      <c r="D6507" s="173"/>
      <c r="E6507" s="397">
        <f>(2*(C6482+C6483)*C6485)*C6486</f>
        <v>72</v>
      </c>
      <c r="F6507" s="390" t="s">
        <v>13</v>
      </c>
      <c r="G6507" s="115"/>
      <c r="H6507" s="115"/>
      <c r="I6507" s="115"/>
      <c r="J6507" s="196"/>
      <c r="AW6507" s="117"/>
      <c r="AX6507" s="117"/>
      <c r="AY6507" s="117"/>
      <c r="AZ6507" s="117"/>
      <c r="BA6507" s="117"/>
      <c r="BB6507" s="117"/>
      <c r="BC6507" s="117"/>
      <c r="BD6507" s="117"/>
    </row>
    <row r="6508" spans="1:56" ht="18">
      <c r="A6508" s="114"/>
      <c r="B6508" s="398" t="s">
        <v>1130</v>
      </c>
      <c r="C6508" s="172"/>
      <c r="D6508" s="173"/>
      <c r="E6508" s="402">
        <f>(C6482*C6483*C6485)*C6486</f>
        <v>54</v>
      </c>
      <c r="F6508" s="390" t="s">
        <v>1124</v>
      </c>
      <c r="G6508" s="115"/>
      <c r="H6508" s="115"/>
      <c r="I6508" s="115"/>
      <c r="J6508" s="722"/>
      <c r="AW6508" s="117"/>
      <c r="AX6508" s="117"/>
      <c r="AY6508" s="117"/>
      <c r="AZ6508" s="117"/>
      <c r="BA6508" s="117"/>
      <c r="BB6508" s="117"/>
      <c r="BC6508" s="117"/>
      <c r="BD6508" s="117"/>
    </row>
    <row r="6509" spans="1:56">
      <c r="A6509" s="114"/>
      <c r="B6509" s="115"/>
      <c r="C6509" s="115"/>
      <c r="D6509" s="115"/>
      <c r="E6509" s="115"/>
      <c r="F6509" s="115"/>
      <c r="G6509" s="115"/>
      <c r="H6509" s="115"/>
      <c r="I6509" s="115"/>
      <c r="J6509" s="722"/>
      <c r="AW6509" s="117"/>
      <c r="AX6509" s="117"/>
      <c r="AY6509" s="117"/>
      <c r="AZ6509" s="117"/>
      <c r="BA6509" s="117"/>
      <c r="BB6509" s="117"/>
      <c r="BC6509" s="117"/>
      <c r="BD6509" s="117"/>
    </row>
    <row r="6510" spans="1:56">
      <c r="A6510" s="114"/>
      <c r="B6510" s="115"/>
      <c r="C6510" s="115"/>
      <c r="D6510" s="115"/>
      <c r="E6510" s="115"/>
      <c r="F6510" s="115"/>
      <c r="G6510" s="115"/>
      <c r="H6510" s="115"/>
      <c r="I6510" s="115"/>
      <c r="J6510" s="196"/>
      <c r="AW6510" s="117"/>
      <c r="AX6510" s="117"/>
      <c r="AY6510" s="117"/>
      <c r="AZ6510" s="117"/>
      <c r="BA6510" s="117"/>
      <c r="BB6510" s="117"/>
      <c r="BC6510" s="117"/>
      <c r="BD6510" s="117"/>
    </row>
    <row r="6511" spans="1:56">
      <c r="A6511"/>
      <c r="B6511" s="385" t="s">
        <v>1965</v>
      </c>
      <c r="C6511" s="722"/>
      <c r="D6511" s="722"/>
      <c r="E6511" s="722"/>
      <c r="F6511" s="722"/>
      <c r="G6511" s="115"/>
      <c r="H6511" s="115"/>
      <c r="I6511" s="722"/>
      <c r="J6511" s="722"/>
      <c r="AW6511" s="117"/>
      <c r="AX6511" s="117"/>
      <c r="AY6511" s="117"/>
      <c r="AZ6511" s="117"/>
      <c r="BA6511" s="117"/>
      <c r="BB6511" s="117"/>
      <c r="BC6511" s="117"/>
      <c r="BD6511" s="117"/>
    </row>
    <row r="6512" spans="1:56" ht="15">
      <c r="A6512" s="114"/>
      <c r="B6512" s="722"/>
      <c r="C6512" s="722"/>
      <c r="D6512" s="722"/>
      <c r="E6512" s="722"/>
      <c r="F6512" s="404"/>
      <c r="G6512" s="196"/>
      <c r="H6512" s="196"/>
      <c r="I6512" s="404"/>
      <c r="J6512" s="722"/>
      <c r="AW6512" s="117"/>
      <c r="AX6512" s="117"/>
      <c r="AY6512" s="117"/>
      <c r="AZ6512" s="117"/>
      <c r="BA6512" s="117"/>
      <c r="BB6512" s="117"/>
      <c r="BC6512" s="117"/>
      <c r="BD6512" s="117"/>
    </row>
    <row r="6513" spans="1:56" ht="18">
      <c r="A6513" s="114"/>
      <c r="B6513" s="388" t="s">
        <v>1141</v>
      </c>
      <c r="C6513" s="389">
        <v>0.4</v>
      </c>
      <c r="D6513" s="390" t="s">
        <v>10</v>
      </c>
      <c r="E6513" s="196"/>
      <c r="F6513" s="405"/>
      <c r="G6513" s="196"/>
      <c r="H6513" s="196"/>
      <c r="I6513" s="405" t="s">
        <v>1143</v>
      </c>
      <c r="J6513" s="196"/>
      <c r="AW6513" s="117"/>
      <c r="AX6513" s="117"/>
      <c r="AY6513" s="117"/>
      <c r="AZ6513" s="117"/>
      <c r="BA6513" s="117"/>
      <c r="BB6513" s="117"/>
      <c r="BC6513" s="117"/>
      <c r="BD6513" s="117"/>
    </row>
    <row r="6514" spans="1:56" ht="15">
      <c r="A6514" s="114"/>
      <c r="B6514" s="388" t="s">
        <v>1144</v>
      </c>
      <c r="C6514" s="389">
        <v>0.4</v>
      </c>
      <c r="D6514" s="390" t="s">
        <v>10</v>
      </c>
      <c r="E6514" s="196"/>
      <c r="F6514" s="405"/>
      <c r="G6514" s="722"/>
      <c r="H6514" s="722"/>
      <c r="I6514" s="405"/>
      <c r="J6514" s="722"/>
      <c r="AW6514" s="117"/>
      <c r="AX6514" s="117"/>
      <c r="AY6514" s="117"/>
      <c r="AZ6514" s="117"/>
      <c r="BA6514" s="117"/>
      <c r="BB6514" s="117"/>
      <c r="BC6514" s="117"/>
      <c r="BD6514" s="117"/>
    </row>
    <row r="6515" spans="1:56" ht="15">
      <c r="A6515" s="114"/>
      <c r="B6515" s="388" t="s">
        <v>1145</v>
      </c>
      <c r="C6515" s="389">
        <v>3</v>
      </c>
      <c r="D6515" s="390" t="s">
        <v>10</v>
      </c>
      <c r="E6515" s="196"/>
      <c r="F6515" s="405"/>
      <c r="G6515" s="404"/>
      <c r="H6515" s="404"/>
      <c r="I6515" s="405"/>
      <c r="J6515" s="722"/>
      <c r="AW6515" s="117"/>
      <c r="AX6515" s="117"/>
      <c r="AY6515" s="117"/>
      <c r="AZ6515" s="117"/>
      <c r="BA6515" s="117"/>
      <c r="BB6515" s="117"/>
      <c r="BC6515" s="117"/>
      <c r="BD6515" s="117"/>
    </row>
    <row r="6516" spans="1:56" ht="18">
      <c r="A6516" s="114"/>
      <c r="B6516" s="388" t="s">
        <v>1146</v>
      </c>
      <c r="C6516" s="389">
        <v>1.2</v>
      </c>
      <c r="D6516" s="390" t="s">
        <v>10</v>
      </c>
      <c r="E6516" s="196"/>
      <c r="F6516" s="405"/>
      <c r="G6516" s="406" t="s">
        <v>1142</v>
      </c>
      <c r="H6516" s="407">
        <f>C6513*C6514</f>
        <v>0.16000000000000003</v>
      </c>
      <c r="I6516" s="405" t="s">
        <v>1143</v>
      </c>
      <c r="J6516" s="722"/>
      <c r="AW6516" s="117"/>
      <c r="AX6516" s="117"/>
      <c r="AY6516" s="117"/>
      <c r="AZ6516" s="117"/>
      <c r="BA6516" s="117"/>
      <c r="BB6516" s="117"/>
      <c r="BC6516" s="117"/>
      <c r="BD6516" s="117"/>
    </row>
    <row r="6517" spans="1:56" s="495" customFormat="1" ht="18">
      <c r="A6517" s="114"/>
      <c r="B6517" s="388" t="s">
        <v>1112</v>
      </c>
      <c r="C6517" s="389">
        <v>0.3</v>
      </c>
      <c r="D6517" s="390" t="s">
        <v>10</v>
      </c>
      <c r="E6517" s="196"/>
      <c r="F6517" s="405"/>
      <c r="G6517" s="406" t="e">
        <f>TEXT(C6521,"tg 0°=")</f>
        <v>#VALUE!</v>
      </c>
      <c r="H6517" s="408">
        <f>TAN(3.14159265359*C6521/180)</f>
        <v>1.732050807569153</v>
      </c>
      <c r="I6517" s="405" t="s">
        <v>1143</v>
      </c>
      <c r="J6517" s="494"/>
      <c r="K6517" s="449"/>
      <c r="L6517" s="449"/>
      <c r="M6517" s="449"/>
      <c r="N6517" s="449"/>
      <c r="O6517" s="449"/>
      <c r="P6517" s="449"/>
      <c r="Q6517" s="449"/>
      <c r="R6517" s="449"/>
      <c r="S6517" s="449"/>
      <c r="T6517" s="449"/>
      <c r="U6517" s="449"/>
      <c r="V6517" s="449"/>
      <c r="W6517" s="449"/>
      <c r="X6517" s="449"/>
      <c r="Y6517" s="449"/>
      <c r="Z6517" s="449"/>
      <c r="AA6517" s="449"/>
      <c r="AB6517" s="449"/>
      <c r="AC6517" s="449"/>
      <c r="AD6517" s="449"/>
      <c r="AE6517" s="449"/>
      <c r="AF6517" s="449"/>
      <c r="AG6517" s="449"/>
      <c r="AH6517" s="449"/>
      <c r="AI6517" s="449"/>
      <c r="AJ6517" s="449"/>
      <c r="AK6517" s="449"/>
      <c r="AL6517" s="449"/>
      <c r="AM6517" s="449"/>
      <c r="AN6517" s="449"/>
      <c r="AO6517" s="449"/>
      <c r="AP6517" s="449"/>
      <c r="AQ6517" s="449"/>
      <c r="AR6517" s="449"/>
      <c r="AS6517" s="449"/>
      <c r="AT6517" s="449"/>
      <c r="AU6517" s="449"/>
      <c r="AV6517" s="449"/>
      <c r="AW6517" s="449"/>
    </row>
    <row r="6518" spans="1:56" s="495" customFormat="1" ht="15">
      <c r="A6518" s="114"/>
      <c r="B6518" s="388" t="s">
        <v>1113</v>
      </c>
      <c r="C6518" s="389">
        <v>1.3</v>
      </c>
      <c r="D6518" s="390" t="s">
        <v>10</v>
      </c>
      <c r="E6518" s="196"/>
      <c r="F6518" s="405"/>
      <c r="G6518" s="406"/>
      <c r="H6518" s="407"/>
      <c r="I6518" s="405"/>
      <c r="J6518" s="401"/>
      <c r="K6518" s="449"/>
      <c r="L6518" s="449"/>
      <c r="M6518" s="449"/>
      <c r="N6518" s="449"/>
      <c r="O6518" s="449"/>
      <c r="P6518" s="449"/>
      <c r="Q6518" s="449"/>
      <c r="R6518" s="449"/>
      <c r="S6518" s="449"/>
      <c r="T6518" s="449"/>
      <c r="U6518" s="449"/>
      <c r="V6518" s="449"/>
      <c r="W6518" s="449"/>
      <c r="X6518" s="449"/>
      <c r="Y6518" s="449"/>
      <c r="Z6518" s="449"/>
      <c r="AA6518" s="449"/>
      <c r="AB6518" s="449"/>
      <c r="AC6518" s="449"/>
      <c r="AD6518" s="449"/>
      <c r="AE6518" s="449"/>
      <c r="AF6518" s="449"/>
      <c r="AG6518" s="449"/>
      <c r="AH6518" s="449"/>
      <c r="AI6518" s="449"/>
      <c r="AJ6518" s="449"/>
      <c r="AK6518" s="449"/>
      <c r="AL6518" s="449"/>
      <c r="AM6518" s="449"/>
      <c r="AN6518" s="449"/>
      <c r="AO6518" s="449"/>
      <c r="AP6518" s="449"/>
      <c r="AQ6518" s="449"/>
      <c r="AR6518" s="449"/>
      <c r="AS6518" s="449"/>
      <c r="AT6518" s="449"/>
      <c r="AU6518" s="449"/>
      <c r="AV6518" s="449"/>
      <c r="AW6518" s="449"/>
    </row>
    <row r="6519" spans="1:56" customFormat="1" ht="15">
      <c r="A6519" s="114"/>
      <c r="B6519" s="388" t="s">
        <v>1117</v>
      </c>
      <c r="C6519" s="391">
        <v>2</v>
      </c>
      <c r="D6519" s="390" t="s">
        <v>1118</v>
      </c>
      <c r="E6519" s="196"/>
      <c r="F6519" s="405"/>
      <c r="G6519" s="406" t="s">
        <v>1142</v>
      </c>
      <c r="H6519" s="409">
        <f>(C6515+2*C6523+((C6517+C6518+0.05)/H6517)*2)*(C6516+2*C6523+((C6517+C6518+0.05)/H6517)*2)</f>
        <v>24.242586507616711</v>
      </c>
      <c r="I6519" s="405"/>
      <c r="J6519" s="722"/>
    </row>
    <row r="6520" spans="1:56" ht="15">
      <c r="A6520" s="114"/>
      <c r="B6520" s="196" t="s">
        <v>1148</v>
      </c>
      <c r="C6520" s="393"/>
      <c r="D6520" s="196"/>
      <c r="E6520" s="196"/>
      <c r="F6520" s="405"/>
      <c r="G6520" s="406" t="s">
        <v>1147</v>
      </c>
      <c r="H6520" s="409">
        <f>(C6515+2*C6523)*(C6516+2*C6523)</f>
        <v>8.8000000000000007</v>
      </c>
      <c r="I6520" s="405"/>
      <c r="J6520" s="722"/>
      <c r="AW6520" s="117"/>
      <c r="AX6520" s="117"/>
      <c r="AY6520" s="117"/>
      <c r="AZ6520" s="117"/>
      <c r="BA6520" s="117"/>
      <c r="BB6520" s="117"/>
      <c r="BC6520" s="117"/>
      <c r="BD6520" s="117"/>
    </row>
    <row r="6521" spans="1:56" ht="15">
      <c r="A6521" s="114"/>
      <c r="B6521" s="388" t="s">
        <v>1149</v>
      </c>
      <c r="C6521" s="389">
        <v>60</v>
      </c>
      <c r="D6521" s="390" t="s">
        <v>1150</v>
      </c>
      <c r="E6521" s="196"/>
      <c r="F6521" s="196"/>
      <c r="G6521" s="406"/>
      <c r="H6521" s="407"/>
      <c r="I6521" s="196"/>
      <c r="J6521" s="722"/>
      <c r="AW6521" s="117"/>
      <c r="AX6521" s="117"/>
      <c r="AY6521" s="117"/>
      <c r="AZ6521" s="117"/>
      <c r="BA6521" s="117"/>
      <c r="BB6521" s="117"/>
      <c r="BC6521" s="117"/>
      <c r="BD6521" s="117"/>
    </row>
    <row r="6522" spans="1:56" ht="15">
      <c r="A6522" s="114"/>
      <c r="B6522" s="722"/>
      <c r="C6522" s="196"/>
      <c r="D6522" s="196"/>
      <c r="E6522" s="196"/>
      <c r="F6522" s="196"/>
      <c r="G6522" s="406"/>
      <c r="H6522" s="407"/>
      <c r="I6522" s="722"/>
      <c r="J6522" s="401"/>
      <c r="AW6522" s="117"/>
      <c r="AX6522" s="117"/>
      <c r="AY6522" s="117"/>
      <c r="AZ6522" s="117"/>
      <c r="BA6522" s="117"/>
      <c r="BB6522" s="117"/>
      <c r="BC6522" s="117"/>
      <c r="BD6522" s="117"/>
    </row>
    <row r="6523" spans="1:56" ht="15">
      <c r="A6523" s="114"/>
      <c r="B6523" s="388" t="s">
        <v>1114</v>
      </c>
      <c r="C6523" s="389">
        <v>0.5</v>
      </c>
      <c r="D6523" s="390" t="s">
        <v>10</v>
      </c>
      <c r="E6523" s="288" t="s">
        <v>1120</v>
      </c>
      <c r="F6523" s="196"/>
      <c r="G6523" s="406"/>
      <c r="H6523" s="407"/>
      <c r="I6523" s="114"/>
      <c r="J6523" s="401"/>
      <c r="AW6523" s="117"/>
      <c r="AX6523" s="117"/>
      <c r="AY6523" s="117"/>
      <c r="AZ6523" s="117"/>
      <c r="BA6523" s="117"/>
      <c r="BB6523" s="117"/>
      <c r="BC6523" s="117"/>
      <c r="BD6523" s="117"/>
    </row>
    <row r="6524" spans="1:56" ht="15">
      <c r="A6524" s="114"/>
      <c r="B6524" s="388" t="s">
        <v>1114</v>
      </c>
      <c r="C6524" s="389">
        <v>0.1</v>
      </c>
      <c r="D6524" s="390" t="s">
        <v>10</v>
      </c>
      <c r="E6524" s="288" t="s">
        <v>1121</v>
      </c>
      <c r="F6524" s="196"/>
      <c r="G6524" s="392"/>
      <c r="H6524" s="393"/>
      <c r="I6524" s="196"/>
      <c r="J6524" s="401"/>
      <c r="AW6524" s="117"/>
      <c r="AX6524" s="117"/>
      <c r="AY6524" s="117"/>
      <c r="AZ6524" s="117"/>
      <c r="BA6524" s="117"/>
      <c r="BB6524" s="117"/>
      <c r="BC6524" s="117"/>
      <c r="BD6524" s="117"/>
    </row>
    <row r="6525" spans="1:56" ht="15">
      <c r="A6525" s="114"/>
      <c r="B6525" s="722"/>
      <c r="C6525" s="722"/>
      <c r="D6525" s="722"/>
      <c r="E6525" s="722"/>
      <c r="F6525" s="722"/>
      <c r="G6525" s="722"/>
      <c r="H6525" s="722"/>
      <c r="I6525" s="196"/>
      <c r="J6525" s="196"/>
      <c r="AW6525" s="117"/>
      <c r="AX6525" s="117"/>
      <c r="AY6525" s="117"/>
      <c r="AZ6525" s="117"/>
      <c r="BA6525" s="117"/>
      <c r="BB6525" s="117"/>
      <c r="BC6525" s="117"/>
      <c r="BD6525" s="117"/>
    </row>
    <row r="6526" spans="1:56" ht="15">
      <c r="A6526" s="114"/>
      <c r="B6526" s="303" t="s">
        <v>1122</v>
      </c>
      <c r="C6526" s="722"/>
      <c r="D6526" s="722"/>
      <c r="E6526" s="722"/>
      <c r="F6526" s="722"/>
      <c r="G6526" s="196" t="s">
        <v>1131</v>
      </c>
      <c r="H6526" s="114"/>
      <c r="I6526" s="196"/>
      <c r="J6526" s="196"/>
      <c r="AW6526" s="117"/>
      <c r="AX6526" s="117"/>
      <c r="AY6526" s="117"/>
      <c r="AZ6526" s="117"/>
      <c r="BA6526" s="117"/>
      <c r="BB6526" s="117"/>
      <c r="BC6526" s="117"/>
      <c r="BD6526" s="117"/>
    </row>
    <row r="6527" spans="1:56" ht="18">
      <c r="A6527" s="114"/>
      <c r="B6527" s="398" t="s">
        <v>1123</v>
      </c>
      <c r="C6527" s="172"/>
      <c r="D6527" s="173"/>
      <c r="E6527" s="397">
        <f>C6519*((H6520+H6519)/2)*(C6517+C6518+0.05)</f>
        <v>54.520267737567579</v>
      </c>
      <c r="F6527" s="390" t="s">
        <v>1124</v>
      </c>
      <c r="G6527" s="196"/>
      <c r="H6527" s="196"/>
      <c r="I6527" s="722"/>
      <c r="J6527" s="196"/>
      <c r="AW6527" s="117"/>
      <c r="AX6527" s="117"/>
      <c r="AY6527" s="117"/>
      <c r="AZ6527" s="117"/>
      <c r="BA6527" s="117"/>
      <c r="BB6527" s="117"/>
      <c r="BC6527" s="117"/>
      <c r="BD6527" s="117"/>
    </row>
    <row r="6528" spans="1:56" ht="18">
      <c r="A6528" s="114"/>
      <c r="B6528" s="398" t="s">
        <v>1125</v>
      </c>
      <c r="C6528" s="172"/>
      <c r="D6528" s="173"/>
      <c r="E6528" s="400">
        <f>E6527-C6519*(C6515*C6516*C6518+C6515*C6516*0.05+C6513*C6514*C6517)</f>
        <v>44.704267737567577</v>
      </c>
      <c r="F6528" s="390" t="s">
        <v>1124</v>
      </c>
      <c r="G6528" s="196"/>
      <c r="H6528" s="196"/>
      <c r="I6528" s="196"/>
      <c r="J6528" s="196"/>
      <c r="AW6528" s="117"/>
      <c r="AX6528" s="117"/>
      <c r="AY6528" s="117"/>
      <c r="AZ6528" s="117"/>
      <c r="BA6528" s="117"/>
      <c r="BB6528" s="117"/>
      <c r="BC6528" s="117"/>
      <c r="BD6528" s="117"/>
    </row>
    <row r="6529" spans="1:56" ht="15">
      <c r="A6529" s="114"/>
      <c r="B6529" s="398" t="s">
        <v>1126</v>
      </c>
      <c r="C6529" s="172"/>
      <c r="D6529" s="173"/>
      <c r="E6529" s="400">
        <f>((C6515+2*C6524)*(C6516+2*C6524))*C6519</f>
        <v>8.9599999999999991</v>
      </c>
      <c r="F6529" s="390" t="s">
        <v>13</v>
      </c>
      <c r="G6529" s="722"/>
      <c r="H6529" s="722"/>
      <c r="I6529" s="722"/>
      <c r="J6529" s="196"/>
      <c r="AW6529" s="117"/>
      <c r="AX6529" s="117"/>
      <c r="AY6529" s="117"/>
      <c r="AZ6529" s="117"/>
      <c r="BA6529" s="117"/>
      <c r="BB6529" s="117"/>
      <c r="BC6529" s="117"/>
      <c r="BD6529" s="117"/>
    </row>
    <row r="6530" spans="1:56" ht="15">
      <c r="A6530" s="114"/>
      <c r="B6530" s="722"/>
      <c r="C6530" s="722"/>
      <c r="D6530" s="722"/>
      <c r="E6530" s="401"/>
      <c r="F6530" s="196"/>
      <c r="G6530" s="722"/>
      <c r="H6530" s="722"/>
      <c r="I6530" s="722"/>
      <c r="J6530" s="196"/>
      <c r="AW6530" s="117"/>
      <c r="AX6530" s="117"/>
      <c r="AY6530" s="117"/>
      <c r="AZ6530" s="117"/>
      <c r="BA6530" s="117"/>
      <c r="BB6530" s="117"/>
      <c r="BC6530" s="117"/>
      <c r="BD6530" s="117"/>
    </row>
    <row r="6531" spans="1:56" ht="15">
      <c r="A6531" s="114"/>
      <c r="B6531" s="303" t="s">
        <v>1162</v>
      </c>
      <c r="C6531" s="722"/>
      <c r="D6531" s="722"/>
      <c r="E6531" s="410"/>
      <c r="F6531" s="722"/>
      <c r="G6531" s="722"/>
      <c r="H6531" s="722"/>
      <c r="I6531" s="722"/>
      <c r="J6531" s="196"/>
      <c r="AW6531" s="117"/>
      <c r="AX6531" s="117"/>
      <c r="AY6531" s="117"/>
      <c r="AZ6531" s="117"/>
      <c r="BA6531" s="117"/>
      <c r="BB6531" s="117"/>
      <c r="BC6531" s="117"/>
      <c r="BD6531" s="117"/>
    </row>
    <row r="6532" spans="1:56" ht="15">
      <c r="A6532" s="114"/>
      <c r="B6532" s="398" t="s">
        <v>1152</v>
      </c>
      <c r="C6532" s="398"/>
      <c r="D6532" s="724"/>
      <c r="E6532" s="411">
        <v>2</v>
      </c>
      <c r="F6532" s="390" t="s">
        <v>1153</v>
      </c>
      <c r="G6532" s="722"/>
      <c r="H6532" s="722"/>
      <c r="I6532" s="722"/>
      <c r="J6532" s="196"/>
      <c r="AW6532" s="117"/>
      <c r="AX6532" s="117"/>
      <c r="AY6532" s="117"/>
      <c r="AZ6532" s="117"/>
      <c r="BA6532" s="117"/>
      <c r="BB6532" s="117"/>
      <c r="BC6532" s="117"/>
      <c r="BD6532" s="117"/>
    </row>
    <row r="6533" spans="1:56" ht="15">
      <c r="A6533" s="114"/>
      <c r="B6533" s="399" t="s">
        <v>1154</v>
      </c>
      <c r="C6533" s="31"/>
      <c r="D6533" s="32"/>
      <c r="E6533" s="412">
        <f>C6519*E6532</f>
        <v>4</v>
      </c>
      <c r="F6533" s="390" t="s">
        <v>1153</v>
      </c>
      <c r="G6533" s="722"/>
      <c r="H6533" s="722"/>
      <c r="I6533" s="722"/>
      <c r="J6533" s="196"/>
      <c r="AW6533" s="117"/>
      <c r="AX6533" s="117"/>
      <c r="AY6533" s="117"/>
      <c r="AZ6533" s="117"/>
      <c r="BA6533" s="117"/>
      <c r="BB6533" s="117"/>
      <c r="BC6533" s="117"/>
      <c r="BD6533" s="117"/>
    </row>
    <row r="6534" spans="1:56" ht="15">
      <c r="A6534" s="114"/>
      <c r="B6534" s="398" t="s">
        <v>1155</v>
      </c>
      <c r="C6534" s="21"/>
      <c r="D6534" s="413"/>
      <c r="E6534" s="411">
        <v>350</v>
      </c>
      <c r="F6534" s="390" t="s">
        <v>1156</v>
      </c>
      <c r="G6534" s="722"/>
      <c r="H6534" s="414"/>
      <c r="I6534" s="722"/>
      <c r="J6534" s="196"/>
      <c r="AW6534" s="117"/>
      <c r="AX6534" s="117"/>
      <c r="AY6534" s="117"/>
      <c r="AZ6534" s="117"/>
      <c r="BA6534" s="117"/>
      <c r="BB6534" s="117"/>
      <c r="BC6534" s="117"/>
      <c r="BD6534" s="117"/>
    </row>
    <row r="6535" spans="1:56" ht="15">
      <c r="A6535" s="114"/>
      <c r="B6535" s="398" t="s">
        <v>1157</v>
      </c>
      <c r="C6535" s="21"/>
      <c r="D6535" s="413"/>
      <c r="E6535" s="418">
        <v>29</v>
      </c>
      <c r="F6535" s="390" t="s">
        <v>10</v>
      </c>
      <c r="G6535" s="722"/>
      <c r="H6535" s="6"/>
      <c r="I6535" s="722"/>
      <c r="J6535" s="196"/>
      <c r="AW6535" s="117"/>
      <c r="AX6535" s="117"/>
      <c r="AY6535" s="117"/>
      <c r="AZ6535" s="117"/>
      <c r="BA6535" s="117"/>
      <c r="BB6535" s="117"/>
      <c r="BC6535" s="117"/>
      <c r="BD6535" s="117"/>
    </row>
    <row r="6536" spans="1:56" ht="15">
      <c r="A6536" s="114"/>
      <c r="B6536" s="398" t="s">
        <v>1158</v>
      </c>
      <c r="C6536" s="21"/>
      <c r="D6536" s="413"/>
      <c r="E6536" s="412">
        <f>E6533*E6535</f>
        <v>116</v>
      </c>
      <c r="F6536" s="390" t="s">
        <v>10</v>
      </c>
      <c r="G6536" s="722"/>
      <c r="H6536" s="722"/>
      <c r="I6536" s="722"/>
      <c r="J6536" s="196"/>
      <c r="AW6536" s="117"/>
      <c r="AX6536" s="117"/>
      <c r="AY6536" s="117"/>
      <c r="AZ6536" s="117"/>
      <c r="BA6536" s="117"/>
      <c r="BB6536" s="117"/>
      <c r="BC6536" s="117"/>
      <c r="BD6536" s="117"/>
    </row>
    <row r="6537" spans="1:56" ht="15">
      <c r="A6537" s="114"/>
      <c r="B6537" s="722"/>
      <c r="C6537" s="722"/>
      <c r="D6537" s="722"/>
      <c r="E6537" s="410"/>
      <c r="F6537" s="722"/>
      <c r="G6537" s="722"/>
      <c r="H6537" s="722"/>
      <c r="I6537" s="722"/>
      <c r="J6537" s="196"/>
      <c r="AW6537" s="117"/>
      <c r="AX6537" s="117"/>
      <c r="AY6537" s="117"/>
      <c r="AZ6537" s="117"/>
      <c r="BA6537" s="117"/>
      <c r="BB6537" s="117"/>
      <c r="BC6537" s="117"/>
      <c r="BD6537" s="117"/>
    </row>
    <row r="6538" spans="1:56" ht="15">
      <c r="A6538" s="114"/>
      <c r="B6538" s="303" t="s">
        <v>1160</v>
      </c>
      <c r="C6538" s="722"/>
      <c r="D6538" s="722"/>
      <c r="E6538" s="410"/>
      <c r="F6538" s="722"/>
      <c r="G6538" s="722"/>
      <c r="H6538" s="722"/>
      <c r="I6538" s="722"/>
      <c r="J6538" s="722"/>
      <c r="AW6538" s="117"/>
      <c r="AX6538" s="117"/>
      <c r="AY6538" s="117"/>
      <c r="AZ6538" s="117"/>
      <c r="BA6538" s="117"/>
      <c r="BB6538" s="117"/>
      <c r="BC6538" s="117"/>
      <c r="BD6538" s="117"/>
    </row>
    <row r="6539" spans="1:56" ht="18">
      <c r="A6539" s="114"/>
      <c r="B6539" s="398" t="s">
        <v>1128</v>
      </c>
      <c r="C6539" s="172"/>
      <c r="D6539" s="173"/>
      <c r="E6539" s="402">
        <f>E6529*0.05</f>
        <v>0.44799999999999995</v>
      </c>
      <c r="F6539" s="390" t="s">
        <v>1124</v>
      </c>
      <c r="G6539" s="722"/>
      <c r="H6539" s="722"/>
      <c r="I6539" s="722"/>
      <c r="J6539" s="722"/>
      <c r="AW6539" s="117"/>
      <c r="AX6539" s="117"/>
      <c r="AY6539" s="117"/>
      <c r="AZ6539" s="117"/>
      <c r="BA6539" s="117"/>
      <c r="BB6539" s="117"/>
      <c r="BC6539" s="117"/>
      <c r="BD6539" s="117"/>
    </row>
    <row r="6540" spans="1:56">
      <c r="A6540" s="114"/>
      <c r="B6540" s="398" t="s">
        <v>1129</v>
      </c>
      <c r="C6540" s="172"/>
      <c r="D6540" s="173"/>
      <c r="E6540" s="397">
        <f>(2*(C6515+C6516)*C6518)*C6519</f>
        <v>21.840000000000003</v>
      </c>
      <c r="F6540" s="390" t="s">
        <v>13</v>
      </c>
      <c r="G6540" s="115"/>
      <c r="H6540" s="115"/>
      <c r="I6540" s="115"/>
      <c r="J6540" s="196"/>
      <c r="AW6540" s="117"/>
      <c r="AX6540" s="117"/>
      <c r="AY6540" s="117"/>
      <c r="AZ6540" s="117"/>
      <c r="BA6540" s="117"/>
      <c r="BB6540" s="117"/>
      <c r="BC6540" s="117"/>
      <c r="BD6540" s="117"/>
    </row>
    <row r="6541" spans="1:56" ht="18">
      <c r="A6541" s="114"/>
      <c r="B6541" s="398" t="s">
        <v>1130</v>
      </c>
      <c r="C6541" s="172"/>
      <c r="D6541" s="173"/>
      <c r="E6541" s="402">
        <f>(C6515*C6516*C6518)*C6519</f>
        <v>9.36</v>
      </c>
      <c r="F6541" s="390" t="s">
        <v>1124</v>
      </c>
      <c r="G6541" s="115"/>
      <c r="H6541" s="115"/>
      <c r="I6541" s="115"/>
      <c r="J6541" s="722"/>
      <c r="AW6541" s="117"/>
      <c r="AX6541" s="117"/>
      <c r="AY6541" s="117"/>
      <c r="AZ6541" s="117"/>
      <c r="BA6541" s="117"/>
      <c r="BB6541" s="117"/>
      <c r="BC6541" s="117"/>
      <c r="BD6541" s="117"/>
    </row>
    <row r="6542" spans="1:56">
      <c r="A6542" s="114"/>
      <c r="B6542" s="288"/>
      <c r="C6542" s="288"/>
      <c r="D6542" s="288"/>
      <c r="E6542" s="288"/>
      <c r="F6542" s="288"/>
      <c r="G6542" s="288"/>
      <c r="H6542" s="288"/>
      <c r="I6542" s="115"/>
      <c r="J6542" s="1067"/>
      <c r="AW6542" s="117"/>
      <c r="AX6542" s="117"/>
      <c r="AY6542" s="117"/>
      <c r="AZ6542" s="117"/>
      <c r="BA6542" s="117"/>
      <c r="BB6542" s="117"/>
      <c r="BC6542" s="117"/>
      <c r="BD6542" s="117"/>
    </row>
    <row r="6543" spans="1:56">
      <c r="A6543" s="114"/>
      <c r="B6543" s="420" t="s">
        <v>2383</v>
      </c>
      <c r="C6543" s="420"/>
      <c r="D6543" s="420"/>
      <c r="E6543" s="420"/>
      <c r="F6543" s="420"/>
      <c r="G6543" s="420"/>
      <c r="H6543" s="115"/>
      <c r="I6543" s="115"/>
      <c r="J6543" s="1067"/>
      <c r="AW6543" s="117"/>
      <c r="AX6543" s="117"/>
      <c r="AY6543" s="117"/>
      <c r="AZ6543" s="117"/>
      <c r="BA6543" s="117"/>
      <c r="BB6543" s="117"/>
      <c r="BC6543" s="117"/>
      <c r="BD6543" s="117"/>
    </row>
    <row r="6544" spans="1:56">
      <c r="A6544" s="114"/>
      <c r="B6544" s="1091" t="s">
        <v>2382</v>
      </c>
      <c r="C6544" s="1092"/>
      <c r="D6544" s="1092"/>
      <c r="E6544" s="1086"/>
      <c r="F6544" s="196"/>
      <c r="G6544" s="115"/>
      <c r="H6544" s="115"/>
      <c r="I6544" s="115"/>
      <c r="J6544" s="1067"/>
      <c r="AW6544" s="117"/>
      <c r="AX6544" s="117"/>
      <c r="AY6544" s="117"/>
      <c r="AZ6544" s="117"/>
      <c r="BA6544" s="117"/>
      <c r="BB6544" s="117"/>
      <c r="BC6544" s="117"/>
      <c r="BD6544" s="117"/>
    </row>
    <row r="6545" spans="1:56">
      <c r="A6545" s="114"/>
      <c r="B6545" s="288"/>
      <c r="C6545" s="230"/>
      <c r="D6545" s="230"/>
      <c r="E6545" s="1086"/>
      <c r="F6545" s="196"/>
      <c r="G6545" s="115"/>
      <c r="H6545" s="115"/>
      <c r="I6545" s="115"/>
      <c r="J6545" s="1067"/>
      <c r="AW6545" s="117"/>
      <c r="AX6545" s="117"/>
      <c r="AY6545" s="117"/>
      <c r="AZ6545" s="117"/>
      <c r="BA6545" s="117"/>
      <c r="BB6545" s="117"/>
      <c r="BC6545" s="117"/>
      <c r="BD6545" s="117"/>
    </row>
    <row r="6546" spans="1:56">
      <c r="A6546" s="114"/>
      <c r="B6546" s="385" t="s">
        <v>1223</v>
      </c>
      <c r="C6546" s="1067"/>
      <c r="D6546" s="1067"/>
      <c r="E6546" s="1067"/>
      <c r="F6546" s="1067"/>
      <c r="G6546" s="115"/>
      <c r="H6546" s="115"/>
      <c r="I6546" s="1067"/>
      <c r="J6546" s="1067"/>
      <c r="AW6546" s="117"/>
      <c r="AX6546" s="117"/>
      <c r="AY6546" s="117"/>
      <c r="AZ6546" s="117"/>
      <c r="BA6546" s="117"/>
      <c r="BB6546" s="117"/>
      <c r="BC6546" s="117"/>
      <c r="BD6546" s="117"/>
    </row>
    <row r="6547" spans="1:56" ht="15">
      <c r="A6547" s="114"/>
      <c r="B6547" s="1067"/>
      <c r="C6547" s="1067"/>
      <c r="D6547" s="1067"/>
      <c r="E6547" s="1067"/>
      <c r="F6547" s="404"/>
      <c r="G6547" s="196"/>
      <c r="H6547" s="196"/>
      <c r="I6547" s="404"/>
      <c r="J6547" s="1067"/>
      <c r="AW6547" s="117"/>
      <c r="AX6547" s="117"/>
      <c r="AY6547" s="117"/>
      <c r="AZ6547" s="117"/>
      <c r="BA6547" s="117"/>
      <c r="BB6547" s="117"/>
      <c r="BC6547" s="117"/>
      <c r="BD6547" s="117"/>
    </row>
    <row r="6548" spans="1:56" ht="18">
      <c r="A6548" s="114"/>
      <c r="B6548" s="388" t="s">
        <v>2378</v>
      </c>
      <c r="C6548" s="685">
        <f>(3.1416*1.2*1.2)/4</f>
        <v>1.130976</v>
      </c>
      <c r="D6548" s="390" t="s">
        <v>10</v>
      </c>
      <c r="E6548" s="196"/>
      <c r="F6548" s="405"/>
      <c r="G6548" s="196"/>
      <c r="H6548" s="196"/>
      <c r="I6548" s="405" t="s">
        <v>1143</v>
      </c>
      <c r="J6548" s="196"/>
      <c r="AW6548" s="117"/>
      <c r="AX6548" s="117"/>
      <c r="AY6548" s="117"/>
      <c r="AZ6548" s="117"/>
      <c r="BA6548" s="117"/>
      <c r="BB6548" s="117"/>
      <c r="BC6548" s="117"/>
      <c r="BD6548" s="117"/>
    </row>
    <row r="6549" spans="1:56" ht="15">
      <c r="A6549" s="114"/>
      <c r="B6549" s="388" t="s">
        <v>1144</v>
      </c>
      <c r="C6549" s="389">
        <v>1</v>
      </c>
      <c r="D6549" s="390" t="s">
        <v>10</v>
      </c>
      <c r="E6549" s="196"/>
      <c r="F6549" s="405"/>
      <c r="G6549" s="1067"/>
      <c r="H6549" s="1067"/>
      <c r="I6549" s="405"/>
      <c r="J6549" s="1067"/>
      <c r="AW6549" s="117"/>
      <c r="AX6549" s="117"/>
      <c r="AY6549" s="117"/>
      <c r="AZ6549" s="117"/>
      <c r="BA6549" s="117"/>
      <c r="BB6549" s="117"/>
      <c r="BC6549" s="117"/>
      <c r="BD6549" s="117"/>
    </row>
    <row r="6550" spans="1:56" ht="15">
      <c r="A6550" s="114"/>
      <c r="B6550" s="388" t="s">
        <v>1145</v>
      </c>
      <c r="C6550" s="389">
        <v>3.8</v>
      </c>
      <c r="D6550" s="390" t="s">
        <v>10</v>
      </c>
      <c r="E6550" s="196"/>
      <c r="F6550" s="405"/>
      <c r="G6550" s="404"/>
      <c r="H6550" s="404"/>
      <c r="I6550" s="405"/>
      <c r="J6550" s="1067"/>
      <c r="AW6550" s="117"/>
      <c r="AX6550" s="117"/>
      <c r="AY6550" s="117"/>
      <c r="AZ6550" s="117"/>
      <c r="BA6550" s="117"/>
      <c r="BB6550" s="117"/>
      <c r="BC6550" s="117"/>
      <c r="BD6550" s="117"/>
    </row>
    <row r="6551" spans="1:56" ht="18">
      <c r="A6551" s="114"/>
      <c r="B6551" s="388" t="s">
        <v>1146</v>
      </c>
      <c r="C6551" s="389">
        <v>3.8</v>
      </c>
      <c r="D6551" s="390" t="s">
        <v>10</v>
      </c>
      <c r="E6551" s="196"/>
      <c r="F6551" s="405"/>
      <c r="G6551" s="406" t="s">
        <v>1142</v>
      </c>
      <c r="H6551" s="407">
        <f>C6548*C6549</f>
        <v>1.130976</v>
      </c>
      <c r="I6551" s="405" t="s">
        <v>1143</v>
      </c>
      <c r="J6551" s="1067"/>
      <c r="AW6551" s="117"/>
      <c r="AX6551" s="117"/>
      <c r="AY6551" s="117"/>
      <c r="AZ6551" s="117"/>
      <c r="BA6551" s="117"/>
      <c r="BB6551" s="117"/>
      <c r="BC6551" s="117"/>
      <c r="BD6551" s="117"/>
    </row>
    <row r="6552" spans="1:56" ht="18">
      <c r="A6552" s="114"/>
      <c r="B6552" s="388" t="s">
        <v>1112</v>
      </c>
      <c r="C6552" s="389">
        <v>0.4</v>
      </c>
      <c r="D6552" s="390" t="s">
        <v>10</v>
      </c>
      <c r="E6552" s="196"/>
      <c r="F6552" s="405"/>
      <c r="G6552" s="406" t="e">
        <f>TEXT(C6556,"tg 0°=")</f>
        <v>#VALUE!</v>
      </c>
      <c r="H6552" s="408">
        <f>TAN(3.14159265359*C6556/180)</f>
        <v>1.732050807569153</v>
      </c>
      <c r="I6552" s="405" t="s">
        <v>1143</v>
      </c>
      <c r="J6552" s="494"/>
      <c r="AW6552" s="117"/>
      <c r="AX6552" s="117"/>
      <c r="AY6552" s="117"/>
      <c r="AZ6552" s="117"/>
      <c r="BA6552" s="117"/>
      <c r="BB6552" s="117"/>
      <c r="BC6552" s="117"/>
      <c r="BD6552" s="117"/>
    </row>
    <row r="6553" spans="1:56" ht="15">
      <c r="A6553" s="114"/>
      <c r="B6553" s="388" t="s">
        <v>1113</v>
      </c>
      <c r="C6553" s="389">
        <v>2.0499999999999998</v>
      </c>
      <c r="D6553" s="390" t="s">
        <v>10</v>
      </c>
      <c r="E6553" s="196"/>
      <c r="F6553" s="405"/>
      <c r="G6553" s="406"/>
      <c r="H6553" s="407"/>
      <c r="I6553" s="405"/>
      <c r="J6553" s="401"/>
      <c r="AW6553" s="117"/>
      <c r="AX6553" s="117"/>
      <c r="AY6553" s="117"/>
      <c r="AZ6553" s="117"/>
      <c r="BA6553" s="117"/>
      <c r="BB6553" s="117"/>
      <c r="BC6553" s="117"/>
      <c r="BD6553" s="117"/>
    </row>
    <row r="6554" spans="1:56" ht="15">
      <c r="A6554" s="114"/>
      <c r="B6554" s="388" t="s">
        <v>1117</v>
      </c>
      <c r="C6554" s="391">
        <v>12</v>
      </c>
      <c r="D6554" s="390" t="s">
        <v>1118</v>
      </c>
      <c r="E6554" s="196"/>
      <c r="F6554" s="405"/>
      <c r="G6554" s="406" t="s">
        <v>1142</v>
      </c>
      <c r="H6554" s="409">
        <f>(C6550+2*C6558+((C6552+C6553+0.05)/H6552)*2)*(C6551+2*C6558+((C6552+C6553+0.05)/H6552)*2)</f>
        <v>59.0861462544283</v>
      </c>
      <c r="I6554" s="405"/>
      <c r="J6554" s="1067"/>
      <c r="AW6554" s="117"/>
      <c r="AX6554" s="117"/>
      <c r="AY6554" s="117"/>
      <c r="AZ6554" s="117"/>
      <c r="BA6554" s="117"/>
      <c r="BB6554" s="117"/>
      <c r="BC6554" s="117"/>
      <c r="BD6554" s="117"/>
    </row>
    <row r="6555" spans="1:56" ht="15">
      <c r="A6555" s="114"/>
      <c r="B6555" s="196" t="s">
        <v>1148</v>
      </c>
      <c r="C6555" s="1068"/>
      <c r="D6555" s="196"/>
      <c r="E6555" s="196"/>
      <c r="F6555" s="405"/>
      <c r="G6555" s="406" t="s">
        <v>1147</v>
      </c>
      <c r="H6555" s="409">
        <f>(C6550+2*C6558)*(C6551+2*C6558)</f>
        <v>23.04</v>
      </c>
      <c r="I6555" s="405"/>
      <c r="J6555" s="1067"/>
      <c r="AW6555" s="117"/>
      <c r="AX6555" s="117"/>
      <c r="AY6555" s="117"/>
      <c r="AZ6555" s="117"/>
      <c r="BA6555" s="117"/>
      <c r="BB6555" s="117"/>
      <c r="BC6555" s="117"/>
      <c r="BD6555" s="117"/>
    </row>
    <row r="6556" spans="1:56" ht="15">
      <c r="A6556" s="114"/>
      <c r="B6556" s="388" t="s">
        <v>1149</v>
      </c>
      <c r="C6556" s="389">
        <v>60</v>
      </c>
      <c r="D6556" s="390" t="s">
        <v>1150</v>
      </c>
      <c r="E6556" s="196"/>
      <c r="F6556" s="196"/>
      <c r="G6556" s="406"/>
      <c r="H6556" s="407"/>
      <c r="I6556" s="196"/>
      <c r="J6556" s="1067"/>
      <c r="AW6556" s="117"/>
      <c r="AX6556" s="117"/>
      <c r="AY6556" s="117"/>
      <c r="AZ6556" s="117"/>
      <c r="BA6556" s="117"/>
      <c r="BB6556" s="117"/>
      <c r="BC6556" s="117"/>
      <c r="BD6556" s="117"/>
    </row>
    <row r="6557" spans="1:56" ht="15">
      <c r="A6557" s="114"/>
      <c r="B6557" s="1067"/>
      <c r="C6557" s="196"/>
      <c r="D6557" s="196"/>
      <c r="E6557" s="196"/>
      <c r="F6557" s="196"/>
      <c r="G6557" s="406"/>
      <c r="H6557" s="407"/>
      <c r="I6557" s="1067"/>
      <c r="J6557" s="401"/>
      <c r="AW6557" s="117"/>
      <c r="AX6557" s="117"/>
      <c r="AY6557" s="117"/>
      <c r="AZ6557" s="117"/>
      <c r="BA6557" s="117"/>
      <c r="BB6557" s="117"/>
      <c r="BC6557" s="117"/>
      <c r="BD6557" s="117"/>
    </row>
    <row r="6558" spans="1:56" ht="15">
      <c r="A6558" s="114"/>
      <c r="B6558" s="388" t="s">
        <v>1114</v>
      </c>
      <c r="C6558" s="389">
        <v>0.5</v>
      </c>
      <c r="D6558" s="390" t="s">
        <v>10</v>
      </c>
      <c r="E6558" s="288" t="s">
        <v>1120</v>
      </c>
      <c r="F6558" s="196"/>
      <c r="G6558" s="406"/>
      <c r="H6558" s="407"/>
      <c r="I6558" s="114"/>
      <c r="J6558" s="401"/>
      <c r="AW6558" s="117"/>
      <c r="AX6558" s="117"/>
      <c r="AY6558" s="117"/>
      <c r="AZ6558" s="117"/>
      <c r="BA6558" s="117"/>
      <c r="BB6558" s="117"/>
      <c r="BC6558" s="117"/>
      <c r="BD6558" s="117"/>
    </row>
    <row r="6559" spans="1:56" ht="15">
      <c r="A6559" s="114"/>
      <c r="B6559" s="388" t="s">
        <v>1114</v>
      </c>
      <c r="C6559" s="389">
        <v>0.1</v>
      </c>
      <c r="D6559" s="390" t="s">
        <v>10</v>
      </c>
      <c r="E6559" s="288" t="s">
        <v>1121</v>
      </c>
      <c r="F6559" s="196"/>
      <c r="G6559" s="392"/>
      <c r="H6559" s="1068"/>
      <c r="I6559" s="196"/>
      <c r="J6559" s="401"/>
      <c r="AW6559" s="117"/>
      <c r="AX6559" s="117"/>
      <c r="AY6559" s="117"/>
      <c r="AZ6559" s="117"/>
      <c r="BA6559" s="117"/>
      <c r="BB6559" s="117"/>
      <c r="BC6559" s="117"/>
      <c r="BD6559" s="117"/>
    </row>
    <row r="6560" spans="1:56" ht="15">
      <c r="A6560" s="114"/>
      <c r="B6560" s="1067"/>
      <c r="C6560" s="1067"/>
      <c r="D6560" s="1067"/>
      <c r="E6560" s="1067"/>
      <c r="F6560" s="1067"/>
      <c r="G6560" s="1067"/>
      <c r="H6560" s="1067"/>
      <c r="I6560" s="196"/>
      <c r="J6560" s="196"/>
      <c r="AW6560" s="117"/>
      <c r="AX6560" s="117"/>
      <c r="AY6560" s="117"/>
      <c r="AZ6560" s="117"/>
      <c r="BA6560" s="117"/>
      <c r="BB6560" s="117"/>
      <c r="BC6560" s="117"/>
      <c r="BD6560" s="117"/>
    </row>
    <row r="6561" spans="1:56" ht="15">
      <c r="A6561" s="114"/>
      <c r="B6561" s="303" t="s">
        <v>1122</v>
      </c>
      <c r="C6561" s="1067"/>
      <c r="D6561" s="1067"/>
      <c r="E6561" s="1067"/>
      <c r="F6561" s="1067"/>
      <c r="G6561" s="196" t="s">
        <v>1131</v>
      </c>
      <c r="H6561" s="114"/>
      <c r="I6561" s="196"/>
      <c r="J6561" s="196"/>
      <c r="AW6561" s="117"/>
      <c r="AX6561" s="117"/>
      <c r="AY6561" s="117"/>
      <c r="AZ6561" s="117"/>
      <c r="BA6561" s="117"/>
      <c r="BB6561" s="117"/>
      <c r="BC6561" s="117"/>
      <c r="BD6561" s="117"/>
    </row>
    <row r="6562" spans="1:56" ht="18">
      <c r="A6562" s="114"/>
      <c r="B6562" s="1073" t="s">
        <v>1123</v>
      </c>
      <c r="C6562" s="172"/>
      <c r="D6562" s="173"/>
      <c r="E6562" s="412">
        <f>C6554*((H6555+H6554)/2)*(C6552+C6553+0.05)</f>
        <v>1231.8921938164244</v>
      </c>
      <c r="F6562" s="390" t="s">
        <v>1124</v>
      </c>
      <c r="G6562" s="196"/>
      <c r="H6562" s="196"/>
      <c r="I6562" s="1067"/>
      <c r="J6562" s="196"/>
      <c r="AW6562" s="117"/>
      <c r="AX6562" s="117"/>
      <c r="AY6562" s="117"/>
      <c r="AZ6562" s="117"/>
      <c r="BA6562" s="117"/>
      <c r="BB6562" s="117"/>
      <c r="BC6562" s="117"/>
      <c r="BD6562" s="117"/>
    </row>
    <row r="6563" spans="1:56" ht="18">
      <c r="A6563" s="114"/>
      <c r="B6563" s="1073" t="s">
        <v>1125</v>
      </c>
      <c r="C6563" s="172"/>
      <c r="D6563" s="173"/>
      <c r="E6563" s="493">
        <f>E6562-C6554*(C6550*C6551*C6553+C6550*C6551*0.05+C6548*C6549*C6552)</f>
        <v>862.57550901642446</v>
      </c>
      <c r="F6563" s="390" t="s">
        <v>1124</v>
      </c>
      <c r="G6563" s="196"/>
      <c r="H6563" s="196"/>
      <c r="I6563" s="196"/>
      <c r="J6563" s="196"/>
      <c r="AW6563" s="117"/>
      <c r="AX6563" s="117"/>
      <c r="AY6563" s="117"/>
      <c r="AZ6563" s="117"/>
      <c r="BA6563" s="117"/>
      <c r="BB6563" s="117"/>
      <c r="BC6563" s="117"/>
      <c r="BD6563" s="117"/>
    </row>
    <row r="6564" spans="1:56" ht="15">
      <c r="A6564" s="114"/>
      <c r="B6564" s="1073" t="s">
        <v>1126</v>
      </c>
      <c r="C6564" s="172"/>
      <c r="D6564" s="173"/>
      <c r="E6564" s="400">
        <f>((C6550+2*C6559)*(C6551+2*C6559))*C6554</f>
        <v>192</v>
      </c>
      <c r="F6564" s="390" t="s">
        <v>13</v>
      </c>
      <c r="G6564" s="1067"/>
      <c r="H6564" s="1067"/>
      <c r="I6564" s="1067"/>
      <c r="J6564" s="196"/>
      <c r="AW6564" s="117"/>
      <c r="AX6564" s="117"/>
      <c r="AY6564" s="117"/>
      <c r="AZ6564" s="117"/>
      <c r="BA6564" s="117"/>
      <c r="BB6564" s="117"/>
      <c r="BC6564" s="117"/>
      <c r="BD6564" s="117"/>
    </row>
    <row r="6565" spans="1:56" ht="15">
      <c r="A6565" s="114"/>
      <c r="B6565" s="1067"/>
      <c r="C6565" s="1067"/>
      <c r="D6565" s="1067"/>
      <c r="E6565" s="401"/>
      <c r="F6565" s="196"/>
      <c r="G6565" s="1067"/>
      <c r="H6565" s="1067"/>
      <c r="I6565" s="1067"/>
      <c r="J6565" s="196"/>
      <c r="AW6565" s="117"/>
      <c r="AX6565" s="117"/>
      <c r="AY6565" s="117"/>
      <c r="AZ6565" s="117"/>
      <c r="BA6565" s="117"/>
      <c r="BB6565" s="117"/>
      <c r="BC6565" s="117"/>
      <c r="BD6565" s="117"/>
    </row>
    <row r="6566" spans="1:56" ht="15">
      <c r="A6566" s="114"/>
      <c r="B6566" s="303" t="s">
        <v>1162</v>
      </c>
      <c r="C6566" s="1067"/>
      <c r="D6566" s="1067"/>
      <c r="E6566" s="410"/>
      <c r="F6566" s="1067"/>
      <c r="G6566" s="1067"/>
      <c r="H6566" s="1067"/>
      <c r="I6566" s="1067"/>
      <c r="J6566" s="196"/>
      <c r="AW6566" s="117"/>
      <c r="AX6566" s="117"/>
      <c r="AY6566" s="117"/>
      <c r="AZ6566" s="117"/>
      <c r="BA6566" s="117"/>
      <c r="BB6566" s="117"/>
      <c r="BC6566" s="117"/>
      <c r="BD6566" s="117"/>
    </row>
    <row r="6567" spans="1:56" ht="15">
      <c r="A6567" s="114"/>
      <c r="B6567" s="1073" t="s">
        <v>1152</v>
      </c>
      <c r="C6567" s="1073"/>
      <c r="D6567" s="1074"/>
      <c r="E6567" s="411">
        <v>4</v>
      </c>
      <c r="F6567" s="390" t="s">
        <v>1153</v>
      </c>
      <c r="G6567" s="1067"/>
      <c r="H6567" s="1067"/>
      <c r="I6567" s="1067"/>
      <c r="J6567" s="196"/>
      <c r="AW6567" s="117"/>
      <c r="AX6567" s="117"/>
      <c r="AY6567" s="117"/>
      <c r="AZ6567" s="117"/>
      <c r="BA6567" s="117"/>
      <c r="BB6567" s="117"/>
      <c r="BC6567" s="117"/>
      <c r="BD6567" s="117"/>
    </row>
    <row r="6568" spans="1:56" ht="15">
      <c r="A6568" s="114"/>
      <c r="B6568" s="399" t="s">
        <v>1154</v>
      </c>
      <c r="C6568" s="31"/>
      <c r="D6568" s="32"/>
      <c r="E6568" s="412">
        <f>C6554*E6567</f>
        <v>48</v>
      </c>
      <c r="F6568" s="390" t="s">
        <v>1153</v>
      </c>
      <c r="G6568" s="1067"/>
      <c r="H6568" s="1067"/>
      <c r="I6568" s="1067"/>
      <c r="J6568" s="196"/>
      <c r="AW6568" s="117"/>
      <c r="AX6568" s="117"/>
      <c r="AY6568" s="117"/>
      <c r="AZ6568" s="117"/>
      <c r="BA6568" s="117"/>
      <c r="BB6568" s="117"/>
      <c r="BC6568" s="117"/>
      <c r="BD6568" s="117"/>
    </row>
    <row r="6569" spans="1:56" ht="15">
      <c r="A6569" s="114"/>
      <c r="B6569" s="1073" t="s">
        <v>1155</v>
      </c>
      <c r="C6569" s="21"/>
      <c r="D6569" s="413"/>
      <c r="E6569" s="411">
        <v>350</v>
      </c>
      <c r="F6569" s="390" t="s">
        <v>1156</v>
      </c>
      <c r="G6569" s="1067"/>
      <c r="H6569" s="414"/>
      <c r="I6569" s="1067"/>
      <c r="J6569" s="196"/>
      <c r="AW6569" s="117"/>
      <c r="AX6569" s="117"/>
      <c r="AY6569" s="117"/>
      <c r="AZ6569" s="117"/>
      <c r="BA6569" s="117"/>
      <c r="BB6569" s="117"/>
      <c r="BC6569" s="117"/>
      <c r="BD6569" s="117"/>
    </row>
    <row r="6570" spans="1:56" ht="15">
      <c r="A6570" s="114"/>
      <c r="B6570" s="1073" t="s">
        <v>1157</v>
      </c>
      <c r="C6570" s="21"/>
      <c r="D6570" s="413"/>
      <c r="E6570" s="418">
        <v>29</v>
      </c>
      <c r="F6570" s="390" t="s">
        <v>10</v>
      </c>
      <c r="G6570" s="1067"/>
      <c r="H6570" s="6"/>
      <c r="I6570" s="1067"/>
      <c r="J6570" s="196"/>
      <c r="AW6570" s="117"/>
      <c r="AX6570" s="117"/>
      <c r="AY6570" s="117"/>
      <c r="AZ6570" s="117"/>
      <c r="BA6570" s="117"/>
      <c r="BB6570" s="117"/>
      <c r="BC6570" s="117"/>
      <c r="BD6570" s="117"/>
    </row>
    <row r="6571" spans="1:56" ht="15">
      <c r="A6571" s="114"/>
      <c r="B6571" s="1073" t="s">
        <v>1158</v>
      </c>
      <c r="C6571" s="21"/>
      <c r="D6571" s="413"/>
      <c r="E6571" s="412">
        <f>E6568*E6570</f>
        <v>1392</v>
      </c>
      <c r="F6571" s="390" t="s">
        <v>10</v>
      </c>
      <c r="G6571" s="1067"/>
      <c r="H6571" s="1067"/>
      <c r="I6571" s="1067"/>
      <c r="J6571" s="196"/>
      <c r="AW6571" s="117"/>
      <c r="AX6571" s="117"/>
      <c r="AY6571" s="117"/>
      <c r="AZ6571" s="117"/>
      <c r="BA6571" s="117"/>
      <c r="BB6571" s="117"/>
      <c r="BC6571" s="117"/>
      <c r="BD6571" s="117"/>
    </row>
    <row r="6572" spans="1:56" ht="15">
      <c r="A6572" s="114"/>
      <c r="B6572" s="1067"/>
      <c r="C6572" s="1067"/>
      <c r="D6572" s="1067"/>
      <c r="E6572" s="410"/>
      <c r="F6572" s="1067"/>
      <c r="G6572" s="1067"/>
      <c r="H6572" s="1067"/>
      <c r="I6572" s="1067"/>
      <c r="J6572" s="196"/>
      <c r="AW6572" s="117"/>
      <c r="AX6572" s="117"/>
      <c r="AY6572" s="117"/>
      <c r="AZ6572" s="117"/>
      <c r="BA6572" s="117"/>
      <c r="BB6572" s="117"/>
      <c r="BC6572" s="117"/>
      <c r="BD6572" s="117"/>
    </row>
    <row r="6573" spans="1:56" ht="15">
      <c r="A6573" s="114"/>
      <c r="B6573" s="303" t="s">
        <v>1160</v>
      </c>
      <c r="C6573" s="1067"/>
      <c r="D6573" s="1067"/>
      <c r="E6573" s="410"/>
      <c r="F6573" s="1067"/>
      <c r="G6573" s="1067"/>
      <c r="H6573" s="1067"/>
      <c r="I6573" s="1067"/>
      <c r="J6573" s="1067"/>
      <c r="AW6573" s="117"/>
      <c r="AX6573" s="117"/>
      <c r="AY6573" s="117"/>
      <c r="AZ6573" s="117"/>
      <c r="BA6573" s="117"/>
      <c r="BB6573" s="117"/>
      <c r="BC6573" s="117"/>
      <c r="BD6573" s="117"/>
    </row>
    <row r="6574" spans="1:56" ht="18">
      <c r="A6574" s="114"/>
      <c r="B6574" s="1073" t="s">
        <v>1128</v>
      </c>
      <c r="C6574" s="172"/>
      <c r="D6574" s="173"/>
      <c r="E6574" s="402">
        <f>E6564*0.05</f>
        <v>9.6000000000000014</v>
      </c>
      <c r="F6574" s="390" t="s">
        <v>1124</v>
      </c>
      <c r="G6574" s="1067"/>
      <c r="H6574" s="1067"/>
      <c r="I6574" s="1067"/>
      <c r="J6574" s="1067"/>
      <c r="AW6574" s="117"/>
      <c r="AX6574" s="117"/>
      <c r="AY6574" s="117"/>
      <c r="AZ6574" s="117"/>
      <c r="BA6574" s="117"/>
      <c r="BB6574" s="117"/>
      <c r="BC6574" s="117"/>
      <c r="BD6574" s="117"/>
    </row>
    <row r="6575" spans="1:56">
      <c r="A6575" s="114"/>
      <c r="B6575" s="1073" t="s">
        <v>1129</v>
      </c>
      <c r="C6575" s="172"/>
      <c r="D6575" s="173"/>
      <c r="E6575" s="412">
        <f>(2*(C6550+C6551)*C6553)*C6554+2*3.1416*0.6*0.5*C6554</f>
        <v>396.53951999999998</v>
      </c>
      <c r="F6575" s="390" t="s">
        <v>13</v>
      </c>
      <c r="G6575" s="115"/>
      <c r="H6575" s="115"/>
      <c r="I6575" s="115"/>
      <c r="J6575" s="196"/>
      <c r="AW6575" s="117"/>
      <c r="AX6575" s="117"/>
      <c r="AY6575" s="117"/>
      <c r="AZ6575" s="117"/>
      <c r="BA6575" s="117"/>
      <c r="BB6575" s="117"/>
      <c r="BC6575" s="117"/>
      <c r="BD6575" s="117"/>
    </row>
    <row r="6576" spans="1:56" ht="18">
      <c r="A6576" s="114"/>
      <c r="B6576" s="1073" t="s">
        <v>1130</v>
      </c>
      <c r="C6576" s="172"/>
      <c r="D6576" s="173"/>
      <c r="E6576" s="412">
        <f>(C6550*C6551*C6553)*C6554+C6548*0.5*C6554</f>
        <v>362.00985599999996</v>
      </c>
      <c r="F6576" s="390" t="s">
        <v>1124</v>
      </c>
      <c r="G6576" s="115"/>
      <c r="H6576" s="115"/>
      <c r="I6576" s="115"/>
      <c r="J6576" s="1067"/>
      <c r="AW6576" s="117"/>
      <c r="AX6576" s="117"/>
      <c r="AY6576" s="117"/>
      <c r="AZ6576" s="117"/>
      <c r="BA6576" s="117"/>
      <c r="BB6576" s="117"/>
      <c r="BC6576" s="117"/>
      <c r="BD6576" s="117"/>
    </row>
    <row r="6577" spans="1:56">
      <c r="A6577" s="114"/>
      <c r="B6577" s="288"/>
      <c r="C6577" s="230"/>
      <c r="D6577" s="230"/>
      <c r="E6577" s="115"/>
      <c r="F6577" s="196"/>
      <c r="G6577" s="115"/>
      <c r="H6577" s="115"/>
      <c r="I6577" s="115"/>
      <c r="J6577" s="1067"/>
      <c r="AW6577" s="117"/>
      <c r="AX6577" s="117"/>
      <c r="AY6577" s="117"/>
      <c r="AZ6577" s="117"/>
      <c r="BA6577" s="117"/>
      <c r="BB6577" s="117"/>
      <c r="BC6577" s="117"/>
      <c r="BD6577" s="117"/>
    </row>
    <row r="6578" spans="1:56" ht="15">
      <c r="A6578"/>
      <c r="B6578" s="362"/>
      <c r="C6578" s="362"/>
      <c r="D6578" s="362"/>
      <c r="E6578" s="362"/>
      <c r="F6578" s="362"/>
      <c r="G6578" s="362"/>
      <c r="H6578" s="362"/>
      <c r="I6578" s="362"/>
      <c r="J6578" s="114"/>
      <c r="AW6578" s="117"/>
      <c r="AX6578" s="117"/>
      <c r="AY6578" s="117"/>
      <c r="AZ6578" s="117"/>
      <c r="BA6578" s="117"/>
      <c r="BB6578" s="117"/>
      <c r="BC6578" s="117"/>
      <c r="BD6578" s="117"/>
    </row>
    <row r="6579" spans="1:56" s="356" customFormat="1">
      <c r="A6579" s="353"/>
      <c r="B6579" s="746" t="s">
        <v>1967</v>
      </c>
      <c r="C6579" s="747"/>
      <c r="D6579" s="747"/>
      <c r="E6579" s="747"/>
      <c r="F6579" s="747"/>
      <c r="G6579" s="739"/>
      <c r="H6579" s="739"/>
      <c r="I6579" s="739"/>
      <c r="J6579" s="353"/>
      <c r="K6579" s="353"/>
      <c r="L6579" s="353"/>
      <c r="M6579" s="353"/>
      <c r="N6579" s="353"/>
      <c r="O6579" s="353"/>
      <c r="P6579" s="353"/>
      <c r="Q6579" s="353"/>
      <c r="R6579" s="353"/>
      <c r="S6579" s="353"/>
      <c r="T6579" s="353"/>
      <c r="U6579" s="353"/>
      <c r="V6579" s="353"/>
      <c r="W6579" s="353"/>
      <c r="X6579" s="353"/>
      <c r="Y6579" s="353"/>
      <c r="Z6579" s="353"/>
      <c r="AA6579" s="353"/>
      <c r="AB6579" s="353"/>
      <c r="AC6579" s="353"/>
      <c r="AD6579" s="353"/>
      <c r="AE6579" s="353"/>
      <c r="AF6579" s="353"/>
      <c r="AG6579" s="353"/>
      <c r="AH6579" s="353"/>
      <c r="AI6579" s="353"/>
      <c r="AJ6579" s="353"/>
      <c r="AK6579" s="353"/>
      <c r="AL6579" s="353"/>
      <c r="AM6579" s="353"/>
      <c r="AN6579" s="353"/>
      <c r="AO6579" s="353"/>
      <c r="AP6579" s="353"/>
      <c r="AQ6579" s="353"/>
      <c r="AR6579" s="353"/>
      <c r="AS6579" s="353"/>
      <c r="AT6579" s="353"/>
      <c r="AU6579" s="353"/>
      <c r="AV6579" s="353"/>
    </row>
    <row r="6580" spans="1:56" thickBot="1">
      <c r="A6580" s="114"/>
      <c r="B6580" s="196"/>
      <c r="C6580" s="196"/>
      <c r="D6580" s="196"/>
      <c r="E6580" s="196"/>
      <c r="F6580" s="196"/>
      <c r="G6580" s="722"/>
      <c r="H6580" s="362"/>
      <c r="I6580" s="362"/>
      <c r="J6580" s="114"/>
      <c r="AW6580" s="117"/>
      <c r="AX6580" s="117"/>
      <c r="AY6580" s="117"/>
      <c r="AZ6580" s="117"/>
      <c r="BA6580" s="117"/>
      <c r="BB6580" s="117"/>
      <c r="BC6580" s="117"/>
      <c r="BD6580" s="117"/>
    </row>
    <row r="6581" spans="1:56" ht="15">
      <c r="A6581" s="114"/>
      <c r="B6581" s="740" t="s">
        <v>1122</v>
      </c>
      <c r="C6581" s="741"/>
      <c r="D6581" s="1066"/>
      <c r="E6581" s="1066"/>
      <c r="F6581" s="742"/>
      <c r="G6581" s="362"/>
      <c r="H6581" s="362"/>
      <c r="I6581" s="362"/>
      <c r="J6581" s="114"/>
      <c r="AW6581" s="117"/>
      <c r="AX6581" s="117"/>
      <c r="AY6581" s="117"/>
      <c r="AZ6581" s="117"/>
      <c r="BA6581" s="117"/>
      <c r="BB6581" s="117"/>
      <c r="BC6581" s="117"/>
      <c r="BD6581" s="117"/>
    </row>
    <row r="6582" spans="1:56" ht="16.5" customHeight="1">
      <c r="A6582" s="114"/>
      <c r="B6582" s="1072" t="s">
        <v>1123</v>
      </c>
      <c r="C6582" s="172"/>
      <c r="D6582" s="173"/>
      <c r="E6582" s="446">
        <f>E6389+E6362+E6335+E6305+E6278+E6251+E6224+E6192+E6158+E6122+E6089+E5783+E6056+E6022+E5988+E5954+E5920++E5886+E5852+E5817+E5751+E5717+E5683+E5649+E5608+E5574+E5533+E5492+E5458+E5424+E5390+E5349+E5307+E5258+E5235+E5212+E5189+E5166+E5100+E5077+E5054+E5031+E5008+E4985+E4940+E4917+E4894+E4871+E4848+E4825+E4802+E4779+E4756+E4733+E4710+E4687+E4664+E4640+E4617+E4593+E4570+I6402+I6403+I6404+I6405+I6406+I6407+G6413+G6414+G6415+E6527+E6494+E6460+E6435+E5143+E5280+E5122+E4962+E6562</f>
        <v>20580.091319074952</v>
      </c>
      <c r="F6582" s="139" t="s">
        <v>1124</v>
      </c>
      <c r="G6582" s="362"/>
      <c r="H6582" s="362"/>
      <c r="I6582" s="362"/>
      <c r="J6582" s="114"/>
      <c r="AW6582" s="117"/>
      <c r="AX6582" s="117"/>
      <c r="AY6582" s="117"/>
      <c r="AZ6582" s="117"/>
      <c r="BA6582" s="117"/>
      <c r="BB6582" s="117"/>
      <c r="BC6582" s="117"/>
      <c r="BD6582" s="117"/>
    </row>
    <row r="6583" spans="1:56" ht="16.5" customHeight="1">
      <c r="A6583" s="114"/>
      <c r="B6583" s="1072" t="s">
        <v>1190</v>
      </c>
      <c r="C6583" s="172"/>
      <c r="D6583" s="173"/>
      <c r="E6583" s="446">
        <f>E6390+E6363+E6336+E6306+E6279+E6252+E6225+E6193+E6159+E6123+E6090+E6057+E6023+E5989+E5955+E5921++E5887+E5853+E5818+E5752+E5718+E5684+E5650+E5609+E5575+E5534+E5493+E5459+E5425+E5391+E5350+E5308+E5259+E5236+E5213+E5190+E5167+E5101+E5078+E5055+E5032+E5009+E4986+E4941+E4918+E4895+E4872+E4849+E4826+E4803+E4780+E4757+E4734+E4711+E4688+E4665+E4641+E4618+E4594+E4571+I6408+E5784+E6528+E6495+E6461+E6436+E5144+E5281+E5123+E4963+E6563</f>
        <v>15068.901021774966</v>
      </c>
      <c r="F6583" s="139" t="s">
        <v>1124</v>
      </c>
      <c r="G6583" s="362"/>
      <c r="H6583" s="362"/>
      <c r="I6583" s="362"/>
      <c r="J6583" s="114"/>
      <c r="AW6583" s="117"/>
      <c r="AX6583" s="117"/>
      <c r="AY6583" s="117"/>
      <c r="AZ6583" s="117"/>
      <c r="BA6583" s="117"/>
      <c r="BB6583" s="117"/>
      <c r="BC6583" s="117"/>
      <c r="BD6583" s="117"/>
    </row>
    <row r="6584" spans="1:56" ht="16.5" customHeight="1">
      <c r="A6584" s="114"/>
      <c r="B6584" s="1072" t="s">
        <v>1191</v>
      </c>
      <c r="C6584" s="172"/>
      <c r="D6584" s="173"/>
      <c r="E6584" s="446">
        <f>E6391+E6364+E6337+E6307+E6280+E5785+E6253+E6226+E6194+E6160+E6124+E6091+E6058+E6024+E5990+E5956+E5922++E5888+E5854+E5819+E5753+E5719+E5685+E5651+E5610+E5576+E5535+E5494+E5460+E5426+E5392+E5351+E5309+E5260+E5237+E5214+E5191+E5168+E5102+E5079+E5056+E5033+E5010+E4987+E4942+E4919+E4896+E4873+E4850+E4827+E4804+E4781+E4758+E4735+E4712+E4689+E4666+E4642+E4619+E4595+E4572+E6529+E6496+E6462+E6437+E5145+E5282+E5124+E4964+E6564</f>
        <v>3155.3109999999988</v>
      </c>
      <c r="F6584" s="139" t="s">
        <v>13</v>
      </c>
      <c r="G6584" s="362"/>
      <c r="H6584" s="362"/>
      <c r="I6584" s="362"/>
      <c r="J6584" s="114"/>
      <c r="AW6584" s="117"/>
      <c r="AX6584" s="117"/>
      <c r="AY6584" s="117"/>
      <c r="AZ6584" s="117"/>
      <c r="BA6584" s="117"/>
      <c r="BB6584" s="117"/>
      <c r="BC6584" s="117"/>
      <c r="BD6584" s="117"/>
    </row>
    <row r="6585" spans="1:56" ht="15.75" customHeight="1">
      <c r="A6585" s="114"/>
      <c r="B6585" s="743"/>
      <c r="C6585" s="21"/>
      <c r="D6585" s="413"/>
      <c r="E6585" s="459"/>
      <c r="F6585" s="139"/>
      <c r="G6585" s="362"/>
      <c r="H6585" s="362"/>
      <c r="I6585" s="362"/>
      <c r="J6585" s="114"/>
      <c r="AW6585" s="117"/>
      <c r="AX6585" s="117"/>
      <c r="AY6585" s="117"/>
      <c r="AZ6585" s="117"/>
      <c r="BA6585" s="117"/>
      <c r="BB6585" s="117"/>
      <c r="BC6585" s="117"/>
      <c r="BD6585" s="117"/>
    </row>
    <row r="6586" spans="1:56" ht="15" customHeight="1">
      <c r="A6586" s="114"/>
      <c r="B6586" s="1072" t="s">
        <v>317</v>
      </c>
      <c r="C6586" s="172"/>
      <c r="D6586" s="173"/>
      <c r="E6586" s="446">
        <f>E6394+E6367+E6340+E6310+E6283+E6256+E6229+E6204+E6170+E6134+E6101+E6068+E6034+E6000+E5966+E5932+E5898+E5864+E5829+E5763+E5729+E5695+E5661+E5627+E5586+E5552+E5511+E5470+E5436+E5402+E5368+E5326+E5263+E5240+E5217+E5194+E5171+E5105+E5082+E5059+E5036+E5013+E4990+E4945+E4922+E4899+E4876+E4853+E4830+E4807+E4784+E4761+E4738+E4715+E4692+E4669+E4645+E4622+E4598+E4575+F6413+F6414+F6415+F6416+F6417+E5795+E6539+E6506+E6472+E6440+E5148+E5285+E5127+E4967+G6402+G6403+G6404+G6405+G6406+G6407+E6574</f>
        <v>1058.9802499999996</v>
      </c>
      <c r="F6586" s="139" t="s">
        <v>1124</v>
      </c>
      <c r="G6586" s="196"/>
      <c r="H6586" s="196"/>
      <c r="I6586" s="196"/>
      <c r="J6586" s="114"/>
      <c r="AW6586" s="117"/>
      <c r="AX6586" s="117"/>
      <c r="AY6586" s="117"/>
      <c r="AZ6586" s="117"/>
      <c r="BA6586" s="117"/>
      <c r="BB6586" s="117"/>
      <c r="BC6586" s="117"/>
      <c r="BD6586" s="117"/>
    </row>
    <row r="6587" spans="1:56" ht="15.75" customHeight="1">
      <c r="A6587" s="114"/>
      <c r="B6587" s="1072" t="s">
        <v>1192</v>
      </c>
      <c r="C6587" s="172"/>
      <c r="D6587" s="173"/>
      <c r="E6587" s="446">
        <f>SUM(H6402:H6407)+E6395+E6368+E6341+E6311+E6284+E6257+E6230+E6205+E6171+E6135+E6102+E6069+E6035+E6001+E5967+E5933+E5899+E5865+E5830+E5764+E5730+E5696+E5662+E5628+E5587+E5553+E5512+E5471+E5437+E5403+E5369+E5327+E5264+E5241+E5218+E5195+E5172+E5106+E5083+E5060+E5037+E5014+E4991+E4946+E4923+E4900+E4877+E4854+E4831+E4808+E4785+E4762+E4739+E4716+E4693+E4670+E4646+E4623+E4599+E4576+E5796+E6540+E6507+E6473+E6441+E5149+E5286+E5128+E4968+E6575</f>
        <v>8358.1353199161877</v>
      </c>
      <c r="F6587" s="139" t="s">
        <v>13</v>
      </c>
      <c r="G6587" s="196"/>
      <c r="H6587" s="196"/>
      <c r="I6587" s="196"/>
      <c r="J6587" s="114"/>
      <c r="AW6587" s="117"/>
      <c r="AX6587" s="117"/>
      <c r="AY6587" s="117"/>
      <c r="AZ6587" s="117"/>
      <c r="BA6587" s="117"/>
      <c r="BB6587" s="117"/>
      <c r="BC6587" s="117"/>
      <c r="BD6587" s="117"/>
    </row>
    <row r="6588" spans="1:56" ht="16.5" customHeight="1">
      <c r="A6588" s="114"/>
      <c r="B6588" s="1072" t="s">
        <v>316</v>
      </c>
      <c r="C6588" s="172"/>
      <c r="D6588" s="173"/>
      <c r="E6588" s="446">
        <f>SUM(F6402:F6407)+E6396+E6369+E6342+E6312+E6285+E6258+E6231+E6206+E6172+E6136+E6103+E6070+E6036+E6002+E5968+E5934+E5900+E5866+E5831+E5765+E5731+E5697+E5663+E5629+E5588+E5554+E5513+E5472+E5370+E5404+E5328+E5265+E5242+E5219+E5196+E5173+E5107+E5084+E5061+E5038+E5015+E4992+E4947+E4924+E4901+E4878+E4855+E4832+E4809+E4786+E4763+E4740+E4717+E4694+E4671+E4647+E4624+E4600+E4577+E6413+E6414+E6415+E6416+E6417+E5797+E6541+E6508+E6474+E6442+E5150+E5438+E5287+E5129+E4969+E6576</f>
        <v>5881.8642959999988</v>
      </c>
      <c r="F6588" s="139" t="s">
        <v>1124</v>
      </c>
      <c r="G6588" s="196"/>
      <c r="H6588" s="196"/>
      <c r="I6588" s="196"/>
      <c r="J6588" s="114"/>
      <c r="AW6588" s="117"/>
      <c r="AX6588" s="117"/>
      <c r="AY6588" s="117"/>
      <c r="AZ6588" s="117"/>
      <c r="BA6588" s="117"/>
      <c r="BB6588" s="117"/>
      <c r="BC6588" s="117"/>
      <c r="BD6588" s="117"/>
    </row>
    <row r="6589" spans="1:56">
      <c r="A6589" s="114"/>
      <c r="B6589" s="744"/>
      <c r="C6589" s="506"/>
      <c r="D6589" s="507"/>
      <c r="E6589" s="299"/>
      <c r="F6589" s="481"/>
      <c r="G6589" s="362"/>
      <c r="H6589" s="362"/>
      <c r="I6589" s="362"/>
      <c r="J6589" s="114"/>
      <c r="AW6589" s="117"/>
      <c r="AX6589" s="117"/>
      <c r="AY6589" s="117"/>
      <c r="AZ6589" s="117"/>
      <c r="BA6589" s="117"/>
      <c r="BB6589" s="117"/>
      <c r="BC6589" s="117"/>
      <c r="BD6589" s="117"/>
    </row>
    <row r="6590" spans="1:56">
      <c r="A6590" s="114"/>
      <c r="B6590" s="745" t="s">
        <v>1193</v>
      </c>
      <c r="C6590" s="413"/>
      <c r="D6590" s="452" t="s">
        <v>1194</v>
      </c>
      <c r="E6590" s="452" t="s">
        <v>67</v>
      </c>
      <c r="F6590" s="481"/>
      <c r="G6590" s="362"/>
      <c r="H6590" s="362"/>
      <c r="I6590" s="362"/>
      <c r="J6590" s="114"/>
      <c r="AW6590" s="117"/>
      <c r="AX6590" s="117"/>
      <c r="AY6590" s="117"/>
      <c r="AZ6590" s="117"/>
      <c r="BA6590" s="117"/>
      <c r="BB6590" s="117"/>
      <c r="BC6590" s="117"/>
      <c r="BD6590" s="117"/>
    </row>
    <row r="6591" spans="1:56">
      <c r="A6591" s="114"/>
      <c r="B6591" s="1072" t="s">
        <v>2256</v>
      </c>
      <c r="C6591" s="413"/>
      <c r="D6591" s="291">
        <f>E6536+E5617+E5542+E5501+E5467+E5433+E5399+E5358+E5316+E6571</f>
        <v>4611</v>
      </c>
      <c r="E6591" s="291">
        <f>E6533+E5614+E5539+E5498+E5396+E5355+E5313+E5464+E5430+E6568</f>
        <v>159</v>
      </c>
      <c r="F6591" s="481"/>
      <c r="G6591" s="362"/>
      <c r="H6591" s="362"/>
      <c r="I6591" s="362"/>
      <c r="J6591" s="114"/>
      <c r="AW6591" s="117"/>
      <c r="AX6591" s="117"/>
      <c r="AY6591" s="117"/>
      <c r="AZ6591" s="117"/>
      <c r="BA6591" s="117"/>
      <c r="BB6591" s="117"/>
      <c r="BC6591" s="117"/>
      <c r="BD6591" s="117"/>
    </row>
    <row r="6592" spans="1:56">
      <c r="A6592" s="114"/>
      <c r="B6592" s="1072" t="s">
        <v>2257</v>
      </c>
      <c r="C6592" s="413"/>
      <c r="D6592" s="291">
        <f>E6469+E5792+E5624+E5583+E5508+E5365+E5323</f>
        <v>4988</v>
      </c>
      <c r="E6592" s="291">
        <f>E6466+E5789+E5621+E5580+E5505+E5362+E5320</f>
        <v>172</v>
      </c>
      <c r="F6592" s="481"/>
      <c r="G6592" s="962"/>
      <c r="H6592" s="962"/>
      <c r="I6592" s="962"/>
      <c r="J6592" s="114"/>
      <c r="AW6592" s="117"/>
      <c r="AX6592" s="117"/>
      <c r="AY6592" s="117"/>
      <c r="AZ6592" s="117"/>
      <c r="BA6592" s="117"/>
      <c r="BB6592" s="117"/>
      <c r="BC6592" s="117"/>
      <c r="BD6592" s="117"/>
    </row>
    <row r="6593" spans="1:56">
      <c r="A6593" s="114"/>
      <c r="B6593" s="777" t="s">
        <v>2196</v>
      </c>
      <c r="C6593" s="181"/>
      <c r="D6593" s="291">
        <f>E6503+E5895+E5760+E5726+E5692+E5658+E5549</f>
        <v>3658</v>
      </c>
      <c r="E6593" s="291">
        <f>E6500+E5892+E5757+E5723+E5689+E5655+E5546</f>
        <v>118</v>
      </c>
      <c r="F6593" s="433"/>
      <c r="G6593" s="962"/>
      <c r="H6593" s="962"/>
      <c r="I6593" s="962"/>
      <c r="J6593" s="114"/>
      <c r="AW6593" s="117"/>
      <c r="AX6593" s="117"/>
      <c r="AY6593" s="117"/>
      <c r="AZ6593" s="117"/>
      <c r="BA6593" s="117"/>
      <c r="BB6593" s="117"/>
      <c r="BC6593" s="117"/>
      <c r="BD6593" s="117"/>
    </row>
    <row r="6594" spans="1:56">
      <c r="A6594" s="114"/>
      <c r="B6594" s="777" t="s">
        <v>2258</v>
      </c>
      <c r="C6594" s="181"/>
      <c r="D6594" s="291">
        <f>E6201+E6167+E6131+E6098+E6065+E6031+E5997+E5963+E5929+E5861+E5826</f>
        <v>8768</v>
      </c>
      <c r="E6594" s="291">
        <f>E6198+E6164+E6128+E6095+E6062+E6028+E5994+E5960+E5926+E5858+E5823</f>
        <v>274</v>
      </c>
      <c r="F6594" s="182"/>
      <c r="G6594" s="362"/>
      <c r="H6594" s="362"/>
      <c r="I6594" s="362"/>
      <c r="J6594" s="114"/>
      <c r="AW6594" s="117"/>
      <c r="AX6594" s="117"/>
      <c r="AY6594" s="117"/>
      <c r="AZ6594" s="117"/>
      <c r="BA6594" s="117"/>
      <c r="BB6594" s="117"/>
      <c r="BC6594" s="117"/>
      <c r="BD6594" s="117"/>
    </row>
    <row r="6595" spans="1:56">
      <c r="A6595" s="114"/>
      <c r="B6595" s="694"/>
      <c r="C6595" s="1067"/>
      <c r="D6595" s="430"/>
      <c r="E6595" s="430"/>
      <c r="F6595" s="182"/>
      <c r="G6595" s="1008"/>
      <c r="H6595" s="1008"/>
      <c r="I6595" s="1008"/>
      <c r="J6595" s="114"/>
      <c r="AW6595" s="117"/>
      <c r="AX6595" s="117"/>
      <c r="AY6595" s="117"/>
      <c r="AZ6595" s="117"/>
      <c r="BA6595" s="117"/>
      <c r="BB6595" s="117"/>
      <c r="BC6595" s="117"/>
      <c r="BD6595" s="117"/>
    </row>
    <row r="6596" spans="1:56" ht="15">
      <c r="A6596" s="114"/>
      <c r="B6596" s="1069" t="s">
        <v>2359</v>
      </c>
      <c r="C6596" s="451">
        <v>9842</v>
      </c>
      <c r="D6596" s="431" t="s">
        <v>12</v>
      </c>
      <c r="E6596" s="1199" t="s">
        <v>1363</v>
      </c>
      <c r="F6596" s="1200"/>
      <c r="G6596" s="1008"/>
      <c r="H6596" s="1008"/>
      <c r="I6596" s="1008"/>
      <c r="J6596" s="114"/>
      <c r="AW6596" s="117"/>
      <c r="AX6596" s="117"/>
      <c r="AY6596" s="117"/>
      <c r="AZ6596" s="117"/>
      <c r="BA6596" s="117"/>
      <c r="BB6596" s="117"/>
      <c r="BC6596" s="117"/>
      <c r="BD6596" s="117"/>
    </row>
    <row r="6597" spans="1:56" ht="15">
      <c r="A6597" s="114"/>
      <c r="B6597" s="717" t="s">
        <v>2360</v>
      </c>
      <c r="C6597" s="451">
        <v>17252</v>
      </c>
      <c r="D6597" s="390" t="s">
        <v>12</v>
      </c>
      <c r="E6597" s="1216"/>
      <c r="F6597" s="1217"/>
      <c r="G6597" s="1008"/>
      <c r="H6597" s="1008"/>
      <c r="I6597" s="1008"/>
      <c r="J6597" s="114"/>
      <c r="AW6597" s="117"/>
      <c r="AX6597" s="117"/>
      <c r="AY6597" s="117"/>
      <c r="AZ6597" s="117"/>
      <c r="BA6597" s="117"/>
      <c r="BB6597" s="117"/>
      <c r="BC6597" s="117"/>
      <c r="BD6597" s="117"/>
    </row>
    <row r="6598" spans="1:56" ht="15">
      <c r="A6598" s="114"/>
      <c r="B6598" s="717" t="s">
        <v>2361</v>
      </c>
      <c r="C6598" s="451">
        <v>30408</v>
      </c>
      <c r="D6598" s="390" t="s">
        <v>12</v>
      </c>
      <c r="E6598" s="1216"/>
      <c r="F6598" s="1217"/>
      <c r="G6598" s="1008" t="s">
        <v>2391</v>
      </c>
      <c r="H6598" s="1008"/>
      <c r="I6598" s="1079"/>
      <c r="J6598" s="1079"/>
      <c r="K6598" s="1079"/>
      <c r="AW6598" s="117"/>
      <c r="AX6598" s="117"/>
      <c r="AY6598" s="117"/>
      <c r="AZ6598" s="117"/>
      <c r="BA6598" s="117"/>
      <c r="BB6598" s="117"/>
      <c r="BC6598" s="117"/>
      <c r="BD6598" s="117"/>
    </row>
    <row r="6599" spans="1:56" ht="15">
      <c r="A6599" s="114"/>
      <c r="B6599" s="1070" t="s">
        <v>2362</v>
      </c>
      <c r="C6599" s="451">
        <v>108336</v>
      </c>
      <c r="D6599" s="390" t="s">
        <v>12</v>
      </c>
      <c r="E6599" s="1201"/>
      <c r="F6599" s="1202"/>
      <c r="G6599" s="362"/>
      <c r="H6599" s="362"/>
      <c r="I6599" s="1079"/>
      <c r="J6599" s="1079"/>
      <c r="K6599" s="1079"/>
      <c r="AW6599" s="117"/>
      <c r="AX6599" s="117"/>
      <c r="AY6599" s="117"/>
      <c r="AZ6599" s="117"/>
      <c r="BA6599" s="117"/>
      <c r="BB6599" s="117"/>
      <c r="BC6599" s="117"/>
      <c r="BD6599" s="117"/>
    </row>
    <row r="6600" spans="1:56" ht="15">
      <c r="A6600" s="114"/>
      <c r="B6600" s="694"/>
      <c r="C6600" s="288"/>
      <c r="D6600" s="288"/>
      <c r="E6600" s="288"/>
      <c r="F6600" s="1071"/>
      <c r="G6600" s="1013"/>
      <c r="H6600" s="1013"/>
      <c r="I6600" s="1079"/>
      <c r="J6600" s="1079"/>
      <c r="K6600" s="1079"/>
      <c r="AW6600" s="117"/>
      <c r="AX6600" s="117"/>
      <c r="AY6600" s="117"/>
      <c r="AZ6600" s="117"/>
      <c r="BA6600" s="117"/>
      <c r="BB6600" s="117"/>
      <c r="BC6600" s="117"/>
      <c r="BD6600" s="117"/>
    </row>
    <row r="6601" spans="1:56" ht="15">
      <c r="A6601" s="114"/>
      <c r="B6601" s="691" t="s">
        <v>1991</v>
      </c>
      <c r="C6601" s="196"/>
      <c r="D6601" s="196"/>
      <c r="E6601" s="196"/>
      <c r="F6601" s="284"/>
      <c r="G6601" s="1013"/>
      <c r="H6601" s="1013"/>
      <c r="I6601" s="1013"/>
      <c r="J6601" s="114"/>
      <c r="AW6601" s="117"/>
      <c r="AX6601" s="117"/>
      <c r="AY6601" s="117"/>
      <c r="AZ6601" s="117"/>
      <c r="BA6601" s="117"/>
      <c r="BB6601" s="117"/>
      <c r="BC6601" s="117"/>
      <c r="BD6601" s="117"/>
    </row>
    <row r="6602" spans="1:56" ht="15">
      <c r="A6602" s="114"/>
      <c r="B6602" s="692" t="s">
        <v>352</v>
      </c>
      <c r="C6602" s="712">
        <v>3645</v>
      </c>
      <c r="D6602" s="286" t="s">
        <v>12</v>
      </c>
      <c r="E6602" s="1197" t="s">
        <v>1989</v>
      </c>
      <c r="F6602" s="1198"/>
      <c r="G6602" s="1013"/>
      <c r="H6602" s="1013"/>
      <c r="I6602" s="1013"/>
      <c r="J6602" s="114"/>
      <c r="AW6602" s="117"/>
      <c r="AX6602" s="117"/>
      <c r="AY6602" s="117"/>
      <c r="AZ6602" s="117"/>
      <c r="BA6602" s="117"/>
      <c r="BB6602" s="117"/>
      <c r="BC6602" s="117"/>
      <c r="BD6602" s="117"/>
    </row>
    <row r="6603" spans="1:56" ht="15">
      <c r="A6603" s="114"/>
      <c r="B6603" s="728"/>
      <c r="C6603" s="729"/>
      <c r="D6603" s="196"/>
      <c r="E6603" s="725"/>
      <c r="F6603" s="1075"/>
      <c r="G6603" s="1013"/>
      <c r="H6603" s="1013"/>
      <c r="I6603" s="1013"/>
      <c r="J6603" s="114"/>
      <c r="AW6603" s="117"/>
      <c r="AX6603" s="117"/>
      <c r="AY6603" s="117"/>
      <c r="AZ6603" s="117"/>
      <c r="BA6603" s="117"/>
      <c r="BB6603" s="117"/>
      <c r="BC6603" s="117"/>
      <c r="BD6603" s="117"/>
    </row>
    <row r="6604" spans="1:56" ht="15">
      <c r="A6604" s="114"/>
      <c r="B6604" s="691" t="s">
        <v>1992</v>
      </c>
      <c r="C6604" s="196"/>
      <c r="D6604" s="196"/>
      <c r="E6604" s="196"/>
      <c r="F6604" s="284"/>
      <c r="G6604" s="1013"/>
      <c r="H6604" s="1013"/>
      <c r="I6604" s="1013"/>
      <c r="J6604" s="114"/>
      <c r="AW6604" s="117"/>
      <c r="AX6604" s="117"/>
      <c r="AY6604" s="117"/>
      <c r="AZ6604" s="117"/>
      <c r="BA6604" s="117"/>
      <c r="BB6604" s="117"/>
      <c r="BC6604" s="117"/>
      <c r="BD6604" s="117"/>
    </row>
    <row r="6605" spans="1:56" ht="15">
      <c r="A6605" s="114"/>
      <c r="B6605" s="730" t="s">
        <v>352</v>
      </c>
      <c r="C6605" s="966">
        <v>4770</v>
      </c>
      <c r="D6605" s="286" t="s">
        <v>12</v>
      </c>
      <c r="E6605" s="1199" t="s">
        <v>1990</v>
      </c>
      <c r="F6605" s="1200"/>
      <c r="G6605" s="1013"/>
      <c r="H6605" s="1013"/>
      <c r="I6605" s="1013"/>
      <c r="J6605" s="114"/>
      <c r="AW6605" s="117"/>
      <c r="AX6605" s="117"/>
      <c r="AY6605" s="117"/>
      <c r="AZ6605" s="117"/>
      <c r="BA6605" s="117"/>
      <c r="BB6605" s="117"/>
      <c r="BC6605" s="117"/>
      <c r="BD6605" s="117"/>
    </row>
    <row r="6606" spans="1:56" ht="15">
      <c r="A6606" s="114"/>
      <c r="B6606" s="732"/>
      <c r="C6606" s="966">
        <v>368</v>
      </c>
      <c r="D6606" s="286" t="s">
        <v>12</v>
      </c>
      <c r="E6606" s="1201"/>
      <c r="F6606" s="1202"/>
      <c r="G6606" s="1013"/>
      <c r="H6606" s="1013"/>
      <c r="I6606" s="1013"/>
      <c r="J6606" s="114"/>
      <c r="AW6606" s="117"/>
      <c r="AX6606" s="117"/>
      <c r="AY6606" s="117"/>
      <c r="AZ6606" s="117"/>
      <c r="BA6606" s="117"/>
      <c r="BB6606" s="117"/>
      <c r="BC6606" s="117"/>
      <c r="BD6606" s="117"/>
    </row>
    <row r="6607" spans="1:56" ht="15">
      <c r="A6607" s="114"/>
      <c r="B6607" s="728"/>
      <c r="C6607" s="196"/>
      <c r="D6607" s="196"/>
      <c r="E6607" s="288"/>
      <c r="F6607" s="1071"/>
      <c r="G6607" s="1067"/>
      <c r="H6607" s="1067"/>
      <c r="I6607" s="1067"/>
      <c r="J6607" s="114"/>
      <c r="AW6607" s="117"/>
      <c r="AX6607" s="117"/>
      <c r="AY6607" s="117"/>
      <c r="AZ6607" s="117"/>
      <c r="BA6607" s="117"/>
      <c r="BB6607" s="117"/>
      <c r="BC6607" s="117"/>
      <c r="BD6607" s="117"/>
    </row>
    <row r="6608" spans="1:56" ht="15">
      <c r="A6608" s="114"/>
      <c r="B6608" s="691" t="s">
        <v>2379</v>
      </c>
      <c r="C6608" s="196"/>
      <c r="D6608" s="196"/>
      <c r="E6608" s="196"/>
      <c r="F6608" s="284"/>
      <c r="G6608" s="1067"/>
      <c r="H6608" s="1067"/>
      <c r="I6608" s="1067"/>
      <c r="J6608" s="114"/>
      <c r="AW6608" s="117"/>
      <c r="AX6608" s="117"/>
      <c r="AY6608" s="117"/>
      <c r="AZ6608" s="117"/>
      <c r="BA6608" s="117"/>
      <c r="BB6608" s="117"/>
      <c r="BC6608" s="117"/>
      <c r="BD6608" s="117"/>
    </row>
    <row r="6609" spans="1:56" thickBot="1">
      <c r="A6609" s="114"/>
      <c r="B6609" s="1085" t="s">
        <v>352</v>
      </c>
      <c r="C6609" s="1030">
        <v>4415</v>
      </c>
      <c r="D6609" s="1022" t="s">
        <v>12</v>
      </c>
      <c r="E6609" s="1089" t="s">
        <v>2381</v>
      </c>
      <c r="F6609" s="1090"/>
      <c r="G6609" s="1067"/>
      <c r="H6609" s="1067"/>
      <c r="I6609" s="1067"/>
      <c r="J6609" s="114"/>
      <c r="AW6609" s="117"/>
      <c r="AX6609" s="117"/>
      <c r="AY6609" s="117"/>
      <c r="AZ6609" s="117"/>
      <c r="BA6609" s="117"/>
      <c r="BB6609" s="117"/>
      <c r="BC6609" s="117"/>
      <c r="BD6609" s="117"/>
    </row>
    <row r="6610" spans="1:56" ht="15">
      <c r="A6610" s="114"/>
      <c r="B6610" s="288"/>
      <c r="C6610" s="196"/>
      <c r="D6610" s="196"/>
      <c r="E6610" s="288"/>
      <c r="F6610" s="288"/>
      <c r="G6610" s="1008"/>
      <c r="H6610" s="1008"/>
      <c r="I6610" s="1008"/>
      <c r="J6610" s="114"/>
      <c r="AW6610" s="117"/>
      <c r="AX6610" s="117"/>
      <c r="AY6610" s="117"/>
      <c r="AZ6610" s="117"/>
      <c r="BA6610" s="117"/>
      <c r="BB6610" s="117"/>
      <c r="BC6610" s="117"/>
      <c r="BD6610" s="117"/>
    </row>
    <row r="6611" spans="1:56" thickBot="1">
      <c r="A6611" s="114"/>
      <c r="B6611" s="196"/>
      <c r="C6611" s="196"/>
      <c r="D6611" s="196"/>
      <c r="E6611" s="196"/>
      <c r="F6611" s="196"/>
      <c r="G6611" s="196"/>
      <c r="H6611" s="196"/>
      <c r="I6611" s="196"/>
      <c r="J6611" s="114"/>
      <c r="AW6611" s="117"/>
      <c r="AX6611" s="117"/>
      <c r="AY6611" s="117"/>
      <c r="AZ6611" s="117"/>
      <c r="BA6611" s="117"/>
      <c r="BB6611" s="117"/>
      <c r="BC6611" s="117"/>
      <c r="BD6611" s="117"/>
    </row>
    <row r="6612" spans="1:56">
      <c r="A6612" s="114"/>
      <c r="B6612" s="702" t="s">
        <v>320</v>
      </c>
      <c r="C6612" s="282"/>
      <c r="D6612" s="282"/>
      <c r="E6612" s="282"/>
      <c r="F6612" s="283"/>
      <c r="G6612" s="196"/>
      <c r="H6612" s="196"/>
      <c r="I6612" s="196"/>
      <c r="J6612" s="114"/>
      <c r="AW6612" s="117"/>
      <c r="AX6612" s="117"/>
      <c r="AY6612" s="117"/>
      <c r="AZ6612" s="117"/>
      <c r="BA6612" s="117"/>
      <c r="BB6612" s="117"/>
      <c r="BC6612" s="117"/>
      <c r="BD6612" s="117"/>
    </row>
    <row r="6613" spans="1:56" ht="15">
      <c r="A6613" s="114"/>
      <c r="B6613" s="693"/>
      <c r="C6613" s="196"/>
      <c r="D6613" s="196"/>
      <c r="E6613" s="196"/>
      <c r="F6613" s="284"/>
      <c r="G6613" s="196"/>
      <c r="H6613" s="196"/>
      <c r="I6613" s="196"/>
      <c r="J6613" s="114"/>
      <c r="AW6613" s="117"/>
      <c r="AX6613" s="117"/>
      <c r="AY6613" s="117"/>
      <c r="AZ6613" s="117"/>
      <c r="BA6613" s="117"/>
      <c r="BB6613" s="117"/>
      <c r="BC6613" s="117"/>
      <c r="BD6613" s="117"/>
    </row>
    <row r="6614" spans="1:56" ht="15">
      <c r="A6614" s="114"/>
      <c r="B6614" s="691" t="s">
        <v>1200</v>
      </c>
      <c r="C6614" s="196"/>
      <c r="D6614" s="196"/>
      <c r="E6614" s="196"/>
      <c r="F6614" s="284"/>
      <c r="G6614" s="196"/>
      <c r="H6614" s="196"/>
      <c r="I6614" s="196"/>
      <c r="J6614" s="114"/>
      <c r="AW6614" s="117"/>
      <c r="AX6614" s="117"/>
      <c r="AY6614" s="117"/>
      <c r="AZ6614" s="117"/>
      <c r="BA6614" s="117"/>
      <c r="BB6614" s="117"/>
      <c r="BC6614" s="117"/>
      <c r="BD6614" s="117"/>
    </row>
    <row r="6615" spans="1:56" ht="15.75" customHeight="1">
      <c r="A6615" s="114"/>
      <c r="B6615" s="1080" t="s">
        <v>102</v>
      </c>
      <c r="C6615" s="285">
        <v>1215</v>
      </c>
      <c r="D6615" s="431" t="s">
        <v>12</v>
      </c>
      <c r="E6615" s="1082" t="s">
        <v>1817</v>
      </c>
      <c r="F6615" s="727"/>
      <c r="G6615" s="196"/>
      <c r="H6615" s="196"/>
      <c r="I6615" s="196"/>
      <c r="J6615" s="114"/>
      <c r="AW6615" s="117"/>
      <c r="AX6615" s="117"/>
      <c r="AY6615" s="117"/>
      <c r="AZ6615" s="117"/>
      <c r="BA6615" s="117"/>
      <c r="BB6615" s="117"/>
      <c r="BC6615" s="117"/>
      <c r="BD6615" s="117"/>
    </row>
    <row r="6616" spans="1:56" ht="15.75" customHeight="1">
      <c r="A6616" s="114"/>
      <c r="B6616" s="717"/>
      <c r="C6616" s="285">
        <v>1094</v>
      </c>
      <c r="D6616" s="431" t="s">
        <v>12</v>
      </c>
      <c r="E6616" s="1082" t="s">
        <v>1818</v>
      </c>
      <c r="F6616" s="727"/>
      <c r="G6616" s="196"/>
      <c r="H6616" s="196"/>
      <c r="I6616" s="196"/>
      <c r="J6616" s="114"/>
      <c r="AW6616" s="117"/>
      <c r="AX6616" s="117"/>
      <c r="AY6616" s="117"/>
      <c r="AZ6616" s="117"/>
      <c r="BA6616" s="117"/>
      <c r="BB6616" s="117"/>
      <c r="BC6616" s="117"/>
      <c r="BD6616" s="117"/>
    </row>
    <row r="6617" spans="1:56" ht="15.75" customHeight="1">
      <c r="A6617" s="114"/>
      <c r="B6617" s="717"/>
      <c r="C6617" s="285">
        <v>680</v>
      </c>
      <c r="D6617" s="431" t="s">
        <v>12</v>
      </c>
      <c r="E6617" s="1082" t="s">
        <v>1819</v>
      </c>
      <c r="F6617" s="727"/>
      <c r="G6617" s="196"/>
      <c r="H6617" s="196"/>
      <c r="I6617" s="196"/>
      <c r="J6617" s="114"/>
      <c r="AW6617" s="117"/>
      <c r="AX6617" s="117"/>
      <c r="AY6617" s="117"/>
      <c r="AZ6617" s="117"/>
      <c r="BA6617" s="117"/>
      <c r="BB6617" s="117"/>
      <c r="BC6617" s="117"/>
      <c r="BD6617" s="117"/>
    </row>
    <row r="6618" spans="1:56" ht="15.75" customHeight="1">
      <c r="A6618" s="114"/>
      <c r="B6618" s="717"/>
      <c r="C6618" s="285">
        <v>1279</v>
      </c>
      <c r="D6618" s="431" t="s">
        <v>12</v>
      </c>
      <c r="E6618" s="1082" t="s">
        <v>1820</v>
      </c>
      <c r="F6618" s="727"/>
      <c r="G6618" s="196"/>
      <c r="H6618" s="196"/>
      <c r="I6618" s="196"/>
      <c r="J6618" s="114"/>
      <c r="AW6618" s="117"/>
      <c r="AX6618" s="117"/>
      <c r="AY6618" s="117"/>
      <c r="AZ6618" s="117"/>
      <c r="BA6618" s="117"/>
      <c r="BB6618" s="117"/>
      <c r="BC6618" s="117"/>
      <c r="BD6618" s="117"/>
    </row>
    <row r="6619" spans="1:56" ht="15.75" customHeight="1">
      <c r="A6619" s="114"/>
      <c r="B6619" s="717"/>
      <c r="C6619" s="285">
        <v>869</v>
      </c>
      <c r="D6619" s="431" t="s">
        <v>12</v>
      </c>
      <c r="E6619" s="1082" t="s">
        <v>1821</v>
      </c>
      <c r="F6619" s="727"/>
      <c r="G6619" s="196"/>
      <c r="H6619" s="196"/>
      <c r="I6619" s="196"/>
      <c r="J6619" s="114"/>
      <c r="AW6619" s="117"/>
      <c r="AX6619" s="117"/>
      <c r="AY6619" s="117"/>
      <c r="AZ6619" s="117"/>
      <c r="BA6619" s="117"/>
      <c r="BB6619" s="117"/>
      <c r="BC6619" s="117"/>
      <c r="BD6619" s="117"/>
    </row>
    <row r="6620" spans="1:56" ht="15.75" customHeight="1">
      <c r="A6620" s="114"/>
      <c r="B6620" s="717"/>
      <c r="C6620" s="285">
        <v>2527</v>
      </c>
      <c r="D6620" s="431" t="s">
        <v>12</v>
      </c>
      <c r="E6620" s="1082" t="s">
        <v>1822</v>
      </c>
      <c r="F6620" s="727"/>
      <c r="G6620" s="196"/>
      <c r="H6620" s="196"/>
      <c r="I6620" s="196"/>
      <c r="J6620" s="114"/>
      <c r="AW6620" s="117"/>
      <c r="AX6620" s="117"/>
      <c r="AY6620" s="117"/>
      <c r="AZ6620" s="117"/>
      <c r="BA6620" s="117"/>
      <c r="BB6620" s="117"/>
      <c r="BC6620" s="117"/>
      <c r="BD6620" s="117"/>
    </row>
    <row r="6621" spans="1:56" ht="15.75" customHeight="1">
      <c r="A6621" s="114"/>
      <c r="B6621" s="717"/>
      <c r="C6621" s="285">
        <v>2194</v>
      </c>
      <c r="D6621" s="431" t="s">
        <v>12</v>
      </c>
      <c r="E6621" s="1082" t="s">
        <v>1823</v>
      </c>
      <c r="F6621" s="727"/>
      <c r="G6621" s="196"/>
      <c r="H6621" s="196"/>
      <c r="I6621" s="196"/>
      <c r="J6621" s="114"/>
      <c r="AW6621" s="117"/>
      <c r="AX6621" s="117"/>
      <c r="AY6621" s="117"/>
      <c r="AZ6621" s="117"/>
      <c r="BA6621" s="117"/>
      <c r="BB6621" s="117"/>
      <c r="BC6621" s="117"/>
      <c r="BD6621" s="117"/>
    </row>
    <row r="6622" spans="1:56" ht="15.75" customHeight="1">
      <c r="A6622" s="114"/>
      <c r="B6622" s="717"/>
      <c r="C6622" s="285">
        <v>2097</v>
      </c>
      <c r="D6622" s="431" t="s">
        <v>12</v>
      </c>
      <c r="E6622" s="1082" t="s">
        <v>1824</v>
      </c>
      <c r="F6622" s="727"/>
      <c r="G6622" s="196"/>
      <c r="H6622" s="196"/>
      <c r="I6622" s="196"/>
      <c r="J6622" s="114"/>
      <c r="AW6622" s="117"/>
      <c r="AX6622" s="117"/>
      <c r="AY6622" s="117"/>
      <c r="AZ6622" s="117"/>
      <c r="BA6622" s="117"/>
      <c r="BB6622" s="117"/>
      <c r="BC6622" s="117"/>
      <c r="BD6622" s="117"/>
    </row>
    <row r="6623" spans="1:56" ht="15.75" customHeight="1">
      <c r="A6623" s="114"/>
      <c r="B6623" s="717"/>
      <c r="C6623" s="285">
        <v>1369</v>
      </c>
      <c r="D6623" s="431" t="s">
        <v>12</v>
      </c>
      <c r="E6623" s="1082" t="s">
        <v>1825</v>
      </c>
      <c r="F6623" s="727"/>
      <c r="G6623" s="196"/>
      <c r="H6623" s="196"/>
      <c r="I6623" s="196"/>
      <c r="J6623" s="114"/>
      <c r="AW6623" s="117"/>
      <c r="AX6623" s="117"/>
      <c r="AY6623" s="117"/>
      <c r="AZ6623" s="117"/>
      <c r="BA6623" s="117"/>
      <c r="BB6623" s="117"/>
      <c r="BC6623" s="117"/>
      <c r="BD6623" s="117"/>
    </row>
    <row r="6624" spans="1:56" ht="15.75" customHeight="1">
      <c r="A6624" s="114"/>
      <c r="B6624" s="717"/>
      <c r="C6624" s="285">
        <v>3450</v>
      </c>
      <c r="D6624" s="431" t="s">
        <v>12</v>
      </c>
      <c r="E6624" s="1082" t="s">
        <v>1826</v>
      </c>
      <c r="F6624" s="727"/>
      <c r="G6624" s="196"/>
      <c r="H6624" s="196"/>
      <c r="I6624" s="196"/>
      <c r="J6624" s="114"/>
      <c r="AW6624" s="117"/>
      <c r="AX6624" s="117"/>
      <c r="AY6624" s="117"/>
      <c r="AZ6624" s="117"/>
      <c r="BA6624" s="117"/>
      <c r="BB6624" s="117"/>
      <c r="BC6624" s="117"/>
      <c r="BD6624" s="117"/>
    </row>
    <row r="6625" spans="1:56" ht="15.75" customHeight="1">
      <c r="A6625" s="114"/>
      <c r="B6625" s="717"/>
      <c r="C6625" s="285">
        <v>695</v>
      </c>
      <c r="D6625" s="431" t="s">
        <v>12</v>
      </c>
      <c r="E6625" s="1082" t="s">
        <v>1827</v>
      </c>
      <c r="F6625" s="727"/>
      <c r="G6625" s="196"/>
      <c r="H6625" s="196"/>
      <c r="I6625" s="196"/>
      <c r="J6625" s="114"/>
      <c r="AW6625" s="117"/>
      <c r="AX6625" s="117"/>
      <c r="AY6625" s="117"/>
      <c r="AZ6625" s="117"/>
      <c r="BA6625" s="117"/>
      <c r="BB6625" s="117"/>
      <c r="BC6625" s="117"/>
      <c r="BD6625" s="117"/>
    </row>
    <row r="6626" spans="1:56" ht="15.75" customHeight="1">
      <c r="A6626" s="114"/>
      <c r="B6626" s="717"/>
      <c r="C6626" s="285">
        <v>799</v>
      </c>
      <c r="D6626" s="431" t="s">
        <v>12</v>
      </c>
      <c r="E6626" s="1082" t="s">
        <v>1828</v>
      </c>
      <c r="F6626" s="727"/>
      <c r="G6626" s="196"/>
      <c r="H6626" s="196"/>
      <c r="I6626" s="196"/>
      <c r="J6626" s="114"/>
      <c r="AW6626" s="117"/>
      <c r="AX6626" s="117"/>
      <c r="AY6626" s="117"/>
      <c r="AZ6626" s="117"/>
      <c r="BA6626" s="117"/>
      <c r="BB6626" s="117"/>
      <c r="BC6626" s="117"/>
      <c r="BD6626" s="117"/>
    </row>
    <row r="6627" spans="1:56" ht="15.75" customHeight="1">
      <c r="A6627" s="114"/>
      <c r="B6627" s="717"/>
      <c r="C6627" s="285">
        <v>544</v>
      </c>
      <c r="D6627" s="431" t="s">
        <v>12</v>
      </c>
      <c r="E6627" s="1082" t="s">
        <v>1829</v>
      </c>
      <c r="F6627" s="727"/>
      <c r="G6627" s="196"/>
      <c r="H6627" s="196"/>
      <c r="I6627" s="196"/>
      <c r="J6627" s="114"/>
      <c r="AW6627" s="117"/>
      <c r="AX6627" s="117"/>
      <c r="AY6627" s="117"/>
      <c r="AZ6627" s="117"/>
      <c r="BA6627" s="117"/>
      <c r="BB6627" s="117"/>
      <c r="BC6627" s="117"/>
      <c r="BD6627" s="117"/>
    </row>
    <row r="6628" spans="1:56" ht="15.75" customHeight="1">
      <c r="A6628" s="114"/>
      <c r="B6628" s="717"/>
      <c r="C6628" s="285">
        <v>1091</v>
      </c>
      <c r="D6628" s="431" t="s">
        <v>12</v>
      </c>
      <c r="E6628" s="1082" t="s">
        <v>1830</v>
      </c>
      <c r="F6628" s="727"/>
      <c r="G6628" s="196"/>
      <c r="H6628" s="196"/>
      <c r="I6628" s="196"/>
      <c r="J6628" s="114"/>
      <c r="AW6628" s="117"/>
      <c r="AX6628" s="117"/>
      <c r="AY6628" s="117"/>
      <c r="AZ6628" s="117"/>
      <c r="BA6628" s="117"/>
      <c r="BB6628" s="117"/>
      <c r="BC6628" s="117"/>
      <c r="BD6628" s="117"/>
    </row>
    <row r="6629" spans="1:56" ht="15.75" customHeight="1">
      <c r="A6629" s="114"/>
      <c r="B6629" s="717"/>
      <c r="C6629" s="285">
        <v>1038</v>
      </c>
      <c r="D6629" s="431" t="s">
        <v>12</v>
      </c>
      <c r="E6629" s="1082" t="s">
        <v>1831</v>
      </c>
      <c r="F6629" s="727"/>
      <c r="G6629" s="196"/>
      <c r="H6629" s="196"/>
      <c r="I6629" s="196"/>
      <c r="J6629" s="114"/>
      <c r="AW6629" s="117"/>
      <c r="AX6629" s="117"/>
      <c r="AY6629" s="117"/>
      <c r="AZ6629" s="117"/>
      <c r="BA6629" s="117"/>
      <c r="BB6629" s="117"/>
      <c r="BC6629" s="117"/>
      <c r="BD6629" s="117"/>
    </row>
    <row r="6630" spans="1:56" ht="15.75" customHeight="1">
      <c r="A6630" s="114"/>
      <c r="B6630" s="717"/>
      <c r="C6630" s="285">
        <v>1485</v>
      </c>
      <c r="D6630" s="431" t="s">
        <v>12</v>
      </c>
      <c r="E6630" s="1082" t="s">
        <v>1832</v>
      </c>
      <c r="F6630" s="727"/>
      <c r="G6630" s="196"/>
      <c r="H6630" s="196"/>
      <c r="I6630" s="196"/>
      <c r="J6630" s="114"/>
      <c r="AW6630" s="117"/>
      <c r="AX6630" s="117"/>
      <c r="AY6630" s="117"/>
      <c r="AZ6630" s="117"/>
      <c r="BA6630" s="117"/>
      <c r="BB6630" s="117"/>
      <c r="BC6630" s="117"/>
      <c r="BD6630" s="117"/>
    </row>
    <row r="6631" spans="1:56" ht="15.75" customHeight="1">
      <c r="A6631" s="114"/>
      <c r="B6631" s="717"/>
      <c r="C6631" s="285">
        <v>1201</v>
      </c>
      <c r="D6631" s="431" t="s">
        <v>12</v>
      </c>
      <c r="E6631" s="1082" t="s">
        <v>1833</v>
      </c>
      <c r="F6631" s="727"/>
      <c r="G6631" s="196"/>
      <c r="H6631" s="438"/>
      <c r="I6631" s="196"/>
      <c r="J6631" s="114"/>
      <c r="AW6631" s="117"/>
      <c r="AX6631" s="117"/>
      <c r="AY6631" s="117"/>
      <c r="AZ6631" s="117"/>
      <c r="BA6631" s="117"/>
      <c r="BB6631" s="117"/>
      <c r="BC6631" s="117"/>
      <c r="BD6631" s="117"/>
    </row>
    <row r="6632" spans="1:56" ht="15.75" customHeight="1">
      <c r="A6632" s="114"/>
      <c r="B6632" s="717"/>
      <c r="C6632" s="285">
        <v>1341</v>
      </c>
      <c r="D6632" s="431" t="s">
        <v>12</v>
      </c>
      <c r="E6632" s="1082" t="s">
        <v>1834</v>
      </c>
      <c r="F6632" s="727"/>
      <c r="G6632" s="196"/>
      <c r="H6632" s="196"/>
      <c r="I6632" s="196"/>
      <c r="J6632" s="114"/>
      <c r="AW6632" s="117"/>
      <c r="AX6632" s="117"/>
      <c r="AY6632" s="117"/>
      <c r="AZ6632" s="117"/>
      <c r="BA6632" s="117"/>
      <c r="BB6632" s="117"/>
      <c r="BC6632" s="117"/>
      <c r="BD6632" s="117"/>
    </row>
    <row r="6633" spans="1:56" ht="15.75" customHeight="1">
      <c r="A6633" s="114"/>
      <c r="B6633" s="717"/>
      <c r="C6633" s="285">
        <v>354</v>
      </c>
      <c r="D6633" s="431" t="s">
        <v>12</v>
      </c>
      <c r="E6633" s="1082" t="s">
        <v>1835</v>
      </c>
      <c r="F6633" s="727"/>
      <c r="G6633" s="196"/>
      <c r="H6633" s="196"/>
      <c r="I6633" s="196"/>
      <c r="J6633" s="114"/>
      <c r="AW6633" s="117"/>
      <c r="AX6633" s="117"/>
      <c r="AY6633" s="117"/>
      <c r="AZ6633" s="117"/>
      <c r="BA6633" s="117"/>
      <c r="BB6633" s="117"/>
      <c r="BC6633" s="117"/>
      <c r="BD6633" s="117"/>
    </row>
    <row r="6634" spans="1:56" ht="15.75" customHeight="1">
      <c r="A6634" s="114"/>
      <c r="B6634" s="717"/>
      <c r="C6634" s="285">
        <v>686</v>
      </c>
      <c r="D6634" s="431" t="s">
        <v>12</v>
      </c>
      <c r="E6634" s="1082" t="s">
        <v>1836</v>
      </c>
      <c r="F6634" s="727"/>
      <c r="G6634" s="196"/>
      <c r="H6634" s="196"/>
      <c r="I6634" s="196"/>
      <c r="J6634" s="114"/>
      <c r="AW6634" s="117"/>
      <c r="AX6634" s="117"/>
      <c r="AY6634" s="117"/>
      <c r="AZ6634" s="117"/>
      <c r="BA6634" s="117"/>
      <c r="BB6634" s="117"/>
      <c r="BC6634" s="117"/>
      <c r="BD6634" s="117"/>
    </row>
    <row r="6635" spans="1:56" ht="15.75" customHeight="1">
      <c r="A6635" s="114"/>
      <c r="B6635" s="717"/>
      <c r="C6635" s="285">
        <v>695</v>
      </c>
      <c r="D6635" s="431" t="s">
        <v>12</v>
      </c>
      <c r="E6635" s="1082" t="s">
        <v>1837</v>
      </c>
      <c r="F6635" s="727"/>
      <c r="G6635" s="196"/>
      <c r="H6635" s="196"/>
      <c r="I6635" s="196"/>
      <c r="J6635" s="114"/>
      <c r="AW6635" s="117"/>
      <c r="AX6635" s="117"/>
      <c r="AY6635" s="117"/>
      <c r="AZ6635" s="117"/>
      <c r="BA6635" s="117"/>
      <c r="BB6635" s="117"/>
      <c r="BC6635" s="117"/>
      <c r="BD6635" s="117"/>
    </row>
    <row r="6636" spans="1:56" ht="15.75" customHeight="1">
      <c r="A6636" s="114"/>
      <c r="B6636" s="717"/>
      <c r="C6636" s="285">
        <v>898</v>
      </c>
      <c r="D6636" s="431" t="s">
        <v>12</v>
      </c>
      <c r="E6636" s="1082" t="s">
        <v>1838</v>
      </c>
      <c r="F6636" s="727"/>
      <c r="G6636" s="196"/>
      <c r="H6636" s="196"/>
      <c r="I6636" s="196"/>
      <c r="J6636" s="114"/>
      <c r="AW6636" s="117"/>
      <c r="AX6636" s="117"/>
      <c r="AY6636" s="117"/>
      <c r="AZ6636" s="117"/>
      <c r="BA6636" s="117"/>
      <c r="BB6636" s="117"/>
      <c r="BC6636" s="117"/>
      <c r="BD6636" s="117"/>
    </row>
    <row r="6637" spans="1:56" ht="15.75" customHeight="1">
      <c r="A6637" s="114"/>
      <c r="B6637" s="717"/>
      <c r="C6637" s="285">
        <v>543</v>
      </c>
      <c r="D6637" s="431" t="s">
        <v>12</v>
      </c>
      <c r="E6637" s="1082" t="s">
        <v>1839</v>
      </c>
      <c r="F6637" s="727"/>
      <c r="G6637" s="196"/>
      <c r="H6637" s="196"/>
      <c r="I6637" s="196"/>
      <c r="J6637" s="114"/>
      <c r="AW6637" s="117"/>
      <c r="AX6637" s="117"/>
      <c r="AY6637" s="117"/>
      <c r="AZ6637" s="117"/>
      <c r="BA6637" s="117"/>
      <c r="BB6637" s="117"/>
      <c r="BC6637" s="117"/>
      <c r="BD6637" s="117"/>
    </row>
    <row r="6638" spans="1:56" ht="15.75" customHeight="1">
      <c r="A6638" s="114"/>
      <c r="B6638" s="1081"/>
      <c r="C6638" s="285">
        <v>263</v>
      </c>
      <c r="D6638" s="431" t="s">
        <v>12</v>
      </c>
      <c r="E6638" s="1082" t="s">
        <v>1840</v>
      </c>
      <c r="F6638" s="727"/>
      <c r="G6638" s="196"/>
      <c r="H6638" s="196"/>
      <c r="I6638" s="196"/>
      <c r="J6638" s="114"/>
      <c r="AW6638" s="117"/>
      <c r="AX6638" s="117"/>
      <c r="AY6638" s="117"/>
      <c r="AZ6638" s="117"/>
      <c r="BA6638" s="117"/>
      <c r="BB6638" s="117"/>
      <c r="BC6638" s="117"/>
      <c r="BD6638" s="117"/>
    </row>
    <row r="6639" spans="1:56" ht="15.75" customHeight="1">
      <c r="A6639" s="114"/>
      <c r="B6639" s="1080" t="s">
        <v>329</v>
      </c>
      <c r="C6639" s="285">
        <v>10</v>
      </c>
      <c r="D6639" s="390" t="s">
        <v>12</v>
      </c>
      <c r="E6639" s="1082" t="s">
        <v>1817</v>
      </c>
      <c r="F6639" s="727"/>
      <c r="G6639" s="196"/>
      <c r="H6639" s="196"/>
      <c r="I6639" s="196"/>
      <c r="J6639" s="114"/>
      <c r="AW6639" s="117"/>
      <c r="AX6639" s="117"/>
      <c r="AY6639" s="117"/>
      <c r="AZ6639" s="117"/>
      <c r="BA6639" s="117"/>
      <c r="BB6639" s="117"/>
      <c r="BC6639" s="117"/>
      <c r="BD6639" s="117"/>
    </row>
    <row r="6640" spans="1:56" ht="15.75" customHeight="1">
      <c r="A6640" s="114"/>
      <c r="B6640" s="717"/>
      <c r="C6640" s="285">
        <v>11</v>
      </c>
      <c r="D6640" s="431" t="s">
        <v>12</v>
      </c>
      <c r="E6640" s="1082" t="s">
        <v>1818</v>
      </c>
      <c r="F6640" s="727"/>
      <c r="G6640" s="196"/>
      <c r="H6640" s="196"/>
      <c r="I6640" s="196"/>
      <c r="J6640" s="114"/>
      <c r="AW6640" s="117"/>
      <c r="AX6640" s="117"/>
      <c r="AY6640" s="117"/>
      <c r="AZ6640" s="117"/>
      <c r="BA6640" s="117"/>
      <c r="BB6640" s="117"/>
      <c r="BC6640" s="117"/>
      <c r="BD6640" s="117"/>
    </row>
    <row r="6641" spans="1:56" ht="15.75" customHeight="1">
      <c r="A6641" s="114"/>
      <c r="B6641" s="717"/>
      <c r="C6641" s="285">
        <v>5</v>
      </c>
      <c r="D6641" s="431" t="s">
        <v>12</v>
      </c>
      <c r="E6641" s="1082" t="s">
        <v>1819</v>
      </c>
      <c r="F6641" s="727"/>
      <c r="G6641" s="196"/>
      <c r="H6641" s="196"/>
      <c r="I6641" s="196"/>
      <c r="J6641" s="114"/>
      <c r="AW6641" s="117"/>
      <c r="AX6641" s="117"/>
      <c r="AY6641" s="117"/>
      <c r="AZ6641" s="117"/>
      <c r="BA6641" s="117"/>
      <c r="BB6641" s="117"/>
      <c r="BC6641" s="117"/>
      <c r="BD6641" s="117"/>
    </row>
    <row r="6642" spans="1:56" ht="15.75" customHeight="1">
      <c r="A6642" s="114"/>
      <c r="B6642" s="717"/>
      <c r="C6642" s="285">
        <v>19</v>
      </c>
      <c r="D6642" s="431" t="s">
        <v>12</v>
      </c>
      <c r="E6642" s="1082" t="s">
        <v>1820</v>
      </c>
      <c r="F6642" s="727"/>
      <c r="G6642" s="196"/>
      <c r="H6642" s="196"/>
      <c r="I6642" s="196"/>
      <c r="J6642" s="114"/>
      <c r="AW6642" s="117"/>
      <c r="AX6642" s="117"/>
      <c r="AY6642" s="117"/>
      <c r="AZ6642" s="117"/>
      <c r="BA6642" s="117"/>
      <c r="BB6642" s="117"/>
      <c r="BC6642" s="117"/>
      <c r="BD6642" s="117"/>
    </row>
    <row r="6643" spans="1:56" ht="15.75" customHeight="1">
      <c r="A6643" s="114"/>
      <c r="B6643" s="717"/>
      <c r="C6643" s="285">
        <v>5</v>
      </c>
      <c r="D6643" s="431" t="s">
        <v>12</v>
      </c>
      <c r="E6643" s="1082" t="s">
        <v>1821</v>
      </c>
      <c r="F6643" s="727"/>
      <c r="G6643" s="196"/>
      <c r="H6643" s="196"/>
      <c r="I6643" s="196"/>
      <c r="J6643" s="114"/>
      <c r="AW6643" s="117"/>
      <c r="AX6643" s="117"/>
      <c r="AY6643" s="117"/>
      <c r="AZ6643" s="117"/>
      <c r="BA6643" s="117"/>
      <c r="BB6643" s="117"/>
      <c r="BC6643" s="117"/>
      <c r="BD6643" s="117"/>
    </row>
    <row r="6644" spans="1:56" ht="15.75" customHeight="1">
      <c r="A6644" s="114"/>
      <c r="B6644" s="717"/>
      <c r="C6644" s="285">
        <v>22</v>
      </c>
      <c r="D6644" s="431" t="s">
        <v>12</v>
      </c>
      <c r="E6644" s="1082" t="s">
        <v>1822</v>
      </c>
      <c r="F6644" s="727"/>
      <c r="G6644" s="196"/>
      <c r="H6644" s="196"/>
      <c r="I6644" s="196"/>
      <c r="J6644" s="114"/>
      <c r="AW6644" s="117"/>
      <c r="AX6644" s="117"/>
      <c r="AY6644" s="117"/>
      <c r="AZ6644" s="117"/>
      <c r="BA6644" s="117"/>
      <c r="BB6644" s="117"/>
      <c r="BC6644" s="117"/>
      <c r="BD6644" s="117"/>
    </row>
    <row r="6645" spans="1:56" ht="15.75" customHeight="1">
      <c r="A6645" s="114"/>
      <c r="B6645" s="717"/>
      <c r="C6645" s="285">
        <v>3</v>
      </c>
      <c r="D6645" s="431" t="s">
        <v>12</v>
      </c>
      <c r="E6645" s="1082" t="s">
        <v>1823</v>
      </c>
      <c r="F6645" s="727"/>
      <c r="G6645" s="196"/>
      <c r="H6645" s="196"/>
      <c r="I6645" s="196"/>
      <c r="J6645" s="114"/>
      <c r="AW6645" s="117"/>
      <c r="AX6645" s="117"/>
      <c r="AY6645" s="117"/>
      <c r="AZ6645" s="117"/>
      <c r="BA6645" s="117"/>
      <c r="BB6645" s="117"/>
      <c r="BC6645" s="117"/>
      <c r="BD6645" s="117"/>
    </row>
    <row r="6646" spans="1:56" ht="15.75" customHeight="1">
      <c r="A6646" s="114"/>
      <c r="B6646" s="717"/>
      <c r="C6646" s="285">
        <v>1</v>
      </c>
      <c r="D6646" s="431" t="s">
        <v>12</v>
      </c>
      <c r="E6646" s="1082" t="s">
        <v>1824</v>
      </c>
      <c r="F6646" s="727"/>
      <c r="G6646" s="196"/>
      <c r="H6646" s="196"/>
      <c r="I6646" s="196"/>
      <c r="J6646" s="114"/>
      <c r="AW6646" s="117"/>
      <c r="AX6646" s="117"/>
      <c r="AY6646" s="117"/>
      <c r="AZ6646" s="117"/>
      <c r="BA6646" s="117"/>
      <c r="BB6646" s="117"/>
      <c r="BC6646" s="117"/>
      <c r="BD6646" s="117"/>
    </row>
    <row r="6647" spans="1:56" ht="15.75" customHeight="1">
      <c r="A6647" s="114"/>
      <c r="B6647" s="717"/>
      <c r="C6647" s="285">
        <v>4</v>
      </c>
      <c r="D6647" s="431" t="s">
        <v>12</v>
      </c>
      <c r="E6647" s="1082" t="s">
        <v>1825</v>
      </c>
      <c r="F6647" s="727"/>
      <c r="G6647" s="196"/>
      <c r="H6647" s="196"/>
      <c r="I6647" s="196"/>
      <c r="J6647" s="114"/>
      <c r="AW6647" s="117"/>
      <c r="AX6647" s="117"/>
      <c r="AY6647" s="117"/>
      <c r="AZ6647" s="117"/>
      <c r="BA6647" s="117"/>
      <c r="BB6647" s="117"/>
      <c r="BC6647" s="117"/>
      <c r="BD6647" s="117"/>
    </row>
    <row r="6648" spans="1:56" ht="15.75" customHeight="1">
      <c r="A6648" s="114"/>
      <c r="B6648" s="717"/>
      <c r="C6648" s="285">
        <v>2</v>
      </c>
      <c r="D6648" s="431" t="s">
        <v>12</v>
      </c>
      <c r="E6648" s="1082" t="s">
        <v>1826</v>
      </c>
      <c r="F6648" s="727"/>
      <c r="G6648" s="196"/>
      <c r="H6648" s="196"/>
      <c r="I6648" s="196"/>
      <c r="J6648" s="114"/>
      <c r="AW6648" s="117"/>
      <c r="AX6648" s="117"/>
      <c r="AY6648" s="117"/>
      <c r="AZ6648" s="117"/>
      <c r="BA6648" s="117"/>
      <c r="BB6648" s="117"/>
      <c r="BC6648" s="117"/>
      <c r="BD6648" s="117"/>
    </row>
    <row r="6649" spans="1:56" ht="15.75" customHeight="1">
      <c r="A6649" s="114"/>
      <c r="B6649" s="717"/>
      <c r="C6649" s="285">
        <v>13</v>
      </c>
      <c r="D6649" s="431" t="s">
        <v>12</v>
      </c>
      <c r="E6649" s="1082" t="s">
        <v>1827</v>
      </c>
      <c r="F6649" s="727"/>
      <c r="G6649" s="196"/>
      <c r="H6649" s="196"/>
      <c r="I6649" s="196"/>
      <c r="J6649" s="114"/>
      <c r="AW6649" s="117"/>
      <c r="AX6649" s="117"/>
      <c r="AY6649" s="117"/>
      <c r="AZ6649" s="117"/>
      <c r="BA6649" s="117"/>
      <c r="BB6649" s="117"/>
      <c r="BC6649" s="117"/>
      <c r="BD6649" s="117"/>
    </row>
    <row r="6650" spans="1:56" ht="15.75" customHeight="1">
      <c r="A6650" s="114"/>
      <c r="B6650" s="717"/>
      <c r="C6650" s="285">
        <v>14</v>
      </c>
      <c r="D6650" s="431" t="s">
        <v>12</v>
      </c>
      <c r="E6650" s="1082" t="s">
        <v>1828</v>
      </c>
      <c r="F6650" s="727"/>
      <c r="G6650" s="196"/>
      <c r="H6650" s="196"/>
      <c r="I6650" s="196"/>
      <c r="J6650" s="114"/>
      <c r="AW6650" s="117"/>
      <c r="AX6650" s="117"/>
      <c r="AY6650" s="117"/>
      <c r="AZ6650" s="117"/>
      <c r="BA6650" s="117"/>
      <c r="BB6650" s="117"/>
      <c r="BC6650" s="117"/>
      <c r="BD6650" s="117"/>
    </row>
    <row r="6651" spans="1:56" ht="15.75" customHeight="1">
      <c r="A6651" s="114"/>
      <c r="B6651" s="717"/>
      <c r="C6651" s="285">
        <v>6</v>
      </c>
      <c r="D6651" s="431" t="s">
        <v>12</v>
      </c>
      <c r="E6651" s="1082" t="s">
        <v>1829</v>
      </c>
      <c r="F6651" s="727"/>
      <c r="G6651" s="196"/>
      <c r="H6651" s="196"/>
      <c r="I6651" s="196"/>
      <c r="J6651" s="114"/>
      <c r="AW6651" s="117"/>
      <c r="AX6651" s="117"/>
      <c r="AY6651" s="117"/>
      <c r="AZ6651" s="117"/>
      <c r="BA6651" s="117"/>
      <c r="BB6651" s="117"/>
      <c r="BC6651" s="117"/>
      <c r="BD6651" s="117"/>
    </row>
    <row r="6652" spans="1:56" ht="15.75" customHeight="1">
      <c r="A6652" s="114"/>
      <c r="B6652" s="717"/>
      <c r="C6652" s="285">
        <v>5</v>
      </c>
      <c r="D6652" s="431" t="s">
        <v>12</v>
      </c>
      <c r="E6652" s="1082" t="s">
        <v>1830</v>
      </c>
      <c r="F6652" s="727"/>
      <c r="G6652" s="196"/>
      <c r="H6652" s="196"/>
      <c r="I6652" s="196"/>
      <c r="J6652" s="114"/>
      <c r="AW6652" s="117"/>
      <c r="AX6652" s="117"/>
      <c r="AY6652" s="117"/>
      <c r="AZ6652" s="117"/>
      <c r="BA6652" s="117"/>
      <c r="BB6652" s="117"/>
      <c r="BC6652" s="117"/>
      <c r="BD6652" s="117"/>
    </row>
    <row r="6653" spans="1:56" ht="15.75" customHeight="1">
      <c r="A6653" s="114"/>
      <c r="B6653" s="717"/>
      <c r="C6653" s="285">
        <v>8</v>
      </c>
      <c r="D6653" s="431" t="s">
        <v>12</v>
      </c>
      <c r="E6653" s="1082" t="s">
        <v>1831</v>
      </c>
      <c r="F6653" s="727"/>
      <c r="G6653" s="196"/>
      <c r="H6653" s="196"/>
      <c r="I6653" s="196"/>
      <c r="J6653" s="114"/>
      <c r="AW6653" s="117"/>
      <c r="AX6653" s="117"/>
      <c r="AY6653" s="117"/>
      <c r="AZ6653" s="117"/>
      <c r="BA6653" s="117"/>
      <c r="BB6653" s="117"/>
      <c r="BC6653" s="117"/>
      <c r="BD6653" s="117"/>
    </row>
    <row r="6654" spans="1:56" ht="15.75" customHeight="1">
      <c r="A6654" s="114"/>
      <c r="B6654" s="717"/>
      <c r="C6654" s="285">
        <v>8</v>
      </c>
      <c r="D6654" s="431" t="s">
        <v>12</v>
      </c>
      <c r="E6654" s="1082" t="s">
        <v>1832</v>
      </c>
      <c r="F6654" s="727"/>
      <c r="G6654" s="196"/>
      <c r="H6654" s="196"/>
      <c r="I6654" s="196"/>
      <c r="J6654" s="114"/>
      <c r="AW6654" s="117"/>
      <c r="AX6654" s="117"/>
      <c r="AY6654" s="117"/>
      <c r="AZ6654" s="117"/>
      <c r="BA6654" s="117"/>
      <c r="BB6654" s="117"/>
      <c r="BC6654" s="117"/>
      <c r="BD6654" s="117"/>
    </row>
    <row r="6655" spans="1:56" ht="15.75" customHeight="1">
      <c r="A6655" s="114"/>
      <c r="B6655" s="717"/>
      <c r="C6655" s="285">
        <v>5</v>
      </c>
      <c r="D6655" s="431" t="s">
        <v>12</v>
      </c>
      <c r="E6655" s="1082" t="s">
        <v>1833</v>
      </c>
      <c r="F6655" s="727"/>
      <c r="G6655" s="196"/>
      <c r="H6655" s="438"/>
      <c r="I6655" s="196"/>
      <c r="J6655" s="114"/>
      <c r="AW6655" s="117"/>
      <c r="AX6655" s="117"/>
      <c r="AY6655" s="117"/>
      <c r="AZ6655" s="117"/>
      <c r="BA6655" s="117"/>
      <c r="BB6655" s="117"/>
      <c r="BC6655" s="117"/>
      <c r="BD6655" s="117"/>
    </row>
    <row r="6656" spans="1:56" ht="15.75" customHeight="1">
      <c r="A6656" s="114"/>
      <c r="B6656" s="717"/>
      <c r="C6656" s="285">
        <v>3</v>
      </c>
      <c r="D6656" s="431" t="s">
        <v>12</v>
      </c>
      <c r="E6656" s="1082" t="s">
        <v>1834</v>
      </c>
      <c r="F6656" s="727"/>
      <c r="G6656" s="196"/>
      <c r="H6656" s="196"/>
      <c r="I6656" s="196"/>
      <c r="J6656" s="114"/>
      <c r="AW6656" s="117"/>
      <c r="AX6656" s="117"/>
      <c r="AY6656" s="117"/>
      <c r="AZ6656" s="117"/>
      <c r="BA6656" s="117"/>
      <c r="BB6656" s="117"/>
      <c r="BC6656" s="117"/>
      <c r="BD6656" s="117"/>
    </row>
    <row r="6657" spans="1:56" ht="15.75" customHeight="1">
      <c r="A6657" s="114"/>
      <c r="B6657" s="717"/>
      <c r="C6657" s="285">
        <v>5</v>
      </c>
      <c r="D6657" s="431" t="s">
        <v>12</v>
      </c>
      <c r="E6657" s="1082" t="s">
        <v>1835</v>
      </c>
      <c r="F6657" s="727"/>
      <c r="G6657" s="196"/>
      <c r="H6657" s="196"/>
      <c r="I6657" s="196"/>
      <c r="J6657" s="114"/>
      <c r="AW6657" s="117"/>
      <c r="AX6657" s="117"/>
      <c r="AY6657" s="117"/>
      <c r="AZ6657" s="117"/>
      <c r="BA6657" s="117"/>
      <c r="BB6657" s="117"/>
      <c r="BC6657" s="117"/>
      <c r="BD6657" s="117"/>
    </row>
    <row r="6658" spans="1:56" ht="15.75" customHeight="1">
      <c r="A6658" s="114"/>
      <c r="B6658" s="717"/>
      <c r="C6658" s="285">
        <v>12</v>
      </c>
      <c r="D6658" s="431" t="s">
        <v>12</v>
      </c>
      <c r="E6658" s="1082" t="s">
        <v>1836</v>
      </c>
      <c r="F6658" s="727"/>
      <c r="G6658" s="196"/>
      <c r="H6658" s="196"/>
      <c r="I6658" s="196"/>
      <c r="J6658" s="114"/>
      <c r="AW6658" s="117"/>
      <c r="AX6658" s="117"/>
      <c r="AY6658" s="117"/>
      <c r="AZ6658" s="117"/>
      <c r="BA6658" s="117"/>
      <c r="BB6658" s="117"/>
      <c r="BC6658" s="117"/>
      <c r="BD6658" s="117"/>
    </row>
    <row r="6659" spans="1:56" ht="15.75" customHeight="1">
      <c r="A6659" s="114"/>
      <c r="B6659" s="717"/>
      <c r="C6659" s="285">
        <v>8</v>
      </c>
      <c r="D6659" s="431" t="s">
        <v>12</v>
      </c>
      <c r="E6659" s="1082" t="s">
        <v>1837</v>
      </c>
      <c r="F6659" s="727"/>
      <c r="G6659" s="196"/>
      <c r="H6659" s="438"/>
      <c r="I6659" s="196"/>
      <c r="J6659" s="114"/>
      <c r="AW6659" s="117"/>
      <c r="AX6659" s="117"/>
      <c r="AY6659" s="117"/>
      <c r="AZ6659" s="117"/>
      <c r="BA6659" s="117"/>
      <c r="BB6659" s="117"/>
      <c r="BC6659" s="117"/>
      <c r="BD6659" s="117"/>
    </row>
    <row r="6660" spans="1:56" ht="15.75" customHeight="1">
      <c r="A6660" s="114"/>
      <c r="B6660" s="717"/>
      <c r="C6660" s="285">
        <v>17</v>
      </c>
      <c r="D6660" s="431" t="s">
        <v>12</v>
      </c>
      <c r="E6660" s="1082" t="s">
        <v>1838</v>
      </c>
      <c r="F6660" s="727"/>
      <c r="G6660" s="196"/>
      <c r="H6660" s="196"/>
      <c r="I6660" s="196"/>
      <c r="J6660" s="114"/>
      <c r="AW6660" s="117"/>
      <c r="AX6660" s="117"/>
      <c r="AY6660" s="117"/>
      <c r="AZ6660" s="117"/>
      <c r="BA6660" s="117"/>
      <c r="BB6660" s="117"/>
      <c r="BC6660" s="117"/>
      <c r="BD6660" s="117"/>
    </row>
    <row r="6661" spans="1:56" ht="15.75" customHeight="1">
      <c r="A6661" s="114"/>
      <c r="B6661" s="717"/>
      <c r="C6661" s="726">
        <v>8</v>
      </c>
      <c r="D6661" s="431" t="s">
        <v>12</v>
      </c>
      <c r="E6661" s="1082" t="s">
        <v>1839</v>
      </c>
      <c r="F6661" s="727"/>
      <c r="G6661" s="196"/>
      <c r="H6661" s="196"/>
      <c r="I6661" s="196"/>
      <c r="J6661" s="114"/>
      <c r="AW6661" s="117"/>
      <c r="AX6661" s="117"/>
      <c r="AY6661" s="117"/>
      <c r="AZ6661" s="117"/>
      <c r="BA6661" s="117"/>
      <c r="BB6661" s="117"/>
      <c r="BC6661" s="117"/>
      <c r="BD6661" s="117"/>
    </row>
    <row r="6662" spans="1:56" ht="15.75" customHeight="1">
      <c r="A6662" s="114"/>
      <c r="B6662" s="1081"/>
      <c r="C6662" s="285">
        <v>2</v>
      </c>
      <c r="D6662" s="390" t="s">
        <v>12</v>
      </c>
      <c r="E6662" s="1082" t="s">
        <v>1840</v>
      </c>
      <c r="F6662" s="727"/>
      <c r="G6662" s="196"/>
      <c r="H6662" s="196"/>
      <c r="I6662" s="196"/>
      <c r="J6662" s="114"/>
      <c r="AW6662" s="117"/>
      <c r="AX6662" s="117"/>
      <c r="AY6662" s="117"/>
      <c r="AZ6662" s="117"/>
      <c r="BA6662" s="117"/>
      <c r="BB6662" s="117"/>
      <c r="BC6662" s="117"/>
      <c r="BD6662" s="117"/>
    </row>
    <row r="6663" spans="1:56" ht="15">
      <c r="A6663" s="114"/>
      <c r="B6663" s="693"/>
      <c r="C6663" s="196"/>
      <c r="D6663" s="196"/>
      <c r="E6663" s="196"/>
      <c r="F6663" s="284"/>
      <c r="G6663" s="196"/>
      <c r="H6663" s="196"/>
      <c r="I6663" s="196"/>
      <c r="J6663" s="114"/>
      <c r="AW6663" s="117"/>
      <c r="AX6663" s="117"/>
      <c r="AY6663" s="117"/>
      <c r="AZ6663" s="117"/>
      <c r="BA6663" s="117"/>
      <c r="BB6663" s="117"/>
      <c r="BC6663" s="117"/>
      <c r="BD6663" s="117"/>
    </row>
    <row r="6664" spans="1:56" ht="15">
      <c r="A6664" s="114"/>
      <c r="B6664" s="691" t="s">
        <v>337</v>
      </c>
      <c r="C6664" s="196"/>
      <c r="D6664" s="196"/>
      <c r="E6664" s="196"/>
      <c r="F6664" s="284"/>
      <c r="G6664" s="196"/>
      <c r="H6664" s="196"/>
      <c r="I6664" s="196"/>
      <c r="J6664" s="114"/>
      <c r="AW6664" s="117"/>
      <c r="AX6664" s="117"/>
      <c r="AY6664" s="117"/>
      <c r="AZ6664" s="117"/>
      <c r="BA6664" s="117"/>
      <c r="BB6664" s="117"/>
      <c r="BC6664" s="117"/>
      <c r="BD6664" s="117"/>
    </row>
    <row r="6665" spans="1:56" ht="15">
      <c r="A6665" s="114"/>
      <c r="B6665" s="1080" t="s">
        <v>102</v>
      </c>
      <c r="C6665" s="451">
        <v>1604</v>
      </c>
      <c r="D6665" s="390" t="s">
        <v>12</v>
      </c>
      <c r="E6665" s="1082" t="s">
        <v>1364</v>
      </c>
      <c r="F6665" s="139"/>
      <c r="G6665" s="196"/>
      <c r="H6665" s="196"/>
      <c r="I6665" s="196"/>
      <c r="J6665" s="114"/>
      <c r="AW6665" s="117"/>
      <c r="AX6665" s="117"/>
      <c r="AY6665" s="117"/>
      <c r="AZ6665" s="117"/>
      <c r="BA6665" s="117"/>
      <c r="BB6665" s="117"/>
      <c r="BC6665" s="117"/>
      <c r="BD6665" s="117"/>
    </row>
    <row r="6666" spans="1:56" ht="15">
      <c r="A6666" s="114"/>
      <c r="B6666" s="717"/>
      <c r="C6666" s="451">
        <v>1474</v>
      </c>
      <c r="D6666" s="390" t="s">
        <v>12</v>
      </c>
      <c r="E6666" s="1082" t="s">
        <v>1365</v>
      </c>
      <c r="F6666" s="139"/>
      <c r="G6666" s="196"/>
      <c r="H6666" s="438"/>
      <c r="I6666" s="196"/>
      <c r="J6666" s="114"/>
      <c r="AW6666" s="117"/>
      <c r="AX6666" s="117"/>
      <c r="AY6666" s="117"/>
      <c r="AZ6666" s="117"/>
      <c r="BA6666" s="117"/>
      <c r="BB6666" s="117"/>
      <c r="BC6666" s="117"/>
      <c r="BD6666" s="117"/>
    </row>
    <row r="6667" spans="1:56" ht="15">
      <c r="A6667" s="114"/>
      <c r="B6667" s="717"/>
      <c r="C6667" s="451">
        <v>1369</v>
      </c>
      <c r="D6667" s="390" t="s">
        <v>12</v>
      </c>
      <c r="E6667" s="1082" t="s">
        <v>1366</v>
      </c>
      <c r="F6667" s="139"/>
      <c r="G6667" s="196"/>
      <c r="H6667" s="196"/>
      <c r="I6667" s="196"/>
      <c r="J6667" s="114"/>
      <c r="AW6667" s="117"/>
      <c r="AX6667" s="117"/>
      <c r="AY6667" s="117"/>
      <c r="AZ6667" s="117"/>
      <c r="BA6667" s="117"/>
      <c r="BB6667" s="117"/>
      <c r="BC6667" s="117"/>
      <c r="BD6667" s="117"/>
    </row>
    <row r="6668" spans="1:56" ht="15">
      <c r="A6668" s="114"/>
      <c r="B6668" s="1081"/>
      <c r="C6668" s="451">
        <v>2401</v>
      </c>
      <c r="D6668" s="390" t="s">
        <v>12</v>
      </c>
      <c r="E6668" s="1082" t="s">
        <v>1367</v>
      </c>
      <c r="F6668" s="139"/>
      <c r="G6668" s="196"/>
      <c r="H6668" s="196"/>
      <c r="I6668" s="196"/>
      <c r="J6668" s="114"/>
      <c r="AW6668" s="117"/>
      <c r="AX6668" s="117"/>
      <c r="AY6668" s="117"/>
      <c r="AZ6668" s="117"/>
      <c r="BA6668" s="117"/>
      <c r="BB6668" s="117"/>
      <c r="BC6668" s="117"/>
      <c r="BD6668" s="117"/>
    </row>
    <row r="6669" spans="1:56">
      <c r="A6669" s="114"/>
      <c r="B6669" s="690"/>
      <c r="C6669" s="115"/>
      <c r="D6669" s="115"/>
      <c r="E6669" s="115"/>
      <c r="F6669" s="182"/>
      <c r="G6669" s="115"/>
      <c r="H6669" s="115"/>
      <c r="I6669" s="115"/>
      <c r="J6669" s="114"/>
      <c r="AW6669" s="117"/>
      <c r="AX6669" s="117"/>
      <c r="AY6669" s="117"/>
      <c r="AZ6669" s="117"/>
      <c r="BA6669" s="117"/>
      <c r="BB6669" s="117"/>
      <c r="BC6669" s="117"/>
      <c r="BD6669" s="117"/>
    </row>
    <row r="6670" spans="1:56" ht="15">
      <c r="A6670" s="114"/>
      <c r="B6670" s="691" t="s">
        <v>1368</v>
      </c>
      <c r="C6670" s="196"/>
      <c r="D6670" s="196"/>
      <c r="E6670" s="196"/>
      <c r="F6670" s="284"/>
      <c r="G6670" s="196"/>
      <c r="H6670" s="196"/>
      <c r="I6670" s="196"/>
      <c r="J6670" s="114"/>
      <c r="AW6670" s="117"/>
      <c r="AX6670" s="117"/>
      <c r="AY6670" s="117"/>
      <c r="AZ6670" s="117"/>
      <c r="BA6670" s="117"/>
      <c r="BB6670" s="117"/>
      <c r="BC6670" s="117"/>
      <c r="BD6670" s="117"/>
    </row>
    <row r="6671" spans="1:56" ht="15">
      <c r="A6671" s="114"/>
      <c r="B6671" s="1080" t="s">
        <v>102</v>
      </c>
      <c r="C6671" s="285">
        <v>1883</v>
      </c>
      <c r="D6671" s="390" t="s">
        <v>12</v>
      </c>
      <c r="E6671" s="1199" t="s">
        <v>1369</v>
      </c>
      <c r="F6671" s="1200"/>
      <c r="G6671" s="196"/>
      <c r="H6671" s="196"/>
      <c r="I6671" s="196"/>
      <c r="J6671" s="114"/>
      <c r="AW6671" s="117"/>
      <c r="AX6671" s="117"/>
      <c r="AY6671" s="117"/>
      <c r="AZ6671" s="117"/>
      <c r="BA6671" s="117"/>
      <c r="BB6671" s="117"/>
      <c r="BC6671" s="117"/>
      <c r="BD6671" s="117"/>
    </row>
    <row r="6672" spans="1:56" ht="15">
      <c r="A6672" s="114"/>
      <c r="B6672" s="719"/>
      <c r="C6672" s="285">
        <v>456</v>
      </c>
      <c r="D6672" s="435" t="s">
        <v>12</v>
      </c>
      <c r="E6672" s="1201"/>
      <c r="F6672" s="1202"/>
      <c r="G6672" s="196"/>
      <c r="H6672" s="196"/>
      <c r="I6672" s="196"/>
      <c r="J6672" s="114"/>
      <c r="AW6672" s="117"/>
      <c r="AX6672" s="117"/>
      <c r="AY6672" s="117"/>
      <c r="AZ6672" s="117"/>
      <c r="BA6672" s="117"/>
      <c r="BB6672" s="117"/>
      <c r="BC6672" s="117"/>
      <c r="BD6672" s="117"/>
    </row>
    <row r="6673" spans="1:56">
      <c r="A6673" s="114"/>
      <c r="B6673" s="690"/>
      <c r="C6673" s="115"/>
      <c r="D6673" s="115"/>
      <c r="E6673" s="115"/>
      <c r="F6673" s="182"/>
      <c r="G6673" s="115"/>
      <c r="H6673" s="115"/>
      <c r="I6673" s="115"/>
      <c r="J6673" s="114"/>
      <c r="AW6673" s="117"/>
      <c r="AX6673" s="117"/>
      <c r="AY6673" s="117"/>
      <c r="AZ6673" s="117"/>
      <c r="BA6673" s="117"/>
      <c r="BB6673" s="117"/>
      <c r="BC6673" s="117"/>
      <c r="BD6673" s="117"/>
    </row>
    <row r="6674" spans="1:56" ht="15">
      <c r="A6674" s="114"/>
      <c r="B6674" s="691" t="s">
        <v>1276</v>
      </c>
      <c r="C6674" s="196"/>
      <c r="D6674" s="196"/>
      <c r="E6674" s="196"/>
      <c r="F6674" s="284"/>
      <c r="G6674" s="196"/>
      <c r="H6674" s="196"/>
      <c r="I6674" s="196"/>
      <c r="J6674" s="114"/>
      <c r="AW6674" s="117"/>
      <c r="AX6674" s="117"/>
      <c r="AY6674" s="117"/>
      <c r="AZ6674" s="117"/>
      <c r="BA6674" s="117"/>
      <c r="BB6674" s="117"/>
      <c r="BC6674" s="117"/>
      <c r="BD6674" s="117"/>
    </row>
    <row r="6675" spans="1:56" ht="15">
      <c r="A6675" s="114"/>
      <c r="B6675" s="1080" t="s">
        <v>102</v>
      </c>
      <c r="C6675" s="451">
        <v>60474</v>
      </c>
      <c r="D6675" s="390" t="s">
        <v>12</v>
      </c>
      <c r="E6675" s="509" t="s">
        <v>1370</v>
      </c>
      <c r="F6675" s="510"/>
      <c r="G6675" s="196"/>
      <c r="H6675" s="196"/>
      <c r="I6675" s="196"/>
      <c r="J6675" s="114"/>
      <c r="AW6675" s="117"/>
      <c r="AX6675" s="117"/>
      <c r="AY6675" s="117"/>
      <c r="AZ6675" s="117"/>
      <c r="BA6675" s="117"/>
      <c r="BB6675" s="117"/>
      <c r="BC6675" s="117"/>
      <c r="BD6675" s="117"/>
    </row>
    <row r="6676" spans="1:56" ht="15">
      <c r="A6676" s="114"/>
      <c r="B6676" s="717"/>
      <c r="C6676" s="451">
        <v>116024</v>
      </c>
      <c r="D6676" s="435" t="s">
        <v>12</v>
      </c>
      <c r="E6676" s="509" t="s">
        <v>1371</v>
      </c>
      <c r="F6676" s="510"/>
      <c r="G6676" s="196"/>
      <c r="H6676" s="196"/>
      <c r="I6676" s="196"/>
      <c r="J6676" s="114"/>
      <c r="AW6676" s="117"/>
      <c r="AX6676" s="117"/>
      <c r="AY6676" s="117"/>
      <c r="AZ6676" s="117"/>
      <c r="BA6676" s="117"/>
      <c r="BB6676" s="117"/>
      <c r="BC6676" s="117"/>
      <c r="BD6676" s="117"/>
    </row>
    <row r="6677" spans="1:56" ht="15">
      <c r="A6677" s="114"/>
      <c r="B6677" s="717"/>
      <c r="C6677" s="451">
        <v>16241</v>
      </c>
      <c r="D6677" s="435" t="s">
        <v>12</v>
      </c>
      <c r="E6677" s="509" t="s">
        <v>1372</v>
      </c>
      <c r="F6677" s="510"/>
      <c r="G6677" s="196"/>
      <c r="H6677" s="196"/>
      <c r="I6677" s="196"/>
      <c r="J6677" s="114"/>
      <c r="AW6677" s="117"/>
      <c r="AX6677" s="117"/>
      <c r="AY6677" s="117"/>
      <c r="AZ6677" s="117"/>
      <c r="BA6677" s="117"/>
      <c r="BB6677" s="117"/>
      <c r="BC6677" s="117"/>
      <c r="BD6677" s="117"/>
    </row>
    <row r="6678" spans="1:56" ht="15">
      <c r="A6678" s="114"/>
      <c r="B6678" s="1081"/>
      <c r="C6678" s="451">
        <v>33485</v>
      </c>
      <c r="D6678" s="435" t="s">
        <v>12</v>
      </c>
      <c r="E6678" s="509" t="s">
        <v>1363</v>
      </c>
      <c r="F6678" s="510"/>
      <c r="G6678" s="196"/>
      <c r="H6678" s="196"/>
      <c r="I6678" s="196"/>
      <c r="J6678" s="114"/>
      <c r="AW6678" s="117"/>
      <c r="AX6678" s="117"/>
      <c r="AY6678" s="117"/>
      <c r="AZ6678" s="117"/>
      <c r="BA6678" s="117"/>
      <c r="BB6678" s="117"/>
      <c r="BC6678" s="117"/>
      <c r="BD6678" s="117"/>
    </row>
    <row r="6679" spans="1:56" ht="15">
      <c r="A6679" s="114"/>
      <c r="B6679" s="694"/>
      <c r="C6679" s="196"/>
      <c r="D6679" s="196"/>
      <c r="E6679" s="771"/>
      <c r="F6679" s="772"/>
      <c r="G6679" s="196"/>
      <c r="H6679" s="196"/>
      <c r="I6679" s="196"/>
      <c r="J6679" s="114"/>
      <c r="AW6679" s="117"/>
      <c r="AX6679" s="117"/>
      <c r="AY6679" s="117"/>
      <c r="AZ6679" s="117"/>
      <c r="BA6679" s="117"/>
      <c r="BB6679" s="117"/>
      <c r="BC6679" s="117"/>
      <c r="BD6679" s="117"/>
    </row>
    <row r="6680" spans="1:56" ht="15">
      <c r="A6680" s="114"/>
      <c r="B6680" s="691" t="s">
        <v>2380</v>
      </c>
      <c r="C6680" s="196"/>
      <c r="D6680" s="196"/>
      <c r="E6680" s="771"/>
      <c r="F6680" s="772"/>
      <c r="G6680" s="196"/>
      <c r="H6680" s="196"/>
      <c r="I6680" s="196"/>
      <c r="J6680" s="114"/>
      <c r="AW6680" s="117"/>
      <c r="AX6680" s="117"/>
      <c r="AY6680" s="117"/>
      <c r="AZ6680" s="117"/>
      <c r="BA6680" s="117"/>
      <c r="BB6680" s="117"/>
      <c r="BC6680" s="117"/>
      <c r="BD6680" s="117"/>
    </row>
    <row r="6681" spans="1:56" ht="15">
      <c r="A6681" s="114"/>
      <c r="B6681" s="777" t="s">
        <v>102</v>
      </c>
      <c r="C6681" s="451">
        <v>12866</v>
      </c>
      <c r="D6681" s="390" t="s">
        <v>12</v>
      </c>
      <c r="E6681" s="1093" t="s">
        <v>2381</v>
      </c>
      <c r="F6681" s="1094"/>
      <c r="G6681" s="196"/>
      <c r="H6681" s="196"/>
      <c r="I6681" s="196"/>
      <c r="J6681" s="114"/>
      <c r="AW6681" s="117"/>
      <c r="AX6681" s="117"/>
      <c r="AY6681" s="117"/>
      <c r="AZ6681" s="117"/>
      <c r="BA6681" s="117"/>
      <c r="BB6681" s="117"/>
      <c r="BC6681" s="117"/>
      <c r="BD6681" s="117"/>
    </row>
    <row r="6682" spans="1:56" ht="15">
      <c r="A6682" s="114"/>
      <c r="B6682" s="694"/>
      <c r="C6682" s="196"/>
      <c r="D6682" s="196"/>
      <c r="E6682" s="771"/>
      <c r="F6682" s="772"/>
      <c r="G6682" s="196"/>
      <c r="H6682" s="196"/>
      <c r="I6682" s="196"/>
      <c r="J6682" s="114"/>
      <c r="AW6682" s="117"/>
      <c r="AX6682" s="117"/>
      <c r="AY6682" s="117"/>
      <c r="AZ6682" s="117"/>
      <c r="BA6682" s="117"/>
      <c r="BB6682" s="117"/>
      <c r="BC6682" s="117"/>
      <c r="BD6682" s="117"/>
    </row>
    <row r="6683" spans="1:56" ht="15">
      <c r="A6683" s="360" t="s">
        <v>1105</v>
      </c>
      <c r="B6683" s="691" t="s">
        <v>589</v>
      </c>
      <c r="C6683" s="196"/>
      <c r="D6683" s="196"/>
      <c r="E6683" s="196"/>
      <c r="F6683" s="284"/>
      <c r="G6683" s="196"/>
      <c r="H6683" s="196"/>
      <c r="I6683" s="196"/>
      <c r="J6683" s="114"/>
      <c r="BB6683" s="117"/>
      <c r="BC6683" s="117"/>
      <c r="BD6683" s="117"/>
    </row>
    <row r="6684" spans="1:56" ht="15">
      <c r="A6684" s="114"/>
      <c r="B6684" s="692" t="s">
        <v>400</v>
      </c>
      <c r="C6684" s="285">
        <v>38815</v>
      </c>
      <c r="D6684" s="286" t="s">
        <v>12</v>
      </c>
      <c r="E6684" s="1199" t="s">
        <v>1101</v>
      </c>
      <c r="F6684" s="1200"/>
      <c r="G6684" s="196"/>
      <c r="H6684" s="196"/>
      <c r="I6684" s="196"/>
      <c r="J6684" s="114"/>
      <c r="BB6684" s="117"/>
      <c r="BC6684" s="117"/>
      <c r="BD6684" s="117"/>
    </row>
    <row r="6685" spans="1:56" ht="15">
      <c r="A6685" s="114"/>
      <c r="B6685" s="692" t="s">
        <v>402</v>
      </c>
      <c r="C6685" s="285">
        <v>20374</v>
      </c>
      <c r="D6685" s="286" t="s">
        <v>12</v>
      </c>
      <c r="E6685" s="1216"/>
      <c r="F6685" s="1217"/>
      <c r="G6685" s="196"/>
      <c r="H6685" s="196"/>
      <c r="I6685" s="196"/>
      <c r="J6685" s="114"/>
      <c r="BB6685" s="117"/>
      <c r="BC6685" s="117"/>
      <c r="BD6685" s="117"/>
    </row>
    <row r="6686" spans="1:56" ht="15">
      <c r="A6686" s="360" t="s">
        <v>1105</v>
      </c>
      <c r="B6686" s="692" t="s">
        <v>403</v>
      </c>
      <c r="C6686" s="285">
        <v>363</v>
      </c>
      <c r="D6686" s="286" t="s">
        <v>12</v>
      </c>
      <c r="E6686" s="1201"/>
      <c r="F6686" s="1202"/>
      <c r="G6686" s="196"/>
      <c r="H6686" s="196"/>
      <c r="I6686" s="196"/>
      <c r="J6686" s="114"/>
      <c r="BB6686" s="117"/>
      <c r="BC6686" s="117"/>
      <c r="BD6686" s="117"/>
    </row>
    <row r="6687" spans="1:56" ht="15">
      <c r="A6687" s="114"/>
      <c r="B6687" s="1087"/>
      <c r="C6687" s="308"/>
      <c r="D6687" s="308"/>
      <c r="E6687" s="308"/>
      <c r="F6687" s="1088"/>
      <c r="G6687" s="196"/>
      <c r="H6687" s="196"/>
      <c r="I6687" s="196"/>
      <c r="J6687" s="114"/>
      <c r="BB6687" s="117"/>
      <c r="BC6687" s="117"/>
      <c r="BD6687" s="117"/>
    </row>
    <row r="6688" spans="1:56" ht="15">
      <c r="A6688" s="114"/>
      <c r="B6688" s="694"/>
      <c r="C6688" s="287"/>
      <c r="D6688" s="196"/>
      <c r="E6688" s="288"/>
      <c r="F6688" s="284"/>
      <c r="G6688" s="196"/>
      <c r="H6688" s="196"/>
      <c r="I6688" s="196"/>
      <c r="J6688" s="114"/>
      <c r="AW6688" s="117"/>
      <c r="AX6688" s="117"/>
      <c r="AY6688" s="117"/>
      <c r="AZ6688" s="117"/>
      <c r="BA6688" s="117"/>
      <c r="BB6688" s="117"/>
      <c r="BC6688" s="117"/>
      <c r="BD6688" s="117"/>
    </row>
    <row r="6689" spans="1:56" ht="15">
      <c r="A6689" s="114"/>
      <c r="B6689" s="691" t="s">
        <v>351</v>
      </c>
      <c r="C6689" s="287"/>
      <c r="D6689" s="196"/>
      <c r="E6689" s="288"/>
      <c r="F6689" s="284"/>
      <c r="G6689" s="196"/>
      <c r="H6689" s="196"/>
      <c r="I6689" s="196"/>
      <c r="J6689" s="114"/>
      <c r="AW6689" s="117"/>
      <c r="AX6689" s="117"/>
      <c r="AY6689" s="117"/>
      <c r="AZ6689" s="117"/>
      <c r="BA6689" s="117"/>
      <c r="BB6689" s="117"/>
      <c r="BC6689" s="117"/>
      <c r="BD6689" s="117"/>
    </row>
    <row r="6690" spans="1:56" ht="15">
      <c r="A6690" s="114"/>
      <c r="B6690" s="1083" t="s">
        <v>352</v>
      </c>
      <c r="C6690" s="172"/>
      <c r="D6690" s="173"/>
      <c r="E6690" s="291">
        <f>SUM(C6596:C6599,C6602,C6605:C6606,C6609,C6615:C6638,C6665:C6668,C6671:C6672,C6675:C6678,C6681,C6686)</f>
        <v>456083</v>
      </c>
      <c r="F6690" s="139" t="s">
        <v>12</v>
      </c>
      <c r="G6690" s="362"/>
      <c r="H6690" s="1031"/>
      <c r="I6690" s="362"/>
      <c r="J6690" s="114"/>
      <c r="AU6690" s="117"/>
      <c r="AV6690" s="117"/>
      <c r="AW6690" s="117"/>
      <c r="AX6690" s="117"/>
      <c r="AY6690" s="117"/>
      <c r="AZ6690" s="117"/>
      <c r="BA6690" s="117"/>
      <c r="BB6690" s="117"/>
      <c r="BC6690" s="117"/>
      <c r="BD6690" s="117"/>
    </row>
    <row r="6691" spans="1:56" thickBot="1">
      <c r="A6691" s="114"/>
      <c r="B6691" s="1084" t="s">
        <v>353</v>
      </c>
      <c r="C6691" s="174"/>
      <c r="D6691" s="176"/>
      <c r="E6691" s="428">
        <f>SUM(C6639:C6662,C6684:C6685)</f>
        <v>59385</v>
      </c>
      <c r="F6691" s="440" t="s">
        <v>12</v>
      </c>
      <c r="G6691" s="362"/>
      <c r="H6691" s="362"/>
      <c r="I6691" s="362"/>
      <c r="J6691" s="114"/>
      <c r="AU6691" s="117"/>
      <c r="AV6691" s="117"/>
      <c r="AW6691" s="117"/>
      <c r="AX6691" s="117"/>
      <c r="AY6691" s="117"/>
      <c r="AZ6691" s="117"/>
      <c r="BA6691" s="117"/>
      <c r="BB6691" s="117"/>
      <c r="BC6691" s="117"/>
      <c r="BD6691" s="117"/>
    </row>
    <row r="6692" spans="1:56" ht="15">
      <c r="A6692" s="114"/>
      <c r="B6692" s="288"/>
      <c r="C6692" s="230"/>
      <c r="D6692" s="230"/>
      <c r="E6692" s="384"/>
      <c r="F6692" s="196"/>
      <c r="G6692" s="196"/>
      <c r="H6692" s="196"/>
      <c r="I6692" s="196"/>
      <c r="J6692" s="114"/>
      <c r="AW6692" s="117"/>
      <c r="AX6692" s="117"/>
      <c r="AY6692" s="117"/>
      <c r="AZ6692" s="117"/>
      <c r="BA6692" s="117"/>
      <c r="BB6692" s="117"/>
      <c r="BC6692" s="117"/>
      <c r="BD6692" s="117"/>
    </row>
    <row r="6693" spans="1:56" thickBot="1">
      <c r="A6693" s="114"/>
      <c r="B6693" s="288"/>
      <c r="C6693" s="230"/>
      <c r="D6693" s="230"/>
      <c r="E6693" s="384"/>
      <c r="F6693" s="196"/>
      <c r="G6693" s="196"/>
      <c r="H6693" s="196"/>
      <c r="I6693" s="196"/>
      <c r="J6693" s="114"/>
      <c r="AW6693" s="117"/>
      <c r="AX6693" s="117"/>
      <c r="AY6693" s="117"/>
      <c r="AZ6693" s="117"/>
      <c r="BA6693" s="117"/>
      <c r="BB6693" s="117"/>
      <c r="BC6693" s="117"/>
      <c r="BD6693" s="117"/>
    </row>
    <row r="6694" spans="1:56" ht="24.75" thickTop="1" thickBot="1">
      <c r="A6694" s="114"/>
      <c r="B6694" s="563" t="s">
        <v>2013</v>
      </c>
      <c r="C6694" s="381"/>
      <c r="D6694" s="381"/>
      <c r="E6694" s="381"/>
      <c r="F6694" s="381"/>
      <c r="G6694" s="381"/>
      <c r="H6694" s="381"/>
      <c r="I6694" s="381"/>
      <c r="J6694" s="381"/>
    </row>
    <row r="6695" spans="1:56" thickTop="1">
      <c r="A6695" s="114"/>
      <c r="B6695" s="288"/>
      <c r="C6695" s="230"/>
      <c r="D6695" s="230"/>
      <c r="E6695" s="384"/>
      <c r="F6695" s="196"/>
      <c r="G6695" s="196"/>
      <c r="H6695" s="196"/>
      <c r="I6695" s="196"/>
      <c r="J6695" s="114"/>
      <c r="AW6695" s="117"/>
      <c r="AX6695" s="117"/>
      <c r="AY6695" s="117"/>
      <c r="AZ6695" s="117"/>
      <c r="BA6695" s="117"/>
      <c r="BB6695" s="117"/>
      <c r="BC6695" s="117"/>
      <c r="BD6695" s="117"/>
    </row>
    <row r="6696" spans="1:56" ht="17.25" customHeight="1">
      <c r="A6696" s="114"/>
      <c r="B6696" s="382" t="s">
        <v>2324</v>
      </c>
      <c r="C6696" s="382"/>
      <c r="D6696" s="382"/>
      <c r="E6696" s="382"/>
      <c r="F6696" s="382"/>
      <c r="G6696" s="382"/>
      <c r="H6696" s="383"/>
      <c r="I6696" s="383"/>
      <c r="J6696" s="351"/>
      <c r="AW6696" s="117"/>
      <c r="AX6696" s="117"/>
      <c r="AY6696" s="117"/>
      <c r="AZ6696" s="117"/>
      <c r="BA6696" s="117"/>
      <c r="BB6696" s="117"/>
      <c r="BC6696" s="117"/>
      <c r="BD6696" s="117"/>
    </row>
    <row r="6697" spans="1:56" ht="15">
      <c r="A6697" s="114"/>
      <c r="B6697" s="293"/>
      <c r="C6697" s="387"/>
      <c r="D6697" s="387"/>
      <c r="E6697" s="387"/>
      <c r="F6697" s="387"/>
      <c r="G6697" s="387"/>
      <c r="H6697" s="386"/>
      <c r="I6697" s="386"/>
      <c r="J6697" s="114"/>
      <c r="AW6697" s="117"/>
      <c r="AX6697" s="117"/>
      <c r="AY6697" s="117"/>
      <c r="AZ6697" s="117"/>
      <c r="BA6697" s="117"/>
      <c r="BB6697" s="117"/>
      <c r="BC6697" s="117"/>
      <c r="BD6697" s="117"/>
    </row>
    <row r="6698" spans="1:56" ht="15">
      <c r="A6698" s="114"/>
      <c r="B6698" s="288" t="s">
        <v>1787</v>
      </c>
      <c r="C6698" s="230"/>
      <c r="D6698" s="230"/>
      <c r="E6698" s="384"/>
      <c r="F6698" s="196"/>
      <c r="G6698" s="196"/>
      <c r="H6698" s="196"/>
      <c r="I6698" s="196"/>
      <c r="J6698" s="114"/>
      <c r="AW6698" s="117"/>
      <c r="AX6698" s="117"/>
      <c r="AY6698" s="117"/>
      <c r="AZ6698" s="117"/>
      <c r="BA6698" s="117"/>
      <c r="BB6698" s="117"/>
      <c r="BC6698" s="117"/>
      <c r="BD6698" s="117"/>
    </row>
    <row r="6699" spans="1:56" ht="15">
      <c r="A6699" s="114"/>
      <c r="B6699" s="288"/>
      <c r="C6699" s="230"/>
      <c r="D6699" s="230"/>
      <c r="E6699" s="384"/>
      <c r="F6699" s="196"/>
      <c r="G6699" s="196"/>
      <c r="H6699" s="196"/>
      <c r="I6699" s="196"/>
      <c r="J6699" s="114"/>
      <c r="AW6699" s="117"/>
      <c r="AX6699" s="117"/>
      <c r="AY6699" s="117"/>
      <c r="AZ6699" s="117"/>
      <c r="BA6699" s="117"/>
      <c r="BB6699" s="117"/>
      <c r="BC6699" s="117"/>
      <c r="BD6699" s="117"/>
    </row>
    <row r="6700" spans="1:56">
      <c r="A6700" s="114"/>
      <c r="B6700" s="385" t="s">
        <v>2012</v>
      </c>
      <c r="C6700" s="196"/>
      <c r="D6700" s="196"/>
      <c r="E6700" s="196"/>
      <c r="F6700" s="196"/>
      <c r="G6700" s="196"/>
      <c r="H6700" s="196"/>
      <c r="I6700" s="196"/>
      <c r="J6700" s="114"/>
      <c r="AW6700" s="117"/>
      <c r="AX6700" s="117"/>
      <c r="AY6700" s="117"/>
      <c r="AZ6700" s="117"/>
      <c r="BA6700" s="117"/>
      <c r="BB6700" s="117"/>
      <c r="BC6700" s="117"/>
      <c r="BD6700" s="117"/>
    </row>
    <row r="6701" spans="1:56" ht="15">
      <c r="A6701" s="114"/>
      <c r="B6701" s="196"/>
      <c r="C6701" s="196"/>
      <c r="D6701" s="196"/>
      <c r="E6701" s="196"/>
      <c r="F6701" s="196"/>
      <c r="G6701" s="196"/>
      <c r="H6701" s="196"/>
      <c r="I6701" s="196"/>
      <c r="J6701" s="114"/>
      <c r="AW6701" s="117"/>
      <c r="AX6701" s="117"/>
      <c r="AY6701" s="117"/>
      <c r="AZ6701" s="117"/>
      <c r="BA6701" s="117"/>
      <c r="BB6701" s="117"/>
      <c r="BC6701" s="117"/>
      <c r="BD6701" s="117"/>
    </row>
    <row r="6702" spans="1:56" ht="15">
      <c r="A6702" s="114"/>
      <c r="B6702" s="388" t="s">
        <v>1110</v>
      </c>
      <c r="C6702" s="389">
        <v>0.2</v>
      </c>
      <c r="D6702" s="390" t="s">
        <v>10</v>
      </c>
      <c r="E6702" s="196"/>
      <c r="F6702" s="196"/>
      <c r="G6702" s="392"/>
      <c r="H6702" s="393"/>
      <c r="I6702" s="196"/>
      <c r="J6702" s="114"/>
      <c r="AW6702" s="117"/>
      <c r="AX6702" s="117"/>
      <c r="AY6702" s="117"/>
      <c r="AZ6702" s="117"/>
      <c r="BA6702" s="117"/>
      <c r="BB6702" s="117"/>
      <c r="BC6702" s="117"/>
      <c r="BD6702" s="117"/>
    </row>
    <row r="6703" spans="1:56" ht="15">
      <c r="A6703" s="114"/>
      <c r="B6703" s="388" t="s">
        <v>1111</v>
      </c>
      <c r="C6703" s="448">
        <v>47.975000000000001</v>
      </c>
      <c r="D6703" s="390" t="s">
        <v>10</v>
      </c>
      <c r="E6703" s="196"/>
      <c r="F6703" s="196"/>
      <c r="G6703" s="392"/>
      <c r="H6703" s="393"/>
      <c r="I6703" s="196"/>
      <c r="J6703" s="114"/>
      <c r="AW6703" s="117"/>
      <c r="AX6703" s="117"/>
      <c r="AY6703" s="117"/>
      <c r="AZ6703" s="117"/>
      <c r="BA6703" s="117"/>
      <c r="BB6703" s="117"/>
      <c r="BC6703" s="117"/>
      <c r="BD6703" s="117"/>
    </row>
    <row r="6704" spans="1:56" ht="15">
      <c r="A6704" s="114"/>
      <c r="B6704" s="388" t="s">
        <v>1112</v>
      </c>
      <c r="C6704" s="389">
        <v>0.4</v>
      </c>
      <c r="D6704" s="390" t="s">
        <v>10</v>
      </c>
      <c r="E6704" s="196"/>
      <c r="F6704" s="196"/>
      <c r="G6704" s="392"/>
      <c r="H6704" s="393"/>
      <c r="I6704" s="196"/>
      <c r="J6704" s="114"/>
      <c r="AW6704" s="117"/>
      <c r="AX6704" s="117"/>
      <c r="AY6704" s="117"/>
      <c r="AZ6704" s="117"/>
      <c r="BA6704" s="117"/>
      <c r="BB6704" s="117"/>
      <c r="BC6704" s="117"/>
      <c r="BD6704" s="117"/>
    </row>
    <row r="6705" spans="1:56" ht="15">
      <c r="A6705" s="114"/>
      <c r="B6705" s="388" t="s">
        <v>1113</v>
      </c>
      <c r="C6705" s="389">
        <v>0.45</v>
      </c>
      <c r="D6705" s="390" t="s">
        <v>10</v>
      </c>
      <c r="E6705" s="196"/>
      <c r="F6705" s="196"/>
      <c r="G6705" s="392"/>
      <c r="H6705" s="394"/>
      <c r="I6705" s="196"/>
      <c r="J6705" s="114"/>
      <c r="AW6705" s="117"/>
      <c r="AX6705" s="117"/>
      <c r="AY6705" s="117"/>
      <c r="AZ6705" s="117"/>
      <c r="BA6705" s="117"/>
      <c r="BB6705" s="117"/>
      <c r="BC6705" s="117"/>
      <c r="BD6705" s="117"/>
    </row>
    <row r="6706" spans="1:56" ht="15">
      <c r="A6706" s="114"/>
      <c r="B6706" s="388" t="s">
        <v>1117</v>
      </c>
      <c r="C6706" s="389">
        <v>1</v>
      </c>
      <c r="D6706" s="390" t="s">
        <v>1118</v>
      </c>
      <c r="E6706" s="196"/>
      <c r="F6706" s="196"/>
      <c r="G6706" s="392"/>
      <c r="H6706" s="393"/>
      <c r="I6706" s="196"/>
      <c r="J6706" s="114"/>
      <c r="AW6706" s="117"/>
      <c r="AX6706" s="117"/>
      <c r="AY6706" s="117"/>
      <c r="AZ6706" s="117"/>
      <c r="BA6706" s="117"/>
      <c r="BB6706" s="117"/>
      <c r="BC6706" s="117"/>
      <c r="BD6706" s="117"/>
    </row>
    <row r="6707" spans="1:56" ht="15">
      <c r="A6707" s="114"/>
      <c r="B6707" s="392"/>
      <c r="C6707" s="393"/>
      <c r="D6707" s="196"/>
      <c r="E6707" s="196"/>
      <c r="F6707" s="196"/>
      <c r="G6707" s="392"/>
      <c r="H6707" s="393"/>
      <c r="I6707" s="196"/>
      <c r="J6707" s="114"/>
      <c r="AW6707" s="117"/>
      <c r="AX6707" s="117"/>
      <c r="AY6707" s="117"/>
      <c r="AZ6707" s="117"/>
      <c r="BA6707" s="117"/>
      <c r="BB6707" s="117"/>
      <c r="BC6707" s="117"/>
      <c r="BD6707" s="117"/>
    </row>
    <row r="6708" spans="1:56" ht="15">
      <c r="A6708" s="114"/>
      <c r="B6708" s="388" t="s">
        <v>1114</v>
      </c>
      <c r="C6708" s="389">
        <v>0.6</v>
      </c>
      <c r="D6708" s="390" t="s">
        <v>10</v>
      </c>
      <c r="E6708" s="288" t="s">
        <v>1120</v>
      </c>
      <c r="F6708" s="288"/>
      <c r="G6708" s="230"/>
      <c r="H6708" s="395"/>
      <c r="I6708" s="196"/>
      <c r="J6708" s="114"/>
      <c r="AW6708" s="117"/>
      <c r="AX6708" s="117"/>
      <c r="AY6708" s="117"/>
      <c r="AZ6708" s="117"/>
      <c r="BA6708" s="117"/>
      <c r="BB6708" s="117"/>
      <c r="BC6708" s="117"/>
      <c r="BD6708" s="117"/>
    </row>
    <row r="6709" spans="1:56" ht="15">
      <c r="A6709" s="114"/>
      <c r="B6709" s="388" t="s">
        <v>1114</v>
      </c>
      <c r="C6709" s="389">
        <v>0.2</v>
      </c>
      <c r="D6709" s="390" t="s">
        <v>10</v>
      </c>
      <c r="E6709" s="288" t="s">
        <v>1121</v>
      </c>
      <c r="F6709" s="288"/>
      <c r="G6709" s="230"/>
      <c r="H6709" s="395"/>
      <c r="I6709" s="196"/>
      <c r="J6709" s="114"/>
      <c r="AW6709" s="117"/>
      <c r="AX6709" s="117"/>
      <c r="AY6709" s="117"/>
      <c r="AZ6709" s="117"/>
      <c r="BA6709" s="117"/>
      <c r="BB6709" s="117"/>
      <c r="BC6709" s="117"/>
      <c r="BD6709" s="117"/>
    </row>
    <row r="6710" spans="1:56" ht="15">
      <c r="A6710" s="114"/>
      <c r="B6710" s="196"/>
      <c r="C6710" s="196"/>
      <c r="D6710" s="196"/>
      <c r="E6710" s="196"/>
      <c r="F6710" s="196"/>
      <c r="G6710" s="196"/>
      <c r="H6710" s="196"/>
      <c r="I6710" s="196"/>
      <c r="J6710" s="114"/>
      <c r="AW6710" s="117"/>
      <c r="AX6710" s="117"/>
      <c r="AY6710" s="117"/>
      <c r="AZ6710" s="117"/>
      <c r="BA6710" s="117"/>
      <c r="BB6710" s="117"/>
      <c r="BC6710" s="117"/>
      <c r="BD6710" s="117"/>
    </row>
    <row r="6711" spans="1:56" ht="15">
      <c r="A6711" s="114"/>
      <c r="B6711" s="303" t="s">
        <v>1122</v>
      </c>
      <c r="C6711" s="793"/>
      <c r="D6711" s="793"/>
      <c r="E6711" s="196"/>
      <c r="F6711" s="196"/>
      <c r="G6711" s="196"/>
      <c r="H6711" s="196"/>
      <c r="I6711" s="196"/>
      <c r="J6711" s="114"/>
      <c r="AW6711" s="117"/>
      <c r="AX6711" s="117"/>
      <c r="AY6711" s="117"/>
      <c r="AZ6711" s="117"/>
      <c r="BA6711" s="117"/>
      <c r="BB6711" s="117"/>
      <c r="BC6711" s="117"/>
      <c r="BD6711" s="117"/>
    </row>
    <row r="6712" spans="1:56" ht="14.25" customHeight="1">
      <c r="A6712" s="114"/>
      <c r="B6712" s="396" t="s">
        <v>1123</v>
      </c>
      <c r="C6712" s="289"/>
      <c r="D6712" s="290"/>
      <c r="E6712" s="397">
        <f>C6706*(C6708*2*(0.05+C6705+C6704)*C6703)</f>
        <v>51.813000000000002</v>
      </c>
      <c r="F6712" s="390" t="s">
        <v>1124</v>
      </c>
      <c r="G6712" s="196"/>
      <c r="H6712" s="196"/>
      <c r="I6712" s="196"/>
      <c r="J6712" s="114"/>
      <c r="AW6712" s="117"/>
      <c r="AX6712" s="117"/>
      <c r="AY6712" s="117"/>
      <c r="AZ6712" s="117"/>
      <c r="BA6712" s="117"/>
      <c r="BB6712" s="117"/>
      <c r="BC6712" s="117"/>
      <c r="BD6712" s="117"/>
    </row>
    <row r="6713" spans="1:56" ht="14.25" customHeight="1">
      <c r="A6713" s="114"/>
      <c r="B6713" s="398" t="s">
        <v>1125</v>
      </c>
      <c r="C6713" s="172"/>
      <c r="D6713" s="173"/>
      <c r="E6713" s="397">
        <f>E6712-(E6717+E6719)</f>
        <v>46.53575</v>
      </c>
      <c r="F6713" s="390" t="s">
        <v>1124</v>
      </c>
      <c r="G6713" s="196"/>
      <c r="H6713" s="196"/>
      <c r="I6713" s="196"/>
      <c r="J6713" s="114"/>
      <c r="AW6713" s="117"/>
      <c r="AX6713" s="117"/>
      <c r="AY6713" s="117"/>
      <c r="AZ6713" s="117"/>
      <c r="BA6713" s="117"/>
      <c r="BB6713" s="117"/>
      <c r="BC6713" s="117"/>
      <c r="BD6713" s="117"/>
    </row>
    <row r="6714" spans="1:56" ht="15">
      <c r="A6714" s="114"/>
      <c r="B6714" s="399" t="s">
        <v>1126</v>
      </c>
      <c r="C6714" s="317"/>
      <c r="D6714" s="318"/>
      <c r="E6714" s="400">
        <f>(2*C6709)*C6703</f>
        <v>19.190000000000001</v>
      </c>
      <c r="F6714" s="390" t="s">
        <v>13</v>
      </c>
      <c r="G6714" s="196"/>
      <c r="H6714" s="196"/>
      <c r="I6714" s="196"/>
      <c r="J6714" s="114"/>
      <c r="AW6714" s="117"/>
      <c r="AX6714" s="117"/>
      <c r="AY6714" s="117"/>
      <c r="AZ6714" s="117"/>
      <c r="BA6714" s="117"/>
      <c r="BB6714" s="117"/>
      <c r="BC6714" s="117"/>
      <c r="BD6714" s="117"/>
    </row>
    <row r="6715" spans="1:56" ht="15">
      <c r="A6715" s="114"/>
      <c r="B6715" s="196"/>
      <c r="C6715" s="196"/>
      <c r="D6715" s="196"/>
      <c r="E6715" s="401"/>
      <c r="F6715" s="196"/>
      <c r="G6715" s="196"/>
      <c r="H6715" s="196"/>
      <c r="I6715" s="196"/>
      <c r="J6715" s="114"/>
      <c r="AW6715" s="117"/>
      <c r="AX6715" s="117"/>
      <c r="AY6715" s="117"/>
      <c r="AZ6715" s="117"/>
      <c r="BA6715" s="117"/>
      <c r="BB6715" s="117"/>
      <c r="BC6715" s="117"/>
      <c r="BD6715" s="117"/>
    </row>
    <row r="6716" spans="1:56" ht="15">
      <c r="A6716" s="114"/>
      <c r="B6716" s="303" t="s">
        <v>1127</v>
      </c>
      <c r="C6716" s="196"/>
      <c r="D6716" s="196"/>
      <c r="E6716" s="401"/>
      <c r="F6716" s="196"/>
      <c r="G6716" s="196"/>
      <c r="H6716" s="196"/>
      <c r="I6716" s="196"/>
      <c r="J6716" s="114"/>
      <c r="AW6716" s="117"/>
      <c r="AX6716" s="117"/>
      <c r="AY6716" s="117"/>
      <c r="AZ6716" s="117"/>
      <c r="BA6716" s="117"/>
      <c r="BB6716" s="117"/>
      <c r="BC6716" s="117"/>
      <c r="BD6716" s="117"/>
    </row>
    <row r="6717" spans="1:56" ht="13.5" customHeight="1">
      <c r="A6717" s="114"/>
      <c r="B6717" s="398" t="s">
        <v>1128</v>
      </c>
      <c r="C6717" s="172"/>
      <c r="D6717" s="173"/>
      <c r="E6717" s="402">
        <f>E6714*0.05</f>
        <v>0.95950000000000013</v>
      </c>
      <c r="F6717" s="390" t="s">
        <v>1124</v>
      </c>
      <c r="G6717" s="196"/>
      <c r="H6717" s="196"/>
      <c r="I6717" s="196"/>
      <c r="J6717" s="114"/>
      <c r="AW6717" s="117"/>
      <c r="AX6717" s="117"/>
      <c r="AY6717" s="117"/>
      <c r="AZ6717" s="117"/>
      <c r="BA6717" s="117"/>
      <c r="BB6717" s="117"/>
      <c r="BC6717" s="117"/>
      <c r="BD6717" s="117"/>
    </row>
    <row r="6718" spans="1:56" ht="15">
      <c r="A6718" s="114"/>
      <c r="B6718" s="398" t="s">
        <v>1129</v>
      </c>
      <c r="C6718" s="172"/>
      <c r="D6718" s="173"/>
      <c r="E6718" s="397">
        <f>C6705*2*C6703</f>
        <v>43.177500000000002</v>
      </c>
      <c r="F6718" s="390" t="s">
        <v>13</v>
      </c>
      <c r="G6718" s="393" t="s">
        <v>1108</v>
      </c>
      <c r="H6718" s="196" t="s">
        <v>1131</v>
      </c>
      <c r="I6718" s="393"/>
      <c r="J6718" s="114"/>
      <c r="AW6718" s="117"/>
      <c r="AX6718" s="117"/>
      <c r="AY6718" s="117"/>
      <c r="AZ6718" s="117"/>
      <c r="BA6718" s="117"/>
      <c r="BB6718" s="117"/>
      <c r="BC6718" s="117"/>
      <c r="BD6718" s="117"/>
    </row>
    <row r="6719" spans="1:56" ht="12.75" customHeight="1">
      <c r="A6719" s="114"/>
      <c r="B6719" s="398" t="s">
        <v>1130</v>
      </c>
      <c r="C6719" s="172"/>
      <c r="D6719" s="173"/>
      <c r="E6719" s="402">
        <f>C6702*C6703*C6705</f>
        <v>4.3177500000000002</v>
      </c>
      <c r="F6719" s="390" t="s">
        <v>1124</v>
      </c>
      <c r="G6719" s="196"/>
      <c r="H6719" s="196"/>
      <c r="I6719" s="196"/>
      <c r="J6719" s="114"/>
      <c r="AW6719" s="117"/>
      <c r="AX6719" s="117"/>
      <c r="AY6719" s="117"/>
      <c r="AZ6719" s="117"/>
      <c r="BA6719" s="117"/>
      <c r="BB6719" s="117"/>
      <c r="BC6719" s="117"/>
      <c r="BD6719" s="117"/>
    </row>
    <row r="6720" spans="1:56" ht="15">
      <c r="A6720" s="114"/>
      <c r="B6720" s="288"/>
      <c r="C6720" s="230"/>
      <c r="D6720" s="230"/>
      <c r="E6720" s="384"/>
      <c r="F6720" s="196"/>
      <c r="G6720" s="196"/>
      <c r="H6720" s="196"/>
      <c r="I6720" s="196"/>
      <c r="J6720" s="114"/>
      <c r="AW6720" s="117"/>
      <c r="AX6720" s="117"/>
      <c r="AY6720" s="117"/>
      <c r="AZ6720" s="117"/>
      <c r="BA6720" s="117"/>
      <c r="BB6720" s="117"/>
      <c r="BC6720" s="117"/>
      <c r="BD6720" s="117"/>
    </row>
    <row r="6721" spans="1:56" ht="15">
      <c r="A6721" s="114"/>
      <c r="B6721" s="288"/>
      <c r="C6721" s="230"/>
      <c r="D6721" s="230"/>
      <c r="E6721" s="384"/>
      <c r="F6721" s="196"/>
      <c r="G6721" s="196"/>
      <c r="H6721" s="196"/>
      <c r="I6721" s="196"/>
      <c r="J6721" s="114"/>
      <c r="AW6721" s="117"/>
      <c r="AX6721" s="117"/>
      <c r="AY6721" s="117"/>
      <c r="AZ6721" s="117"/>
      <c r="BA6721" s="117"/>
      <c r="BB6721" s="117"/>
      <c r="BC6721" s="117"/>
      <c r="BD6721" s="117"/>
    </row>
    <row r="6722" spans="1:56" customFormat="1" ht="12.75">
      <c r="B6722" s="793"/>
      <c r="C6722" s="793"/>
      <c r="D6722" s="793"/>
      <c r="E6722" s="793"/>
      <c r="F6722" s="793"/>
      <c r="G6722" s="793"/>
      <c r="H6722" s="793"/>
      <c r="I6722" s="793"/>
      <c r="J6722" s="793"/>
    </row>
    <row r="6723" spans="1:56">
      <c r="A6723" s="114"/>
      <c r="B6723" s="385" t="s">
        <v>1223</v>
      </c>
      <c r="C6723" s="196"/>
      <c r="D6723" s="196"/>
      <c r="E6723" s="196"/>
      <c r="F6723" s="196"/>
      <c r="G6723" s="196"/>
      <c r="H6723" s="196"/>
      <c r="I6723" s="196"/>
      <c r="J6723" s="196"/>
      <c r="AX6723" s="117"/>
      <c r="AY6723" s="117"/>
      <c r="AZ6723" s="117"/>
      <c r="BA6723" s="117"/>
      <c r="BB6723" s="117"/>
      <c r="BC6723" s="117"/>
      <c r="BD6723" s="117"/>
    </row>
    <row r="6724" spans="1:56" ht="15">
      <c r="A6724" s="114"/>
      <c r="B6724" s="793"/>
      <c r="C6724" s="793"/>
      <c r="D6724" s="793"/>
      <c r="E6724" s="793"/>
      <c r="F6724" s="404"/>
      <c r="G6724" s="404"/>
      <c r="H6724" s="404"/>
      <c r="I6724" s="404"/>
      <c r="J6724" s="404"/>
      <c r="AX6724" s="117"/>
      <c r="AY6724" s="117"/>
      <c r="AZ6724" s="117"/>
      <c r="BA6724" s="117"/>
      <c r="BB6724" s="117"/>
      <c r="BC6724" s="117"/>
      <c r="BD6724" s="117"/>
    </row>
    <row r="6725" spans="1:56" ht="18">
      <c r="A6725" s="114"/>
      <c r="B6725" s="388" t="s">
        <v>1141</v>
      </c>
      <c r="C6725" s="389">
        <v>0.2</v>
      </c>
      <c r="D6725" s="390" t="s">
        <v>10</v>
      </c>
      <c r="E6725" s="196"/>
      <c r="F6725" s="405"/>
      <c r="G6725" s="406" t="s">
        <v>1142</v>
      </c>
      <c r="H6725" s="407">
        <f>C6725*C6726</f>
        <v>0.06</v>
      </c>
      <c r="I6725" s="405" t="s">
        <v>1143</v>
      </c>
      <c r="J6725" s="405"/>
      <c r="AX6725" s="117"/>
      <c r="AY6725" s="117"/>
      <c r="AZ6725" s="117"/>
      <c r="BA6725" s="117"/>
      <c r="BB6725" s="117"/>
      <c r="BC6725" s="117"/>
      <c r="BD6725" s="117"/>
    </row>
    <row r="6726" spans="1:56" ht="15">
      <c r="A6726" s="114"/>
      <c r="B6726" s="388" t="s">
        <v>1144</v>
      </c>
      <c r="C6726" s="389">
        <v>0.3</v>
      </c>
      <c r="D6726" s="390" t="s">
        <v>10</v>
      </c>
      <c r="E6726" s="196"/>
      <c r="F6726" s="405"/>
      <c r="G6726" s="406" t="e">
        <f>TEXT(C6733,"tg 0°=")</f>
        <v>#VALUE!</v>
      </c>
      <c r="H6726" s="408">
        <f>TAN(3.14159265359*C6733/180)</f>
        <v>1.732050807569153</v>
      </c>
      <c r="I6726" s="405"/>
      <c r="J6726" s="405"/>
      <c r="AX6726" s="117"/>
      <c r="AY6726" s="117"/>
      <c r="AZ6726" s="117"/>
      <c r="BA6726" s="117"/>
      <c r="BB6726" s="117"/>
      <c r="BC6726" s="117"/>
      <c r="BD6726" s="117"/>
    </row>
    <row r="6727" spans="1:56" ht="15">
      <c r="A6727" s="114"/>
      <c r="B6727" s="388" t="s">
        <v>1145</v>
      </c>
      <c r="C6727" s="389">
        <v>0.5</v>
      </c>
      <c r="D6727" s="390" t="s">
        <v>10</v>
      </c>
      <c r="E6727" s="196"/>
      <c r="F6727" s="405"/>
      <c r="G6727" s="406"/>
      <c r="H6727" s="407"/>
      <c r="I6727" s="405"/>
      <c r="J6727" s="405"/>
      <c r="AX6727" s="117"/>
      <c r="AY6727" s="117"/>
      <c r="AZ6727" s="117"/>
      <c r="BA6727" s="117"/>
      <c r="BB6727" s="117"/>
      <c r="BC6727" s="117"/>
      <c r="BD6727" s="117"/>
    </row>
    <row r="6728" spans="1:56" ht="18">
      <c r="A6728" s="114"/>
      <c r="B6728" s="388" t="s">
        <v>1146</v>
      </c>
      <c r="C6728" s="389">
        <v>0.5</v>
      </c>
      <c r="D6728" s="390" t="s">
        <v>10</v>
      </c>
      <c r="E6728" s="196"/>
      <c r="F6728" s="405"/>
      <c r="G6728" s="406" t="s">
        <v>1142</v>
      </c>
      <c r="H6728" s="409">
        <f>(C6727+2*C6735+((C6729+C6730+0.05)/H6726)*2)*(C6728+2*C6735+((C6729+C6730+0.05)/H6726)*2)</f>
        <v>8.6634603522541767</v>
      </c>
      <c r="I6728" s="405" t="s">
        <v>1143</v>
      </c>
      <c r="J6728" s="405"/>
      <c r="AX6728" s="117"/>
      <c r="AY6728" s="117"/>
      <c r="AZ6728" s="117"/>
      <c r="BA6728" s="117"/>
      <c r="BB6728" s="117"/>
      <c r="BC6728" s="117"/>
      <c r="BD6728" s="117"/>
    </row>
    <row r="6729" spans="1:56" ht="18">
      <c r="A6729" s="114"/>
      <c r="B6729" s="388" t="s">
        <v>1112</v>
      </c>
      <c r="C6729" s="389">
        <v>0.4</v>
      </c>
      <c r="D6729" s="390" t="s">
        <v>10</v>
      </c>
      <c r="E6729" s="196"/>
      <c r="F6729" s="405"/>
      <c r="G6729" s="406" t="s">
        <v>1147</v>
      </c>
      <c r="H6729" s="409">
        <f>(C6727+2*C6735)*(C6728+2*C6735)</f>
        <v>2.25</v>
      </c>
      <c r="I6729" s="405" t="s">
        <v>1143</v>
      </c>
      <c r="J6729" s="405"/>
      <c r="AX6729" s="117"/>
      <c r="AY6729" s="117"/>
      <c r="AZ6729" s="117"/>
      <c r="BA6729" s="117"/>
      <c r="BB6729" s="117"/>
      <c r="BC6729" s="117"/>
      <c r="BD6729" s="117"/>
    </row>
    <row r="6730" spans="1:56" ht="15">
      <c r="A6730" s="114"/>
      <c r="B6730" s="388" t="s">
        <v>1113</v>
      </c>
      <c r="C6730" s="389">
        <v>0.8</v>
      </c>
      <c r="D6730" s="390" t="s">
        <v>10</v>
      </c>
      <c r="E6730" s="196"/>
      <c r="F6730" s="405"/>
      <c r="G6730" s="406"/>
      <c r="H6730" s="407"/>
      <c r="I6730" s="405"/>
      <c r="J6730" s="405"/>
      <c r="AX6730" s="117"/>
      <c r="AY6730" s="117"/>
      <c r="AZ6730" s="117"/>
      <c r="BA6730" s="117"/>
      <c r="BB6730" s="117"/>
      <c r="BC6730" s="117"/>
      <c r="BD6730" s="117"/>
    </row>
    <row r="6731" spans="1:56" ht="15">
      <c r="A6731" s="114"/>
      <c r="B6731" s="388" t="s">
        <v>1117</v>
      </c>
      <c r="C6731" s="391">
        <v>8</v>
      </c>
      <c r="D6731" s="390" t="s">
        <v>1118</v>
      </c>
      <c r="E6731" s="196"/>
      <c r="F6731" s="405"/>
      <c r="G6731" s="406"/>
      <c r="H6731" s="407"/>
      <c r="I6731" s="405"/>
      <c r="J6731" s="405"/>
      <c r="AX6731" s="117"/>
      <c r="AY6731" s="117"/>
      <c r="AZ6731" s="117"/>
      <c r="BA6731" s="117"/>
      <c r="BB6731" s="117"/>
      <c r="BC6731" s="117"/>
      <c r="BD6731" s="117"/>
    </row>
    <row r="6732" spans="1:56" ht="15">
      <c r="A6732" s="114"/>
      <c r="B6732" s="196" t="s">
        <v>1148</v>
      </c>
      <c r="C6732" s="393"/>
      <c r="D6732" s="196"/>
      <c r="E6732" s="196"/>
      <c r="F6732" s="405"/>
      <c r="G6732" s="406"/>
      <c r="H6732" s="407"/>
      <c r="I6732" s="405"/>
      <c r="J6732" s="405"/>
      <c r="AX6732" s="117"/>
      <c r="AY6732" s="117"/>
      <c r="AZ6732" s="117"/>
      <c r="BA6732" s="117"/>
      <c r="BB6732" s="117"/>
      <c r="BC6732" s="117"/>
      <c r="BD6732" s="117"/>
    </row>
    <row r="6733" spans="1:56" ht="15">
      <c r="A6733" s="114"/>
      <c r="B6733" s="388" t="s">
        <v>1149</v>
      </c>
      <c r="C6733" s="389">
        <v>60</v>
      </c>
      <c r="D6733" s="390" t="s">
        <v>1150</v>
      </c>
      <c r="E6733" s="196"/>
      <c r="F6733" s="196"/>
      <c r="G6733" s="392"/>
      <c r="H6733" s="393"/>
      <c r="I6733" s="196"/>
      <c r="J6733" s="196"/>
      <c r="AX6733" s="117"/>
      <c r="AY6733" s="117"/>
      <c r="AZ6733" s="117"/>
      <c r="BA6733" s="117"/>
      <c r="BB6733" s="117"/>
      <c r="BC6733" s="117"/>
      <c r="BD6733" s="117"/>
    </row>
    <row r="6734" spans="1:56" ht="15">
      <c r="A6734" s="114"/>
      <c r="B6734" s="793"/>
      <c r="C6734" s="196"/>
      <c r="D6734" s="196"/>
      <c r="E6734" s="196"/>
      <c r="F6734" s="196"/>
      <c r="G6734" s="793"/>
      <c r="H6734" s="793"/>
      <c r="I6734" s="793"/>
      <c r="J6734" s="196"/>
      <c r="AX6734" s="117"/>
      <c r="AY6734" s="117"/>
      <c r="AZ6734" s="117"/>
      <c r="BA6734" s="117"/>
      <c r="BB6734" s="117"/>
      <c r="BC6734" s="117"/>
      <c r="BD6734" s="117"/>
    </row>
    <row r="6735" spans="1:56" ht="15">
      <c r="A6735" s="114"/>
      <c r="B6735" s="388" t="s">
        <v>1114</v>
      </c>
      <c r="C6735" s="389">
        <v>0.5</v>
      </c>
      <c r="D6735" s="390" t="s">
        <v>10</v>
      </c>
      <c r="E6735" s="288" t="s">
        <v>1120</v>
      </c>
      <c r="F6735" s="196"/>
      <c r="G6735" s="196" t="s">
        <v>1131</v>
      </c>
      <c r="H6735" s="114"/>
      <c r="I6735" s="793"/>
      <c r="J6735" s="196"/>
      <c r="AX6735" s="117"/>
      <c r="AY6735" s="117"/>
      <c r="AZ6735" s="117"/>
      <c r="BA6735" s="117"/>
      <c r="BB6735" s="117"/>
      <c r="BC6735" s="117"/>
      <c r="BD6735" s="117"/>
    </row>
    <row r="6736" spans="1:56" ht="15">
      <c r="A6736" s="114"/>
      <c r="B6736" s="388" t="s">
        <v>1114</v>
      </c>
      <c r="C6736" s="389">
        <v>0.1</v>
      </c>
      <c r="D6736" s="390" t="s">
        <v>10</v>
      </c>
      <c r="E6736" s="288" t="s">
        <v>1121</v>
      </c>
      <c r="F6736" s="196"/>
      <c r="G6736" s="196"/>
      <c r="H6736" s="196"/>
      <c r="I6736" s="196"/>
      <c r="J6736" s="196"/>
      <c r="AX6736" s="117"/>
      <c r="AY6736" s="117"/>
      <c r="AZ6736" s="117"/>
      <c r="BA6736" s="117"/>
      <c r="BB6736" s="117"/>
      <c r="BC6736" s="117"/>
      <c r="BD6736" s="117"/>
    </row>
    <row r="6737" spans="1:56" ht="15">
      <c r="A6737" s="114"/>
      <c r="B6737" s="793"/>
      <c r="C6737" s="793"/>
      <c r="D6737" s="793"/>
      <c r="E6737" s="793"/>
      <c r="F6737" s="793"/>
      <c r="G6737" s="114"/>
      <c r="H6737" s="793"/>
      <c r="I6737" s="196"/>
      <c r="J6737" s="196"/>
      <c r="AX6737" s="117"/>
      <c r="AY6737" s="117"/>
      <c r="AZ6737" s="117"/>
      <c r="BA6737" s="117"/>
      <c r="BB6737" s="117"/>
      <c r="BC6737" s="117"/>
      <c r="BD6737" s="117"/>
    </row>
    <row r="6738" spans="1:56" ht="15">
      <c r="A6738" s="114"/>
      <c r="B6738" s="303" t="s">
        <v>1122</v>
      </c>
      <c r="C6738" s="793"/>
      <c r="D6738" s="793"/>
      <c r="E6738" s="793"/>
      <c r="F6738" s="793"/>
      <c r="G6738" s="196"/>
      <c r="H6738" s="196"/>
      <c r="I6738" s="196"/>
      <c r="J6738" s="196"/>
      <c r="AX6738" s="117"/>
      <c r="AY6738" s="117"/>
      <c r="AZ6738" s="117"/>
      <c r="BA6738" s="117"/>
      <c r="BB6738" s="117"/>
      <c r="BC6738" s="117"/>
      <c r="BD6738" s="117"/>
    </row>
    <row r="6739" spans="1:56" ht="18">
      <c r="A6739" s="114"/>
      <c r="B6739" s="398" t="s">
        <v>1123</v>
      </c>
      <c r="C6739" s="172"/>
      <c r="D6739" s="173"/>
      <c r="E6739" s="397">
        <f>C6731*((H6729+H6728)/2)*(C6729+C6730+0.05)</f>
        <v>54.56730176127089</v>
      </c>
      <c r="F6739" s="390" t="s">
        <v>1124</v>
      </c>
      <c r="G6739" s="196"/>
      <c r="H6739" s="793"/>
      <c r="I6739" s="793"/>
      <c r="J6739" s="793"/>
      <c r="AX6739" s="117"/>
      <c r="AY6739" s="117"/>
      <c r="AZ6739" s="117"/>
      <c r="BA6739" s="117"/>
      <c r="BB6739" s="117"/>
      <c r="BC6739" s="117"/>
      <c r="BD6739" s="117"/>
    </row>
    <row r="6740" spans="1:56" ht="18">
      <c r="A6740" s="114"/>
      <c r="B6740" s="398" t="s">
        <v>1125</v>
      </c>
      <c r="C6740" s="172"/>
      <c r="D6740" s="173"/>
      <c r="E6740" s="400">
        <f>E6739-(E6751+E6753)</f>
        <v>52.771301761270891</v>
      </c>
      <c r="F6740" s="390" t="s">
        <v>1124</v>
      </c>
      <c r="G6740" s="196"/>
      <c r="H6740" s="196"/>
      <c r="I6740" s="196"/>
      <c r="J6740" s="196"/>
      <c r="AX6740" s="117"/>
      <c r="AY6740" s="117"/>
      <c r="AZ6740" s="117"/>
      <c r="BA6740" s="117"/>
      <c r="BB6740" s="117"/>
      <c r="BC6740" s="117"/>
      <c r="BD6740" s="117"/>
    </row>
    <row r="6741" spans="1:56" ht="15">
      <c r="A6741" s="114"/>
      <c r="B6741" s="398" t="s">
        <v>1126</v>
      </c>
      <c r="C6741" s="172"/>
      <c r="D6741" s="173"/>
      <c r="E6741" s="400">
        <f>((C6727+2*C6736)*(C6728+2*C6736))*C6731</f>
        <v>3.9199999999999995</v>
      </c>
      <c r="F6741" s="390" t="s">
        <v>13</v>
      </c>
      <c r="G6741" s="793"/>
      <c r="H6741" s="793"/>
      <c r="I6741" s="793"/>
      <c r="J6741" s="793"/>
      <c r="AX6741" s="117"/>
      <c r="AY6741" s="117"/>
      <c r="AZ6741" s="117"/>
      <c r="BA6741" s="117"/>
      <c r="BB6741" s="117"/>
      <c r="BC6741" s="117"/>
      <c r="BD6741" s="117"/>
    </row>
    <row r="6742" spans="1:56" ht="15">
      <c r="A6742" s="114"/>
      <c r="B6742" s="793"/>
      <c r="C6742" s="793"/>
      <c r="D6742" s="793"/>
      <c r="E6742" s="401"/>
      <c r="F6742" s="196"/>
      <c r="G6742" s="793"/>
      <c r="H6742" s="793"/>
      <c r="I6742" s="793"/>
      <c r="J6742" s="793"/>
      <c r="AX6742" s="117"/>
      <c r="AY6742" s="117"/>
      <c r="AZ6742" s="117"/>
      <c r="BA6742" s="117"/>
      <c r="BB6742" s="117"/>
      <c r="BC6742" s="117"/>
      <c r="BD6742" s="117"/>
    </row>
    <row r="6743" spans="1:56" ht="15">
      <c r="A6743" s="114"/>
      <c r="B6743" s="303" t="s">
        <v>1162</v>
      </c>
      <c r="C6743" s="793"/>
      <c r="D6743" s="793"/>
      <c r="E6743" s="410"/>
      <c r="F6743" s="793"/>
      <c r="G6743" s="793"/>
      <c r="H6743" s="793"/>
      <c r="I6743" s="793"/>
      <c r="J6743" s="793"/>
      <c r="AX6743" s="117"/>
      <c r="AY6743" s="117"/>
      <c r="AZ6743" s="117"/>
      <c r="BA6743" s="117"/>
      <c r="BB6743" s="117"/>
      <c r="BC6743" s="117"/>
      <c r="BD6743" s="117"/>
    </row>
    <row r="6744" spans="1:56" ht="15">
      <c r="A6744" s="114"/>
      <c r="B6744" s="398" t="s">
        <v>1152</v>
      </c>
      <c r="C6744" s="398"/>
      <c r="D6744" s="724"/>
      <c r="E6744" s="411">
        <v>1</v>
      </c>
      <c r="F6744" s="390" t="s">
        <v>1153</v>
      </c>
      <c r="G6744" s="793"/>
      <c r="H6744" s="793"/>
      <c r="I6744" s="793"/>
      <c r="J6744" s="793"/>
      <c r="AX6744" s="117"/>
      <c r="AY6744" s="117"/>
      <c r="AZ6744" s="117"/>
      <c r="BA6744" s="117"/>
      <c r="BB6744" s="117"/>
      <c r="BC6744" s="117"/>
      <c r="BD6744" s="117"/>
    </row>
    <row r="6745" spans="1:56" ht="15">
      <c r="A6745" s="114"/>
      <c r="B6745" s="399" t="s">
        <v>1154</v>
      </c>
      <c r="C6745" s="31"/>
      <c r="D6745" s="32"/>
      <c r="E6745" s="412">
        <f>C6731*E6744</f>
        <v>8</v>
      </c>
      <c r="F6745" s="390" t="s">
        <v>1153</v>
      </c>
      <c r="G6745" s="793"/>
      <c r="H6745" s="793"/>
      <c r="I6745" s="793"/>
      <c r="J6745" s="793"/>
      <c r="AX6745" s="117"/>
      <c r="AY6745" s="117"/>
      <c r="AZ6745" s="117"/>
      <c r="BA6745" s="117"/>
      <c r="BB6745" s="117"/>
      <c r="BC6745" s="117"/>
      <c r="BD6745" s="117"/>
    </row>
    <row r="6746" spans="1:56" ht="15">
      <c r="A6746" s="114"/>
      <c r="B6746" s="398" t="s">
        <v>1155</v>
      </c>
      <c r="C6746" s="21"/>
      <c r="D6746" s="413"/>
      <c r="E6746" s="411">
        <v>250</v>
      </c>
      <c r="F6746" s="390" t="s">
        <v>1156</v>
      </c>
      <c r="G6746" s="793"/>
      <c r="H6746" s="414"/>
      <c r="I6746" s="793"/>
      <c r="J6746" s="415"/>
      <c r="AX6746" s="117"/>
      <c r="AY6746" s="117"/>
      <c r="AZ6746" s="117"/>
      <c r="BA6746" s="117"/>
      <c r="BB6746" s="117"/>
      <c r="BC6746" s="117"/>
      <c r="BD6746" s="117"/>
    </row>
    <row r="6747" spans="1:56" ht="15">
      <c r="A6747" s="114"/>
      <c r="B6747" s="398" t="s">
        <v>1157</v>
      </c>
      <c r="C6747" s="21"/>
      <c r="D6747" s="413"/>
      <c r="E6747" s="411">
        <v>12</v>
      </c>
      <c r="F6747" s="390" t="s">
        <v>10</v>
      </c>
      <c r="G6747" s="793"/>
      <c r="H6747" s="6"/>
      <c r="I6747" s="793"/>
      <c r="J6747" s="793"/>
      <c r="AX6747" s="117"/>
      <c r="AY6747" s="117"/>
      <c r="AZ6747" s="117"/>
      <c r="BA6747" s="117"/>
      <c r="BB6747" s="117"/>
      <c r="BC6747" s="117"/>
      <c r="BD6747" s="117"/>
    </row>
    <row r="6748" spans="1:56" ht="15">
      <c r="A6748" s="114"/>
      <c r="B6748" s="398" t="s">
        <v>1158</v>
      </c>
      <c r="C6748" s="21"/>
      <c r="D6748" s="413"/>
      <c r="E6748" s="412">
        <f>E6745*E6747</f>
        <v>96</v>
      </c>
      <c r="F6748" s="390" t="s">
        <v>10</v>
      </c>
      <c r="G6748" s="793"/>
      <c r="H6748" s="793"/>
      <c r="I6748" s="793"/>
      <c r="J6748" s="793"/>
      <c r="AX6748" s="117"/>
      <c r="AY6748" s="117"/>
      <c r="AZ6748" s="117"/>
      <c r="BA6748" s="117"/>
      <c r="BB6748" s="117"/>
      <c r="BC6748" s="117"/>
      <c r="BD6748" s="117"/>
    </row>
    <row r="6749" spans="1:56" ht="15">
      <c r="A6749" s="114"/>
      <c r="B6749" s="793"/>
      <c r="C6749" s="793"/>
      <c r="D6749" s="793"/>
      <c r="E6749" s="410"/>
      <c r="F6749" s="793"/>
      <c r="G6749" s="793"/>
      <c r="H6749" s="793"/>
      <c r="I6749" s="793"/>
      <c r="J6749" s="793"/>
      <c r="AX6749" s="117"/>
      <c r="AY6749" s="117"/>
      <c r="AZ6749" s="117"/>
      <c r="BA6749" s="117"/>
      <c r="BB6749" s="117"/>
      <c r="BC6749" s="117"/>
      <c r="BD6749" s="117"/>
    </row>
    <row r="6750" spans="1:56" ht="15">
      <c r="A6750" s="114"/>
      <c r="B6750" s="303" t="s">
        <v>1160</v>
      </c>
      <c r="C6750" s="793"/>
      <c r="D6750" s="793"/>
      <c r="E6750" s="410"/>
      <c r="F6750" s="793"/>
      <c r="G6750" s="793"/>
      <c r="H6750" s="793"/>
      <c r="I6750" s="793"/>
      <c r="J6750" s="793"/>
      <c r="AX6750" s="117"/>
      <c r="AY6750" s="117"/>
      <c r="AZ6750" s="117"/>
      <c r="BA6750" s="117"/>
      <c r="BB6750" s="117"/>
      <c r="BC6750" s="117"/>
      <c r="BD6750" s="117"/>
    </row>
    <row r="6751" spans="1:56" ht="18">
      <c r="A6751" s="114"/>
      <c r="B6751" s="398" t="s">
        <v>1128</v>
      </c>
      <c r="C6751" s="172"/>
      <c r="D6751" s="173"/>
      <c r="E6751" s="402">
        <f>E6741*0.05</f>
        <v>0.19599999999999998</v>
      </c>
      <c r="F6751" s="390" t="s">
        <v>1124</v>
      </c>
      <c r="G6751" s="793"/>
      <c r="H6751" s="793"/>
      <c r="I6751" s="793"/>
      <c r="J6751" s="793"/>
      <c r="AX6751" s="117"/>
      <c r="AY6751" s="117"/>
      <c r="AZ6751" s="117"/>
      <c r="BA6751" s="117"/>
      <c r="BB6751" s="117"/>
      <c r="BC6751" s="117"/>
      <c r="BD6751" s="117"/>
    </row>
    <row r="6752" spans="1:56" ht="15">
      <c r="A6752" s="114"/>
      <c r="B6752" s="398" t="s">
        <v>1129</v>
      </c>
      <c r="C6752" s="172"/>
      <c r="D6752" s="173"/>
      <c r="E6752" s="397">
        <f>(2*(C6727+C6728)*C6730)*C6731</f>
        <v>12.8</v>
      </c>
      <c r="F6752" s="390" t="s">
        <v>13</v>
      </c>
      <c r="G6752" s="793"/>
      <c r="H6752" s="793"/>
      <c r="I6752" s="793"/>
      <c r="J6752" s="793"/>
      <c r="AX6752" s="117"/>
      <c r="AY6752" s="117"/>
      <c r="AZ6752" s="117"/>
      <c r="BA6752" s="117"/>
      <c r="BB6752" s="117"/>
      <c r="BC6752" s="117"/>
      <c r="BD6752" s="117"/>
    </row>
    <row r="6753" spans="1:56" ht="18">
      <c r="A6753" s="114"/>
      <c r="B6753" s="398" t="s">
        <v>1130</v>
      </c>
      <c r="C6753" s="172"/>
      <c r="D6753" s="173"/>
      <c r="E6753" s="402">
        <f>(C6727*C6728*C6730)*C6731</f>
        <v>1.6</v>
      </c>
      <c r="F6753" s="390" t="s">
        <v>1124</v>
      </c>
      <c r="G6753" s="793"/>
      <c r="H6753" s="793"/>
      <c r="I6753" s="793"/>
      <c r="J6753" s="793"/>
      <c r="AX6753" s="117"/>
      <c r="AY6753" s="117"/>
      <c r="AZ6753" s="117"/>
      <c r="BA6753" s="117"/>
      <c r="BB6753" s="117"/>
      <c r="BC6753" s="117"/>
      <c r="BD6753" s="117"/>
    </row>
    <row r="6754" spans="1:56" ht="15">
      <c r="A6754" s="114"/>
      <c r="B6754" s="196"/>
      <c r="C6754" s="196"/>
      <c r="D6754" s="196"/>
      <c r="E6754" s="196"/>
      <c r="F6754" s="196"/>
      <c r="G6754" s="196"/>
      <c r="H6754" s="196"/>
      <c r="I6754" s="196"/>
      <c r="J6754" s="114"/>
      <c r="AW6754" s="117"/>
      <c r="AX6754" s="117"/>
      <c r="AY6754" s="117"/>
      <c r="AZ6754" s="117"/>
      <c r="BA6754" s="117"/>
      <c r="BB6754" s="117"/>
      <c r="BC6754" s="117"/>
      <c r="BD6754" s="117"/>
    </row>
    <row r="6755" spans="1:56" ht="15">
      <c r="A6755" s="114"/>
      <c r="B6755" s="196"/>
      <c r="C6755" s="196"/>
      <c r="D6755" s="196"/>
      <c r="E6755" s="196"/>
      <c r="F6755" s="196"/>
      <c r="G6755" s="196"/>
      <c r="H6755" s="196"/>
      <c r="I6755" s="196"/>
      <c r="J6755" s="114"/>
      <c r="AW6755" s="117"/>
      <c r="AX6755" s="117"/>
      <c r="AY6755" s="117"/>
      <c r="AZ6755" s="117"/>
      <c r="BA6755" s="117"/>
      <c r="BB6755" s="117"/>
      <c r="BC6755" s="117"/>
      <c r="BD6755" s="117"/>
    </row>
    <row r="6756" spans="1:56" customFormat="1" ht="13.5" thickBot="1">
      <c r="B6756" s="793"/>
      <c r="C6756" s="793"/>
      <c r="D6756" s="793"/>
      <c r="E6756" s="793"/>
      <c r="F6756" s="793"/>
      <c r="G6756" s="793"/>
      <c r="H6756" s="793"/>
      <c r="I6756" s="793"/>
      <c r="J6756" s="793"/>
    </row>
    <row r="6757" spans="1:56">
      <c r="A6757" s="114"/>
      <c r="B6757" s="702" t="s">
        <v>1189</v>
      </c>
      <c r="C6757" s="282"/>
      <c r="D6757" s="282"/>
      <c r="E6757" s="282"/>
      <c r="F6757" s="283"/>
      <c r="G6757" s="793"/>
      <c r="H6757" s="793"/>
      <c r="I6757" s="793"/>
      <c r="J6757" s="114"/>
      <c r="AU6757" s="117"/>
      <c r="AV6757" s="117"/>
      <c r="AW6757" s="117"/>
      <c r="AX6757" s="117"/>
      <c r="AY6757" s="117"/>
      <c r="AZ6757" s="117"/>
      <c r="BA6757" s="117"/>
      <c r="BB6757" s="117"/>
      <c r="BC6757" s="117"/>
      <c r="BD6757" s="117"/>
    </row>
    <row r="6758" spans="1:56" ht="15">
      <c r="A6758" s="114"/>
      <c r="B6758" s="693"/>
      <c r="C6758" s="196"/>
      <c r="D6758" s="196"/>
      <c r="E6758" s="196"/>
      <c r="F6758" s="284"/>
      <c r="G6758" s="793"/>
      <c r="H6758" s="793"/>
      <c r="I6758" s="793"/>
      <c r="J6758" s="114"/>
      <c r="AU6758" s="117"/>
      <c r="AV6758" s="117"/>
      <c r="AW6758" s="117"/>
      <c r="AX6758" s="117"/>
      <c r="AY6758" s="117"/>
      <c r="AZ6758" s="117"/>
      <c r="BA6758" s="117"/>
      <c r="BB6758" s="117"/>
      <c r="BC6758" s="117"/>
      <c r="BD6758" s="117"/>
    </row>
    <row r="6759" spans="1:56" ht="15">
      <c r="A6759" s="114"/>
      <c r="B6759" s="691" t="s">
        <v>1122</v>
      </c>
      <c r="C6759" s="410"/>
      <c r="D6759" s="1008"/>
      <c r="E6759" s="1008"/>
      <c r="F6759" s="424"/>
      <c r="G6759" s="793"/>
      <c r="H6759" s="793"/>
      <c r="I6759" s="793"/>
      <c r="J6759" s="114"/>
      <c r="AU6759" s="117"/>
      <c r="AV6759" s="117"/>
      <c r="AW6759" s="117"/>
      <c r="AX6759" s="117"/>
      <c r="AY6759" s="117"/>
      <c r="AZ6759" s="117"/>
      <c r="BA6759" s="117"/>
      <c r="BB6759" s="117"/>
      <c r="BC6759" s="117"/>
      <c r="BD6759" s="117"/>
    </row>
    <row r="6760" spans="1:56" ht="18">
      <c r="A6760" s="114"/>
      <c r="B6760" s="1011" t="s">
        <v>1123</v>
      </c>
      <c r="C6760" s="172"/>
      <c r="D6760" s="173"/>
      <c r="E6760" s="880">
        <f>E6712+E6739</f>
        <v>106.38030176127089</v>
      </c>
      <c r="F6760" s="139" t="s">
        <v>1124</v>
      </c>
      <c r="G6760" s="793"/>
      <c r="H6760" s="793"/>
      <c r="I6760" s="793"/>
      <c r="J6760" s="114"/>
      <c r="AU6760" s="117"/>
      <c r="AV6760" s="117"/>
      <c r="AW6760" s="117"/>
      <c r="AX6760" s="117"/>
      <c r="AY6760" s="117"/>
      <c r="AZ6760" s="117"/>
      <c r="BA6760" s="117"/>
      <c r="BB6760" s="117"/>
      <c r="BC6760" s="117"/>
      <c r="BD6760" s="117"/>
    </row>
    <row r="6761" spans="1:56" ht="18">
      <c r="A6761" s="114"/>
      <c r="B6761" s="1011" t="s">
        <v>1190</v>
      </c>
      <c r="C6761" s="172"/>
      <c r="D6761" s="173"/>
      <c r="E6761" s="446">
        <f>E6713+E6740</f>
        <v>99.307051761270884</v>
      </c>
      <c r="F6761" s="139" t="s">
        <v>1124</v>
      </c>
      <c r="G6761" s="793"/>
      <c r="H6761" s="793"/>
      <c r="I6761" s="793"/>
      <c r="J6761" s="114"/>
      <c r="AU6761" s="117"/>
      <c r="AV6761" s="117"/>
      <c r="AW6761" s="117"/>
      <c r="AX6761" s="117"/>
      <c r="AY6761" s="117"/>
      <c r="AZ6761" s="117"/>
      <c r="BA6761" s="117"/>
      <c r="BB6761" s="117"/>
      <c r="BC6761" s="117"/>
      <c r="BD6761" s="117"/>
    </row>
    <row r="6762" spans="1:56" ht="15">
      <c r="A6762" s="114"/>
      <c r="B6762" s="1011" t="s">
        <v>1191</v>
      </c>
      <c r="C6762" s="172"/>
      <c r="D6762" s="173"/>
      <c r="E6762" s="446">
        <f>E6714+E6741</f>
        <v>23.11</v>
      </c>
      <c r="F6762" s="139" t="s">
        <v>13</v>
      </c>
      <c r="G6762" s="793"/>
      <c r="H6762" s="793"/>
      <c r="I6762" s="793"/>
      <c r="J6762" s="114"/>
      <c r="AU6762" s="117"/>
      <c r="AV6762" s="117"/>
      <c r="AW6762" s="117"/>
      <c r="AX6762" s="117"/>
      <c r="AY6762" s="117"/>
      <c r="AZ6762" s="117"/>
      <c r="BA6762" s="117"/>
      <c r="BB6762" s="117"/>
      <c r="BC6762" s="117"/>
      <c r="BD6762" s="117"/>
    </row>
    <row r="6763" spans="1:56" ht="15">
      <c r="A6763" s="114"/>
      <c r="B6763" s="40"/>
      <c r="C6763" s="1008"/>
      <c r="D6763" s="1008"/>
      <c r="E6763" s="401"/>
      <c r="F6763" s="284"/>
      <c r="G6763" s="793"/>
      <c r="H6763" s="793"/>
      <c r="I6763" s="793"/>
      <c r="J6763" s="114"/>
      <c r="AU6763" s="117"/>
      <c r="AV6763" s="117"/>
      <c r="AW6763" s="117"/>
      <c r="AX6763" s="117"/>
      <c r="AY6763" s="117"/>
      <c r="AZ6763" s="117"/>
      <c r="BA6763" s="117"/>
      <c r="BB6763" s="117"/>
      <c r="BC6763" s="117"/>
      <c r="BD6763" s="117"/>
    </row>
    <row r="6764" spans="1:56" ht="18">
      <c r="A6764" s="114"/>
      <c r="B6764" s="1011" t="s">
        <v>317</v>
      </c>
      <c r="C6764" s="172"/>
      <c r="D6764" s="173"/>
      <c r="E6764" s="425">
        <f>E6717+E6751</f>
        <v>1.1555000000000002</v>
      </c>
      <c r="F6764" s="139" t="s">
        <v>1124</v>
      </c>
      <c r="G6764" s="196"/>
      <c r="H6764" s="196"/>
      <c r="I6764" s="196"/>
      <c r="J6764" s="114"/>
      <c r="AU6764" s="117"/>
      <c r="AV6764" s="117"/>
      <c r="AW6764" s="117"/>
      <c r="AX6764" s="117"/>
      <c r="AY6764" s="117"/>
      <c r="AZ6764" s="117"/>
      <c r="BA6764" s="117"/>
      <c r="BB6764" s="117"/>
      <c r="BC6764" s="117"/>
      <c r="BD6764" s="117"/>
    </row>
    <row r="6765" spans="1:56" ht="15">
      <c r="A6765" s="114"/>
      <c r="B6765" s="1011" t="s">
        <v>1192</v>
      </c>
      <c r="C6765" s="172"/>
      <c r="D6765" s="173"/>
      <c r="E6765" s="425">
        <f>E6718+E6752</f>
        <v>55.977500000000006</v>
      </c>
      <c r="F6765" s="139" t="s">
        <v>13</v>
      </c>
      <c r="G6765" s="196"/>
      <c r="H6765" s="196"/>
      <c r="I6765" s="196"/>
      <c r="J6765" s="114"/>
      <c r="AU6765" s="117"/>
      <c r="AV6765" s="117"/>
      <c r="AW6765" s="117"/>
      <c r="AX6765" s="117"/>
      <c r="AY6765" s="117"/>
      <c r="AZ6765" s="117"/>
      <c r="BA6765" s="117"/>
      <c r="BB6765" s="117"/>
      <c r="BC6765" s="117"/>
      <c r="BD6765" s="117"/>
    </row>
    <row r="6766" spans="1:56" ht="18">
      <c r="A6766" s="114"/>
      <c r="B6766" s="1011" t="s">
        <v>316</v>
      </c>
      <c r="C6766" s="172"/>
      <c r="D6766" s="173"/>
      <c r="E6766" s="425">
        <f>E6719+E6753</f>
        <v>5.9177499999999998</v>
      </c>
      <c r="F6766" s="139" t="s">
        <v>1124</v>
      </c>
      <c r="G6766" s="196"/>
      <c r="H6766" s="196"/>
      <c r="I6766" s="196"/>
      <c r="J6766" s="114"/>
      <c r="AU6766" s="117"/>
      <c r="AV6766" s="117"/>
      <c r="AW6766" s="117"/>
      <c r="AX6766" s="117"/>
      <c r="AY6766" s="117"/>
      <c r="AZ6766" s="117"/>
      <c r="BA6766" s="117"/>
      <c r="BB6766" s="117"/>
      <c r="BC6766" s="117"/>
      <c r="BD6766" s="117"/>
    </row>
    <row r="6767" spans="1:56">
      <c r="A6767" s="114"/>
      <c r="B6767" s="690"/>
      <c r="C6767" s="115"/>
      <c r="D6767" s="115"/>
      <c r="E6767" s="115"/>
      <c r="F6767" s="182"/>
      <c r="G6767" s="793"/>
      <c r="H6767" s="793"/>
      <c r="I6767" s="793"/>
      <c r="J6767" s="114"/>
      <c r="AU6767" s="117"/>
      <c r="AV6767" s="117"/>
      <c r="AW6767" s="117"/>
      <c r="AX6767" s="117"/>
      <c r="AY6767" s="117"/>
      <c r="AZ6767" s="117"/>
      <c r="BA6767" s="117"/>
      <c r="BB6767" s="117"/>
      <c r="BC6767" s="117"/>
      <c r="BD6767" s="117"/>
    </row>
    <row r="6768" spans="1:56">
      <c r="A6768" s="114"/>
      <c r="B6768" s="1028" t="s">
        <v>1193</v>
      </c>
      <c r="C6768" s="181"/>
      <c r="D6768" s="452" t="s">
        <v>1194</v>
      </c>
      <c r="E6768" s="452" t="s">
        <v>67</v>
      </c>
      <c r="F6768" s="182"/>
      <c r="G6768" s="793"/>
      <c r="H6768" s="793"/>
      <c r="I6768" s="793"/>
      <c r="J6768" s="114"/>
      <c r="AU6768" s="117"/>
      <c r="AV6768" s="117"/>
      <c r="AW6768" s="117"/>
      <c r="AX6768" s="117"/>
      <c r="AY6768" s="117"/>
      <c r="AZ6768" s="117"/>
      <c r="BA6768" s="117"/>
      <c r="BB6768" s="117"/>
      <c r="BC6768" s="117"/>
      <c r="BD6768" s="117"/>
    </row>
    <row r="6769" spans="1:56">
      <c r="A6769" s="114"/>
      <c r="B6769" s="777" t="s">
        <v>2112</v>
      </c>
      <c r="C6769" s="181"/>
      <c r="D6769" s="291">
        <f>E6748</f>
        <v>96</v>
      </c>
      <c r="E6769" s="427">
        <f>E6745</f>
        <v>8</v>
      </c>
      <c r="F6769" s="182"/>
      <c r="G6769" s="793"/>
      <c r="H6769" s="793"/>
      <c r="I6769" s="793"/>
      <c r="J6769" s="114"/>
      <c r="AU6769" s="117"/>
      <c r="AV6769" s="117"/>
      <c r="AW6769" s="117"/>
      <c r="AX6769" s="117"/>
      <c r="AY6769" s="117"/>
      <c r="AZ6769" s="117"/>
      <c r="BA6769" s="117"/>
      <c r="BB6769" s="117"/>
      <c r="BC6769" s="117"/>
      <c r="BD6769" s="117"/>
    </row>
    <row r="6770" spans="1:56">
      <c r="A6770" s="114"/>
      <c r="B6770" s="694"/>
      <c r="C6770" s="1008"/>
      <c r="D6770" s="430"/>
      <c r="E6770" s="430"/>
      <c r="F6770" s="182"/>
      <c r="G6770" s="1008"/>
      <c r="H6770" s="1008"/>
      <c r="I6770" s="1008"/>
      <c r="J6770" s="114"/>
      <c r="AU6770" s="117"/>
      <c r="AV6770" s="117"/>
      <c r="AW6770" s="117"/>
      <c r="AX6770" s="117"/>
      <c r="AY6770" s="117"/>
      <c r="AZ6770" s="117"/>
      <c r="BA6770" s="117"/>
      <c r="BB6770" s="117"/>
      <c r="BC6770" s="117"/>
      <c r="BD6770" s="117"/>
    </row>
    <row r="6771" spans="1:56" thickBot="1">
      <c r="A6771" s="114"/>
      <c r="B6771" s="1023" t="s">
        <v>102</v>
      </c>
      <c r="C6771" s="1016">
        <v>416</v>
      </c>
      <c r="D6771" s="1024" t="s">
        <v>12</v>
      </c>
      <c r="E6771" s="1191" t="s">
        <v>2292</v>
      </c>
      <c r="F6771" s="1192"/>
      <c r="G6771" s="1008"/>
      <c r="H6771" s="1008"/>
      <c r="I6771" s="1008"/>
      <c r="J6771" s="114"/>
      <c r="AU6771" s="117"/>
      <c r="AV6771" s="117"/>
      <c r="AW6771" s="117"/>
      <c r="AX6771" s="117"/>
      <c r="AY6771" s="117"/>
      <c r="AZ6771" s="117"/>
      <c r="BA6771" s="117"/>
      <c r="BB6771" s="117"/>
      <c r="BC6771" s="117"/>
      <c r="BD6771" s="117"/>
    </row>
    <row r="6772" spans="1:56">
      <c r="A6772" s="114"/>
      <c r="B6772" s="288"/>
      <c r="C6772" s="793"/>
      <c r="D6772" s="430"/>
      <c r="E6772" s="430"/>
      <c r="F6772" s="115"/>
      <c r="G6772" s="793"/>
      <c r="H6772" s="793"/>
      <c r="I6772" s="793"/>
      <c r="J6772" s="114"/>
      <c r="AU6772" s="117"/>
      <c r="AV6772" s="117"/>
      <c r="AW6772" s="117"/>
      <c r="AX6772" s="117"/>
      <c r="AY6772" s="117"/>
      <c r="AZ6772" s="117"/>
      <c r="BA6772" s="117"/>
      <c r="BB6772" s="117"/>
      <c r="BC6772" s="117"/>
      <c r="BD6772" s="117"/>
    </row>
    <row r="6773" spans="1:56" customFormat="1" ht="13.5" thickBot="1">
      <c r="B6773" s="793"/>
      <c r="C6773" s="793"/>
      <c r="D6773" s="793"/>
      <c r="E6773" s="793"/>
      <c r="F6773" s="793"/>
      <c r="G6773" s="793"/>
      <c r="H6773" s="793"/>
      <c r="I6773" s="793"/>
      <c r="J6773" s="793"/>
    </row>
    <row r="6774" spans="1:56">
      <c r="A6774" s="114"/>
      <c r="B6774" s="702" t="s">
        <v>320</v>
      </c>
      <c r="C6774" s="282"/>
      <c r="D6774" s="282"/>
      <c r="E6774" s="282"/>
      <c r="F6774" s="283"/>
      <c r="G6774" s="196"/>
      <c r="H6774" s="196"/>
      <c r="I6774" s="196"/>
      <c r="J6774" s="114"/>
      <c r="AW6774" s="117"/>
      <c r="AX6774" s="117"/>
      <c r="AY6774" s="117"/>
      <c r="AZ6774" s="117"/>
      <c r="BA6774" s="117"/>
      <c r="BB6774" s="117"/>
      <c r="BC6774" s="117"/>
      <c r="BD6774" s="117"/>
    </row>
    <row r="6775" spans="1:56" ht="15">
      <c r="A6775" s="114"/>
      <c r="B6775" s="693"/>
      <c r="C6775" s="196"/>
      <c r="D6775" s="196"/>
      <c r="E6775" s="196"/>
      <c r="F6775" s="284"/>
      <c r="G6775" s="196"/>
      <c r="H6775" s="196"/>
      <c r="I6775" s="196"/>
      <c r="J6775" s="114"/>
      <c r="AW6775" s="117"/>
      <c r="AX6775" s="117"/>
      <c r="AY6775" s="117"/>
      <c r="AZ6775" s="117"/>
      <c r="BA6775" s="117"/>
      <c r="BB6775" s="117"/>
      <c r="BC6775" s="117"/>
      <c r="BD6775" s="117"/>
    </row>
    <row r="6776" spans="1:56" customFormat="1" ht="12.75">
      <c r="B6776" s="40"/>
      <c r="C6776" s="975"/>
      <c r="D6776" s="975"/>
      <c r="E6776" s="975"/>
      <c r="F6776" s="424"/>
      <c r="G6776" s="793"/>
      <c r="H6776" s="793"/>
      <c r="I6776" s="793"/>
      <c r="J6776" s="793"/>
    </row>
    <row r="6777" spans="1:56" customFormat="1" ht="15">
      <c r="B6777" s="691" t="s">
        <v>351</v>
      </c>
      <c r="C6777" s="975"/>
      <c r="D6777" s="975"/>
      <c r="E6777" s="975"/>
      <c r="F6777" s="424"/>
      <c r="G6777" s="793"/>
      <c r="H6777" s="793"/>
      <c r="I6777" s="793"/>
      <c r="J6777" s="793"/>
    </row>
    <row r="6778" spans="1:56" thickBot="1">
      <c r="A6778" s="114"/>
      <c r="B6778" s="976" t="s">
        <v>352</v>
      </c>
      <c r="C6778" s="174"/>
      <c r="D6778" s="176"/>
      <c r="E6778" s="477">
        <f>SUM(C6771:C6771)</f>
        <v>416</v>
      </c>
      <c r="F6778" s="440" t="s">
        <v>12</v>
      </c>
      <c r="G6778" s="793"/>
      <c r="H6778" s="793"/>
      <c r="I6778" s="793"/>
      <c r="J6778" s="114"/>
      <c r="AU6778" s="117"/>
      <c r="AV6778" s="117"/>
      <c r="AW6778" s="117"/>
      <c r="AX6778" s="117"/>
      <c r="AY6778" s="117"/>
      <c r="AZ6778" s="117"/>
      <c r="BA6778" s="117"/>
      <c r="BB6778" s="117"/>
      <c r="BC6778" s="117"/>
      <c r="BD6778" s="117"/>
    </row>
    <row r="6779" spans="1:56" customFormat="1" ht="12.75"/>
    <row r="6781" spans="1:56" ht="18" customHeight="1">
      <c r="A6781" s="114"/>
      <c r="B6781" s="760" t="s">
        <v>2282</v>
      </c>
      <c r="C6781" s="382"/>
      <c r="D6781" s="382"/>
      <c r="E6781" s="382"/>
      <c r="F6781" s="382"/>
      <c r="G6781" s="382"/>
      <c r="H6781" s="383"/>
      <c r="I6781" s="383"/>
      <c r="J6781" s="351"/>
      <c r="AW6781" s="117"/>
      <c r="AX6781" s="117"/>
      <c r="AY6781" s="117"/>
      <c r="AZ6781" s="117"/>
      <c r="BA6781" s="117"/>
      <c r="BB6781" s="117"/>
      <c r="BC6781" s="117"/>
      <c r="BD6781" s="117"/>
    </row>
    <row r="6782" spans="1:56" ht="15">
      <c r="A6782" s="114"/>
      <c r="B6782" s="293"/>
      <c r="C6782" s="387"/>
      <c r="D6782" s="387"/>
      <c r="E6782" s="387"/>
      <c r="F6782" s="387"/>
      <c r="G6782" s="387"/>
      <c r="H6782" s="386"/>
      <c r="I6782" s="386"/>
      <c r="J6782" s="114"/>
      <c r="AW6782" s="117"/>
      <c r="AX6782" s="117"/>
      <c r="AY6782" s="117"/>
      <c r="AZ6782" s="117"/>
      <c r="BA6782" s="117"/>
      <c r="BB6782" s="117"/>
      <c r="BC6782" s="117"/>
      <c r="BD6782" s="117"/>
    </row>
    <row r="6783" spans="1:56" s="800" customFormat="1" ht="14.25" customHeight="1">
      <c r="A6783"/>
      <c r="B6783" s="1"/>
      <c r="C6783" s="1"/>
      <c r="D6783" s="1"/>
      <c r="E6783" s="1"/>
      <c r="F6783" s="1"/>
      <c r="G6783" s="1"/>
      <c r="H6783" s="3"/>
      <c r="I6783" s="3"/>
      <c r="J6783" s="3"/>
      <c r="K6783" s="848"/>
    </row>
    <row r="6784" spans="1:56" s="800" customFormat="1" ht="15">
      <c r="A6784"/>
      <c r="B6784" s="303" t="s">
        <v>2066</v>
      </c>
      <c r="C6784" s="196"/>
      <c r="D6784" s="196"/>
      <c r="E6784" s="196"/>
      <c r="F6784" s="196"/>
      <c r="G6784" s="196"/>
      <c r="H6784" s="196"/>
      <c r="I6784" s="196"/>
      <c r="J6784" s="196"/>
      <c r="K6784" s="848"/>
    </row>
    <row r="6785" spans="1:11" s="800" customFormat="1" ht="15">
      <c r="A6785"/>
      <c r="B6785" s="196"/>
      <c r="C6785" s="196"/>
      <c r="D6785" s="196"/>
      <c r="E6785" s="196"/>
      <c r="F6785" s="196"/>
      <c r="G6785" s="196"/>
      <c r="H6785" s="196"/>
      <c r="I6785" s="196"/>
      <c r="J6785" s="196"/>
      <c r="K6785" s="848"/>
    </row>
    <row r="6786" spans="1:11" s="800" customFormat="1" ht="15">
      <c r="A6786"/>
      <c r="B6786" s="873" t="s">
        <v>1110</v>
      </c>
      <c r="C6786" s="874">
        <v>0.3</v>
      </c>
      <c r="D6786" s="390" t="s">
        <v>10</v>
      </c>
      <c r="E6786" s="196"/>
      <c r="F6786" s="196"/>
      <c r="G6786" s="392"/>
      <c r="H6786" s="393"/>
      <c r="I6786" s="196"/>
      <c r="J6786" s="196"/>
      <c r="K6786" s="848"/>
    </row>
    <row r="6787" spans="1:11" s="800" customFormat="1" ht="15">
      <c r="A6787"/>
      <c r="B6787" s="873" t="s">
        <v>1111</v>
      </c>
      <c r="C6787" s="874">
        <v>36.4</v>
      </c>
      <c r="D6787" s="390" t="s">
        <v>10</v>
      </c>
      <c r="E6787" s="196"/>
      <c r="F6787" s="196"/>
      <c r="G6787" s="392"/>
      <c r="H6787" s="393"/>
      <c r="I6787" s="196"/>
      <c r="J6787" s="196"/>
      <c r="K6787" s="848"/>
    </row>
    <row r="6788" spans="1:11" s="800" customFormat="1" ht="15">
      <c r="A6788"/>
      <c r="B6788" s="873" t="s">
        <v>1112</v>
      </c>
      <c r="C6788" s="874">
        <v>0.1</v>
      </c>
      <c r="D6788" s="390" t="s">
        <v>10</v>
      </c>
      <c r="E6788" s="196"/>
      <c r="F6788" s="196"/>
      <c r="G6788" s="392"/>
      <c r="H6788" s="393"/>
      <c r="I6788" s="196"/>
      <c r="J6788" s="196"/>
      <c r="K6788" s="848"/>
    </row>
    <row r="6789" spans="1:11" s="800" customFormat="1" ht="15">
      <c r="A6789"/>
      <c r="B6789" s="873" t="s">
        <v>1113</v>
      </c>
      <c r="C6789" s="874">
        <v>0.5</v>
      </c>
      <c r="D6789" s="390" t="s">
        <v>10</v>
      </c>
      <c r="E6789" s="196"/>
      <c r="F6789" s="196"/>
      <c r="G6789" s="392"/>
      <c r="H6789" s="394"/>
      <c r="I6789" s="196"/>
      <c r="J6789" s="196"/>
      <c r="K6789" s="848"/>
    </row>
    <row r="6790" spans="1:11" s="800" customFormat="1" ht="15">
      <c r="A6790"/>
      <c r="B6790" s="873" t="s">
        <v>1117</v>
      </c>
      <c r="C6790" s="874">
        <v>1</v>
      </c>
      <c r="D6790" s="390" t="s">
        <v>1118</v>
      </c>
      <c r="E6790" s="196"/>
      <c r="F6790" s="196"/>
      <c r="G6790" s="392"/>
      <c r="H6790" s="393"/>
      <c r="I6790" s="196"/>
      <c r="J6790" s="196"/>
      <c r="K6790" s="848"/>
    </row>
    <row r="6791" spans="1:11" s="800" customFormat="1" ht="15">
      <c r="A6791"/>
      <c r="B6791" s="392"/>
      <c r="C6791" s="393"/>
      <c r="D6791" s="196"/>
      <c r="E6791" s="196"/>
      <c r="F6791" s="196"/>
      <c r="G6791" s="392"/>
      <c r="H6791" s="393"/>
      <c r="I6791" s="196"/>
      <c r="J6791" s="196"/>
      <c r="K6791" s="848"/>
    </row>
    <row r="6792" spans="1:11" s="800" customFormat="1" ht="15">
      <c r="A6792"/>
      <c r="B6792" s="390" t="s">
        <v>1114</v>
      </c>
      <c r="C6792" s="389">
        <v>0.5</v>
      </c>
      <c r="D6792" s="390" t="s">
        <v>10</v>
      </c>
      <c r="E6792" s="288" t="s">
        <v>1120</v>
      </c>
      <c r="F6792" s="288"/>
      <c r="G6792" s="230"/>
      <c r="H6792" s="395"/>
      <c r="I6792" s="196"/>
      <c r="J6792" s="196"/>
      <c r="K6792" s="848"/>
    </row>
    <row r="6793" spans="1:11" s="800" customFormat="1" ht="15">
      <c r="A6793"/>
      <c r="B6793" s="390" t="s">
        <v>1114</v>
      </c>
      <c r="C6793" s="389">
        <v>0.1</v>
      </c>
      <c r="D6793" s="390" t="s">
        <v>10</v>
      </c>
      <c r="E6793" s="288" t="s">
        <v>1121</v>
      </c>
      <c r="F6793" s="288"/>
      <c r="G6793" s="230"/>
      <c r="H6793" s="395"/>
      <c r="I6793" s="196"/>
      <c r="J6793" s="196"/>
      <c r="K6793" s="848"/>
    </row>
    <row r="6794" spans="1:11" s="800" customFormat="1" ht="15">
      <c r="A6794"/>
      <c r="B6794" s="196"/>
      <c r="C6794" s="196"/>
      <c r="D6794" s="196"/>
      <c r="E6794" s="196"/>
      <c r="F6794" s="196"/>
      <c r="G6794" s="196"/>
      <c r="H6794" s="196"/>
      <c r="I6794" s="196"/>
      <c r="J6794" s="196"/>
      <c r="K6794" s="848"/>
    </row>
    <row r="6795" spans="1:11" s="800" customFormat="1" ht="15">
      <c r="A6795"/>
      <c r="B6795" s="303" t="s">
        <v>1122</v>
      </c>
      <c r="C6795"/>
      <c r="D6795"/>
      <c r="E6795" s="196"/>
      <c r="F6795" s="196"/>
      <c r="G6795" s="196"/>
      <c r="H6795" s="196"/>
      <c r="I6795" s="196"/>
      <c r="J6795" s="196"/>
      <c r="K6795" s="848"/>
    </row>
    <row r="6796" spans="1:11" s="800" customFormat="1" ht="18">
      <c r="A6796"/>
      <c r="B6796" s="799" t="s">
        <v>1123</v>
      </c>
      <c r="C6796" s="875"/>
      <c r="D6796" s="875"/>
      <c r="E6796" s="400">
        <f>C6790*(C6792*2*(0.05+C6789+C6788)*C6787)</f>
        <v>23.66</v>
      </c>
      <c r="F6796" s="390" t="s">
        <v>1124</v>
      </c>
      <c r="G6796" s="196"/>
      <c r="H6796" s="196"/>
      <c r="I6796" s="196"/>
      <c r="J6796" s="196"/>
      <c r="K6796" s="848"/>
    </row>
    <row r="6797" spans="1:11" s="800" customFormat="1" ht="18">
      <c r="A6797"/>
      <c r="B6797" s="799" t="s">
        <v>1125</v>
      </c>
      <c r="C6797" s="875"/>
      <c r="D6797" s="875"/>
      <c r="E6797" s="400">
        <f>E6796-((C6786*0.05+C6786*C6789)*C6787)</f>
        <v>17.654</v>
      </c>
      <c r="F6797" s="390" t="s">
        <v>1124</v>
      </c>
      <c r="G6797" s="196"/>
      <c r="H6797" s="196"/>
      <c r="I6797" s="196"/>
      <c r="J6797" s="196"/>
      <c r="K6797" s="848"/>
    </row>
    <row r="6798" spans="1:11" s="800" customFormat="1" ht="15">
      <c r="A6798"/>
      <c r="B6798" s="798" t="s">
        <v>1126</v>
      </c>
      <c r="C6798" s="172"/>
      <c r="D6798" s="173"/>
      <c r="E6798" s="400">
        <f>(2*C6793)*C6787</f>
        <v>7.28</v>
      </c>
      <c r="F6798" s="390" t="s">
        <v>13</v>
      </c>
      <c r="G6798" s="196"/>
      <c r="H6798" s="196"/>
      <c r="I6798" s="196"/>
      <c r="J6798" s="196"/>
      <c r="K6798" s="848"/>
    </row>
    <row r="6799" spans="1:11" s="800" customFormat="1" ht="15">
      <c r="A6799"/>
      <c r="B6799" s="196"/>
      <c r="C6799" s="196"/>
      <c r="D6799" s="196"/>
      <c r="E6799" s="401"/>
      <c r="F6799" s="196"/>
      <c r="G6799" s="196"/>
      <c r="H6799" s="196"/>
      <c r="I6799" s="196"/>
      <c r="J6799" s="196"/>
      <c r="K6799" s="848"/>
    </row>
    <row r="6800" spans="1:11" s="800" customFormat="1" ht="15">
      <c r="A6800"/>
      <c r="B6800" s="303" t="s">
        <v>1127</v>
      </c>
      <c r="C6800" s="196"/>
      <c r="D6800" s="196"/>
      <c r="E6800" s="401"/>
      <c r="F6800" s="196"/>
      <c r="G6800" s="196"/>
      <c r="H6800" s="196"/>
      <c r="I6800" s="196"/>
      <c r="J6800" s="196"/>
      <c r="K6800" s="848"/>
    </row>
    <row r="6801" spans="1:11" s="800" customFormat="1" ht="18">
      <c r="A6801"/>
      <c r="B6801" s="798" t="s">
        <v>1128</v>
      </c>
      <c r="C6801" s="172"/>
      <c r="D6801" s="173"/>
      <c r="E6801" s="402">
        <f>E6798*0.05</f>
        <v>0.36400000000000005</v>
      </c>
      <c r="F6801" s="390" t="s">
        <v>1124</v>
      </c>
      <c r="G6801" s="196"/>
      <c r="H6801" s="196"/>
      <c r="I6801" s="196"/>
      <c r="J6801" s="196"/>
      <c r="K6801" s="848"/>
    </row>
    <row r="6802" spans="1:11" s="800" customFormat="1" ht="15">
      <c r="A6802"/>
      <c r="B6802" s="798" t="s">
        <v>1129</v>
      </c>
      <c r="C6802" s="172"/>
      <c r="D6802" s="173"/>
      <c r="E6802" s="397">
        <f>C6789*2*C6787</f>
        <v>36.4</v>
      </c>
      <c r="F6802" s="390" t="s">
        <v>13</v>
      </c>
      <c r="G6802" s="393" t="s">
        <v>1108</v>
      </c>
      <c r="H6802" s="876" t="s">
        <v>1131</v>
      </c>
      <c r="I6802" s="876"/>
      <c r="J6802" s="876"/>
      <c r="K6802" s="848"/>
    </row>
    <row r="6803" spans="1:11" s="800" customFormat="1" ht="18">
      <c r="A6803"/>
      <c r="B6803" s="798" t="s">
        <v>1130</v>
      </c>
      <c r="C6803" s="172"/>
      <c r="D6803" s="173"/>
      <c r="E6803" s="402">
        <f>C6786*C6787*C6789</f>
        <v>5.46</v>
      </c>
      <c r="F6803" s="390" t="s">
        <v>1124</v>
      </c>
      <c r="G6803" s="196"/>
      <c r="H6803" s="196"/>
      <c r="I6803" s="196"/>
      <c r="J6803" s="196"/>
      <c r="K6803" s="848"/>
    </row>
    <row r="6804" spans="1:11" s="848" customFormat="1" ht="15">
      <c r="A6804"/>
      <c r="B6804" s="196"/>
      <c r="C6804" s="196"/>
      <c r="D6804" s="196"/>
      <c r="E6804" s="196"/>
      <c r="F6804" s="196"/>
      <c r="G6804" s="196"/>
      <c r="H6804" s="196"/>
      <c r="I6804" s="196"/>
      <c r="J6804" s="196"/>
    </row>
    <row r="6805" spans="1:11" s="848" customFormat="1" ht="15">
      <c r="A6805"/>
      <c r="B6805" s="196"/>
      <c r="C6805" s="196"/>
      <c r="D6805" s="196"/>
      <c r="E6805" s="196"/>
      <c r="F6805" s="196"/>
      <c r="G6805" s="196"/>
      <c r="H6805" s="196"/>
      <c r="I6805" s="196"/>
      <c r="J6805" s="196"/>
    </row>
    <row r="6806" spans="1:11" s="848" customFormat="1">
      <c r="A6806"/>
      <c r="B6806" s="385" t="s">
        <v>2067</v>
      </c>
      <c r="C6806" s="196"/>
      <c r="D6806" s="196"/>
      <c r="E6806" s="196"/>
      <c r="F6806" s="196"/>
      <c r="G6806" s="196"/>
      <c r="H6806" s="196"/>
      <c r="I6806" s="196"/>
      <c r="J6806" s="196"/>
    </row>
    <row r="6807" spans="1:11" s="848" customFormat="1" ht="12.75">
      <c r="A6807"/>
      <c r="B6807"/>
      <c r="C6807"/>
      <c r="D6807"/>
      <c r="E6807"/>
      <c r="F6807" s="877"/>
      <c r="G6807" s="877"/>
      <c r="H6807" s="877"/>
      <c r="I6807" s="877"/>
      <c r="J6807" s="877"/>
    </row>
    <row r="6808" spans="1:11" s="848" customFormat="1" ht="18">
      <c r="A6808"/>
      <c r="B6808" s="873" t="s">
        <v>1141</v>
      </c>
      <c r="C6808" s="389">
        <v>0.3</v>
      </c>
      <c r="D6808" s="390" t="s">
        <v>10</v>
      </c>
      <c r="E6808" s="196"/>
      <c r="F6808" s="405"/>
      <c r="G6808" s="406" t="s">
        <v>1142</v>
      </c>
      <c r="H6808" s="407">
        <f>C6808*C6809</f>
        <v>0.09</v>
      </c>
      <c r="I6808" s="405" t="s">
        <v>1143</v>
      </c>
      <c r="J6808" s="405"/>
    </row>
    <row r="6809" spans="1:11" s="848" customFormat="1" ht="15">
      <c r="A6809"/>
      <c r="B6809" s="873" t="s">
        <v>1144</v>
      </c>
      <c r="C6809" s="389">
        <v>0.3</v>
      </c>
      <c r="D6809" s="390" t="s">
        <v>10</v>
      </c>
      <c r="E6809" s="196"/>
      <c r="F6809" s="405"/>
      <c r="G6809" s="406" t="e">
        <f>TEXT(C6816,"tg 0°=")</f>
        <v>#VALUE!</v>
      </c>
      <c r="H6809" s="408">
        <f>TAN(3.14159265359*C6816/180)</f>
        <v>1.732050807569153</v>
      </c>
      <c r="I6809" s="405"/>
      <c r="J6809" s="405"/>
    </row>
    <row r="6810" spans="1:11" s="848" customFormat="1" ht="15">
      <c r="A6810"/>
      <c r="B6810" s="873" t="s">
        <v>1145</v>
      </c>
      <c r="C6810" s="389">
        <v>0.6</v>
      </c>
      <c r="D6810" s="390" t="s">
        <v>10</v>
      </c>
      <c r="E6810" s="196"/>
      <c r="F6810" s="405"/>
      <c r="G6810" s="406"/>
      <c r="H6810" s="407"/>
      <c r="I6810" s="405"/>
      <c r="J6810" s="405"/>
    </row>
    <row r="6811" spans="1:11" s="848" customFormat="1" ht="18">
      <c r="A6811"/>
      <c r="B6811" s="873" t="s">
        <v>1146</v>
      </c>
      <c r="C6811" s="389">
        <v>0.6</v>
      </c>
      <c r="D6811" s="390" t="s">
        <v>10</v>
      </c>
      <c r="E6811" s="196"/>
      <c r="F6811" s="405"/>
      <c r="G6811" s="406" t="s">
        <v>1142</v>
      </c>
      <c r="H6811" s="409">
        <f>(C6810+2*C6818+((C6812+C6813+0.05)/H6809)*2)*(C6811+2*C6818+((C6812+C6813+0.05)/H6809)*2)</f>
        <v>6.3693667115834751</v>
      </c>
      <c r="I6811" s="405" t="s">
        <v>1143</v>
      </c>
      <c r="J6811" s="405"/>
    </row>
    <row r="6812" spans="1:11" s="848" customFormat="1" ht="18">
      <c r="A6812"/>
      <c r="B6812" s="873" t="s">
        <v>1112</v>
      </c>
      <c r="C6812" s="389">
        <v>0.1</v>
      </c>
      <c r="D6812" s="390" t="s">
        <v>10</v>
      </c>
      <c r="E6812" s="196"/>
      <c r="F6812" s="405"/>
      <c r="G6812" s="406" t="s">
        <v>1147</v>
      </c>
      <c r="H6812" s="409">
        <f>(C6810+2*C6818)*(C6811+2*C6818)</f>
        <v>2.5600000000000005</v>
      </c>
      <c r="I6812" s="405" t="s">
        <v>1143</v>
      </c>
      <c r="J6812" s="405"/>
    </row>
    <row r="6813" spans="1:11" s="848" customFormat="1" ht="15">
      <c r="A6813"/>
      <c r="B6813" s="873" t="s">
        <v>1113</v>
      </c>
      <c r="C6813" s="389">
        <v>0.65</v>
      </c>
      <c r="D6813" s="390" t="s">
        <v>10</v>
      </c>
      <c r="E6813" s="196"/>
      <c r="F6813" s="405"/>
      <c r="G6813" s="406"/>
      <c r="H6813" s="407"/>
      <c r="I6813" s="405"/>
      <c r="J6813" s="405"/>
    </row>
    <row r="6814" spans="1:11" s="848" customFormat="1" ht="15">
      <c r="A6814"/>
      <c r="B6814" s="873" t="s">
        <v>1117</v>
      </c>
      <c r="C6814" s="391">
        <v>5</v>
      </c>
      <c r="D6814" s="390" t="s">
        <v>1118</v>
      </c>
      <c r="E6814" s="196"/>
      <c r="F6814" s="405"/>
      <c r="G6814" s="406"/>
      <c r="H6814" s="407"/>
      <c r="I6814" s="405"/>
      <c r="J6814" s="405"/>
    </row>
    <row r="6815" spans="1:11" s="848" customFormat="1" ht="15">
      <c r="A6815"/>
      <c r="B6815" s="196" t="s">
        <v>1148</v>
      </c>
      <c r="C6815" s="393"/>
      <c r="D6815" s="196"/>
      <c r="E6815" s="196"/>
      <c r="F6815" s="405"/>
      <c r="G6815" s="406"/>
      <c r="H6815" s="407"/>
      <c r="I6815" s="405"/>
      <c r="J6815" s="405"/>
    </row>
    <row r="6816" spans="1:11" s="848" customFormat="1" ht="15">
      <c r="A6816"/>
      <c r="B6816" s="390" t="s">
        <v>1149</v>
      </c>
      <c r="C6816" s="389">
        <v>60</v>
      </c>
      <c r="D6816" s="390" t="s">
        <v>1150</v>
      </c>
      <c r="E6816" s="196"/>
      <c r="F6816" s="196"/>
      <c r="G6816" s="392"/>
      <c r="H6816" s="393"/>
      <c r="I6816" s="196"/>
      <c r="J6816" s="196"/>
    </row>
    <row r="6817" spans="1:10" s="848" customFormat="1" ht="15">
      <c r="A6817"/>
      <c r="B6817"/>
      <c r="C6817" s="196"/>
      <c r="D6817" s="196"/>
      <c r="E6817" s="196"/>
      <c r="F6817" s="196"/>
      <c r="G6817"/>
      <c r="H6817"/>
      <c r="I6817"/>
      <c r="J6817" s="196"/>
    </row>
    <row r="6818" spans="1:10" s="848" customFormat="1" ht="15">
      <c r="A6818"/>
      <c r="B6818" s="390" t="s">
        <v>1114</v>
      </c>
      <c r="C6818" s="389">
        <v>0.5</v>
      </c>
      <c r="D6818" s="390" t="s">
        <v>10</v>
      </c>
      <c r="E6818" s="288" t="s">
        <v>1120</v>
      </c>
      <c r="F6818" s="196"/>
      <c r="G6818"/>
      <c r="H6818"/>
      <c r="I6818"/>
      <c r="J6818" s="196"/>
    </row>
    <row r="6819" spans="1:10" s="848" customFormat="1" ht="15">
      <c r="A6819"/>
      <c r="B6819" s="390" t="s">
        <v>1114</v>
      </c>
      <c r="C6819" s="389">
        <v>0.1</v>
      </c>
      <c r="D6819" s="390" t="s">
        <v>10</v>
      </c>
      <c r="E6819" s="288" t="s">
        <v>1121</v>
      </c>
      <c r="F6819" s="196"/>
      <c r="G6819" s="196"/>
      <c r="H6819" s="196"/>
      <c r="I6819" s="196"/>
      <c r="J6819" s="196"/>
    </row>
    <row r="6820" spans="1:10" s="848" customFormat="1" ht="15">
      <c r="A6820"/>
      <c r="B6820"/>
      <c r="C6820"/>
      <c r="D6820"/>
      <c r="E6820"/>
      <c r="F6820"/>
      <c r="G6820" s="196" t="s">
        <v>1326</v>
      </c>
      <c r="H6820"/>
      <c r="I6820" s="196"/>
      <c r="J6820" s="196"/>
    </row>
    <row r="6821" spans="1:10" s="848" customFormat="1" ht="15">
      <c r="A6821"/>
      <c r="B6821" s="303" t="s">
        <v>1122</v>
      </c>
      <c r="C6821"/>
      <c r="D6821"/>
      <c r="E6821"/>
      <c r="F6821"/>
      <c r="G6821" s="196"/>
      <c r="H6821" s="196"/>
      <c r="I6821" s="196"/>
      <c r="J6821" s="196"/>
    </row>
    <row r="6822" spans="1:10" s="848" customFormat="1" ht="18">
      <c r="A6822"/>
      <c r="B6822" s="798" t="s">
        <v>1123</v>
      </c>
      <c r="C6822" s="172"/>
      <c r="D6822" s="173"/>
      <c r="E6822" s="397">
        <f>C6814*((H6812+H6811)/2)*(C6812+C6813+0.05)</f>
        <v>17.858733423166953</v>
      </c>
      <c r="F6822" s="390" t="s">
        <v>1124</v>
      </c>
      <c r="G6822" s="196"/>
      <c r="H6822"/>
      <c r="I6822"/>
      <c r="J6822"/>
    </row>
    <row r="6823" spans="1:10" s="848" customFormat="1" ht="18">
      <c r="A6823"/>
      <c r="B6823" s="798" t="s">
        <v>1125</v>
      </c>
      <c r="C6823" s="172"/>
      <c r="D6823" s="173"/>
      <c r="E6823" s="400">
        <f>E6822-C6814*(C6810*C6811*C6813+C6810*C6811*0.05+C6808*C6809*C6812)</f>
        <v>16.553733423166953</v>
      </c>
      <c r="F6823" s="390" t="s">
        <v>1124</v>
      </c>
      <c r="G6823" s="196"/>
      <c r="H6823" s="196"/>
      <c r="I6823" s="196"/>
      <c r="J6823" s="196"/>
    </row>
    <row r="6824" spans="1:10" s="848" customFormat="1" ht="15">
      <c r="A6824"/>
      <c r="B6824" s="798" t="s">
        <v>1126</v>
      </c>
      <c r="C6824" s="172"/>
      <c r="D6824" s="173"/>
      <c r="E6824" s="400">
        <f>((C6810+2*C6819)*(C6811+2*C6819))*C6814</f>
        <v>3.2000000000000006</v>
      </c>
      <c r="F6824" s="390" t="s">
        <v>13</v>
      </c>
      <c r="G6824"/>
      <c r="H6824"/>
      <c r="I6824"/>
      <c r="J6824"/>
    </row>
    <row r="6825" spans="1:10" s="848" customFormat="1" ht="15">
      <c r="A6825"/>
      <c r="B6825"/>
      <c r="C6825"/>
      <c r="D6825"/>
      <c r="E6825" s="401"/>
      <c r="F6825" s="196"/>
      <c r="G6825"/>
      <c r="H6825"/>
      <c r="I6825"/>
      <c r="J6825"/>
    </row>
    <row r="6826" spans="1:10" s="848" customFormat="1" ht="15">
      <c r="A6826"/>
      <c r="B6826" s="303" t="s">
        <v>1162</v>
      </c>
      <c r="C6826" s="795"/>
      <c r="D6826" s="795"/>
      <c r="E6826" s="410"/>
      <c r="F6826" s="795"/>
      <c r="G6826"/>
      <c r="H6826"/>
      <c r="I6826"/>
      <c r="J6826"/>
    </row>
    <row r="6827" spans="1:10" s="848" customFormat="1" ht="15">
      <c r="A6827"/>
      <c r="B6827" s="798" t="s">
        <v>1152</v>
      </c>
      <c r="C6827" s="398"/>
      <c r="D6827" s="837"/>
      <c r="E6827" s="411">
        <v>1</v>
      </c>
      <c r="F6827" s="390" t="s">
        <v>1153</v>
      </c>
      <c r="G6827"/>
      <c r="H6827"/>
      <c r="I6827"/>
      <c r="J6827"/>
    </row>
    <row r="6828" spans="1:10" s="848" customFormat="1" ht="15">
      <c r="A6828"/>
      <c r="B6828" s="797" t="s">
        <v>1154</v>
      </c>
      <c r="C6828" s="31"/>
      <c r="D6828" s="32"/>
      <c r="E6828" s="412">
        <f>C6814*E6827</f>
        <v>5</v>
      </c>
      <c r="F6828" s="390" t="s">
        <v>1153</v>
      </c>
      <c r="G6828"/>
      <c r="H6828"/>
      <c r="I6828"/>
      <c r="J6828"/>
    </row>
    <row r="6829" spans="1:10" s="848" customFormat="1" ht="15">
      <c r="A6829"/>
      <c r="B6829" s="798" t="s">
        <v>1155</v>
      </c>
      <c r="C6829" s="21"/>
      <c r="D6829" s="413"/>
      <c r="E6829" s="411">
        <v>300</v>
      </c>
      <c r="F6829" s="390" t="s">
        <v>1156</v>
      </c>
      <c r="G6829"/>
      <c r="H6829"/>
      <c r="I6829"/>
      <c r="J6829"/>
    </row>
    <row r="6830" spans="1:10" s="848" customFormat="1" ht="15">
      <c r="A6830"/>
      <c r="B6830" s="798" t="s">
        <v>1157</v>
      </c>
      <c r="C6830" s="21"/>
      <c r="D6830" s="413"/>
      <c r="E6830" s="411">
        <v>13</v>
      </c>
      <c r="F6830" s="390" t="s">
        <v>10</v>
      </c>
      <c r="G6830"/>
      <c r="H6830"/>
      <c r="I6830"/>
      <c r="J6830"/>
    </row>
    <row r="6831" spans="1:10" s="848" customFormat="1" ht="15">
      <c r="A6831"/>
      <c r="B6831" s="798" t="s">
        <v>1158</v>
      </c>
      <c r="C6831" s="21"/>
      <c r="D6831" s="413"/>
      <c r="E6831" s="412">
        <f>E6828*E6830</f>
        <v>65</v>
      </c>
      <c r="F6831" s="390" t="s">
        <v>10</v>
      </c>
      <c r="G6831"/>
      <c r="H6831"/>
      <c r="I6831"/>
      <c r="J6831"/>
    </row>
    <row r="6832" spans="1:10" s="848" customFormat="1" ht="14.25">
      <c r="A6832"/>
      <c r="B6832"/>
      <c r="C6832"/>
      <c r="D6832"/>
      <c r="E6832" s="878"/>
      <c r="F6832"/>
      <c r="G6832"/>
      <c r="H6832"/>
      <c r="I6832"/>
      <c r="J6832"/>
    </row>
    <row r="6833" spans="1:10" s="848" customFormat="1" ht="15">
      <c r="A6833"/>
      <c r="B6833" s="303" t="s">
        <v>1160</v>
      </c>
      <c r="C6833"/>
      <c r="D6833"/>
      <c r="E6833" s="878"/>
      <c r="F6833"/>
      <c r="G6833"/>
      <c r="H6833"/>
      <c r="I6833"/>
      <c r="J6833"/>
    </row>
    <row r="6834" spans="1:10" s="848" customFormat="1" ht="18">
      <c r="A6834"/>
      <c r="B6834" s="798" t="s">
        <v>1128</v>
      </c>
      <c r="C6834" s="172"/>
      <c r="D6834" s="173"/>
      <c r="E6834" s="402">
        <f>E6824*0.05</f>
        <v>0.16000000000000003</v>
      </c>
      <c r="F6834" s="390" t="s">
        <v>1124</v>
      </c>
      <c r="G6834"/>
      <c r="H6834"/>
      <c r="I6834"/>
      <c r="J6834"/>
    </row>
    <row r="6835" spans="1:10" s="848" customFormat="1" ht="15">
      <c r="A6835"/>
      <c r="B6835" s="798" t="s">
        <v>1129</v>
      </c>
      <c r="C6835" s="172"/>
      <c r="D6835" s="173"/>
      <c r="E6835" s="397">
        <f>(2*(C6810+C6811)*C6813)*C6814</f>
        <v>7.8000000000000007</v>
      </c>
      <c r="F6835" s="390" t="s">
        <v>13</v>
      </c>
      <c r="G6835"/>
      <c r="H6835"/>
      <c r="I6835"/>
      <c r="J6835"/>
    </row>
    <row r="6836" spans="1:10" s="848" customFormat="1" ht="18">
      <c r="A6836"/>
      <c r="B6836" s="798" t="s">
        <v>1130</v>
      </c>
      <c r="C6836" s="172"/>
      <c r="D6836" s="173"/>
      <c r="E6836" s="402">
        <f>(C6810*C6811*C6813)*C6814</f>
        <v>1.17</v>
      </c>
      <c r="F6836" s="390" t="s">
        <v>1124</v>
      </c>
      <c r="G6836"/>
      <c r="H6836"/>
      <c r="I6836"/>
      <c r="J6836"/>
    </row>
    <row r="6837" spans="1:10" s="848" customFormat="1" ht="12.75">
      <c r="A6837"/>
      <c r="B6837"/>
      <c r="C6837"/>
      <c r="D6837"/>
      <c r="E6837"/>
      <c r="F6837"/>
      <c r="G6837" s="795"/>
      <c r="H6837" s="795"/>
      <c r="I6837" s="795"/>
      <c r="J6837"/>
    </row>
    <row r="6838" spans="1:10" s="848" customFormat="1" ht="12.75">
      <c r="A6838"/>
      <c r="B6838"/>
      <c r="C6838"/>
      <c r="D6838"/>
      <c r="E6838"/>
      <c r="F6838"/>
      <c r="G6838" s="795"/>
      <c r="H6838" s="795"/>
      <c r="I6838" s="795"/>
      <c r="J6838"/>
    </row>
    <row r="6839" spans="1:10" s="848" customFormat="1">
      <c r="A6839"/>
      <c r="B6839" s="385" t="s">
        <v>2068</v>
      </c>
      <c r="C6839" s="196"/>
      <c r="D6839" s="196"/>
      <c r="E6839" s="196"/>
      <c r="F6839" s="196"/>
      <c r="G6839" s="795"/>
      <c r="H6839" s="795"/>
      <c r="I6839" s="795"/>
      <c r="J6839"/>
    </row>
    <row r="6840" spans="1:10" s="848" customFormat="1" ht="12.75">
      <c r="A6840"/>
      <c r="B6840"/>
      <c r="C6840"/>
      <c r="D6840"/>
      <c r="E6840"/>
      <c r="F6840" s="877"/>
      <c r="G6840" s="795"/>
      <c r="H6840" s="795"/>
      <c r="I6840" s="795"/>
      <c r="J6840"/>
    </row>
    <row r="6841" spans="1:10" s="848" customFormat="1" ht="15">
      <c r="A6841"/>
      <c r="B6841" s="873" t="s">
        <v>1141</v>
      </c>
      <c r="C6841" s="389">
        <v>0.3</v>
      </c>
      <c r="D6841" s="390" t="s">
        <v>10</v>
      </c>
      <c r="E6841" s="196"/>
      <c r="F6841" s="405"/>
      <c r="G6841" s="795"/>
      <c r="H6841" s="795"/>
      <c r="I6841" s="795"/>
      <c r="J6841"/>
    </row>
    <row r="6842" spans="1:10" s="848" customFormat="1" ht="15">
      <c r="A6842"/>
      <c r="B6842" s="873" t="s">
        <v>1144</v>
      </c>
      <c r="C6842" s="389">
        <v>0.3</v>
      </c>
      <c r="D6842" s="390" t="s">
        <v>10</v>
      </c>
      <c r="E6842" s="196"/>
      <c r="F6842" s="405"/>
      <c r="G6842" s="795"/>
      <c r="H6842" s="795"/>
      <c r="I6842" s="795"/>
      <c r="J6842"/>
    </row>
    <row r="6843" spans="1:10" s="848" customFormat="1" ht="15">
      <c r="A6843"/>
      <c r="B6843" s="873" t="s">
        <v>1145</v>
      </c>
      <c r="C6843" s="389">
        <v>1.5</v>
      </c>
      <c r="D6843" s="390" t="s">
        <v>10</v>
      </c>
      <c r="E6843" s="196"/>
      <c r="F6843" s="405"/>
      <c r="G6843" s="795"/>
      <c r="H6843" s="795"/>
      <c r="I6843" s="795"/>
      <c r="J6843"/>
    </row>
    <row r="6844" spans="1:10" s="848" customFormat="1" ht="15">
      <c r="A6844"/>
      <c r="B6844" s="873" t="s">
        <v>1146</v>
      </c>
      <c r="C6844" s="389">
        <v>0.6</v>
      </c>
      <c r="D6844" s="390" t="s">
        <v>10</v>
      </c>
      <c r="E6844" s="196"/>
      <c r="F6844" s="405"/>
      <c r="G6844" s="795"/>
      <c r="H6844" s="795"/>
      <c r="I6844" s="795"/>
      <c r="J6844"/>
    </row>
    <row r="6845" spans="1:10" s="848" customFormat="1" ht="15">
      <c r="A6845"/>
      <c r="B6845" s="873" t="s">
        <v>1112</v>
      </c>
      <c r="C6845" s="389">
        <v>0.1</v>
      </c>
      <c r="D6845" s="390" t="s">
        <v>10</v>
      </c>
      <c r="E6845" s="196"/>
      <c r="F6845" s="405"/>
      <c r="G6845" s="795"/>
      <c r="H6845" s="795"/>
      <c r="I6845" s="795"/>
      <c r="J6845"/>
    </row>
    <row r="6846" spans="1:10" s="848" customFormat="1" ht="15">
      <c r="A6846"/>
      <c r="B6846" s="873" t="s">
        <v>1113</v>
      </c>
      <c r="C6846" s="389">
        <v>0.65</v>
      </c>
      <c r="D6846" s="390" t="s">
        <v>10</v>
      </c>
      <c r="E6846" s="196"/>
      <c r="F6846" s="405"/>
      <c r="G6846" s="795"/>
      <c r="H6846" s="795"/>
      <c r="I6846" s="795"/>
      <c r="J6846"/>
    </row>
    <row r="6847" spans="1:10" s="848" customFormat="1" ht="15">
      <c r="A6847"/>
      <c r="B6847" s="873" t="s">
        <v>1117</v>
      </c>
      <c r="C6847" s="391">
        <v>1</v>
      </c>
      <c r="D6847" s="390" t="s">
        <v>1118</v>
      </c>
      <c r="E6847" s="196"/>
      <c r="F6847" s="405"/>
      <c r="G6847" s="795"/>
      <c r="H6847" s="795"/>
      <c r="I6847" s="795"/>
      <c r="J6847"/>
    </row>
    <row r="6848" spans="1:10" s="848" customFormat="1" ht="15">
      <c r="A6848"/>
      <c r="B6848" s="196" t="s">
        <v>1148</v>
      </c>
      <c r="C6848" s="393"/>
      <c r="D6848" s="196"/>
      <c r="E6848" s="196"/>
      <c r="F6848" s="405"/>
      <c r="G6848" s="795"/>
      <c r="H6848" s="795"/>
      <c r="I6848" s="795"/>
      <c r="J6848"/>
    </row>
    <row r="6849" spans="1:10" s="848" customFormat="1" ht="15">
      <c r="A6849"/>
      <c r="B6849" s="390" t="s">
        <v>1149</v>
      </c>
      <c r="C6849" s="389">
        <v>60</v>
      </c>
      <c r="D6849" s="390" t="s">
        <v>1150</v>
      </c>
      <c r="E6849" s="196"/>
      <c r="F6849" s="196"/>
      <c r="G6849" s="795"/>
      <c r="H6849" s="795"/>
      <c r="I6849" s="795"/>
      <c r="J6849"/>
    </row>
    <row r="6850" spans="1:10" s="848" customFormat="1" ht="15">
      <c r="A6850"/>
      <c r="B6850"/>
      <c r="C6850" s="196"/>
      <c r="D6850" s="196"/>
      <c r="E6850" s="196"/>
      <c r="F6850" s="196"/>
      <c r="G6850" s="795"/>
      <c r="H6850" s="795"/>
      <c r="I6850" s="795"/>
      <c r="J6850"/>
    </row>
    <row r="6851" spans="1:10" s="848" customFormat="1" ht="15">
      <c r="A6851"/>
      <c r="B6851" s="390" t="s">
        <v>1114</v>
      </c>
      <c r="C6851" s="389">
        <v>0.5</v>
      </c>
      <c r="D6851" s="390" t="s">
        <v>10</v>
      </c>
      <c r="E6851" s="288" t="s">
        <v>1120</v>
      </c>
      <c r="F6851" s="196"/>
      <c r="G6851" s="795"/>
      <c r="H6851" s="795"/>
      <c r="I6851" s="795"/>
      <c r="J6851"/>
    </row>
    <row r="6852" spans="1:10" s="848" customFormat="1" ht="15">
      <c r="A6852"/>
      <c r="B6852" s="390" t="s">
        <v>1114</v>
      </c>
      <c r="C6852" s="389">
        <v>0.1</v>
      </c>
      <c r="D6852" s="390" t="s">
        <v>10</v>
      </c>
      <c r="E6852" s="288" t="s">
        <v>1121</v>
      </c>
      <c r="F6852" s="196"/>
      <c r="G6852" s="795"/>
      <c r="H6852" s="795"/>
      <c r="I6852" s="795"/>
      <c r="J6852"/>
    </row>
    <row r="6853" spans="1:10" s="848" customFormat="1" ht="15">
      <c r="A6853"/>
      <c r="B6853"/>
      <c r="C6853"/>
      <c r="D6853"/>
      <c r="E6853"/>
      <c r="F6853"/>
      <c r="G6853" s="196" t="s">
        <v>1326</v>
      </c>
      <c r="H6853" s="795"/>
      <c r="I6853" s="795"/>
      <c r="J6853"/>
    </row>
    <row r="6854" spans="1:10" s="848" customFormat="1" ht="15">
      <c r="A6854"/>
      <c r="B6854" s="303" t="s">
        <v>1122</v>
      </c>
      <c r="C6854"/>
      <c r="D6854"/>
      <c r="E6854"/>
      <c r="F6854"/>
      <c r="G6854" s="795"/>
      <c r="H6854" s="795"/>
      <c r="I6854" s="795"/>
      <c r="J6854"/>
    </row>
    <row r="6855" spans="1:10" s="848" customFormat="1" ht="18">
      <c r="A6855"/>
      <c r="B6855" s="798" t="s">
        <v>1123</v>
      </c>
      <c r="C6855" s="172"/>
      <c r="D6855" s="173"/>
      <c r="E6855" s="397">
        <f>C6847*((H6845+H6844)/2)*(C6845+C6846+0.05)</f>
        <v>0</v>
      </c>
      <c r="F6855" s="390" t="s">
        <v>1124</v>
      </c>
      <c r="G6855" s="795"/>
      <c r="H6855" s="795"/>
      <c r="I6855" s="795"/>
      <c r="J6855"/>
    </row>
    <row r="6856" spans="1:10" s="848" customFormat="1" ht="18">
      <c r="A6856"/>
      <c r="B6856" s="798" t="s">
        <v>1125</v>
      </c>
      <c r="C6856" s="172"/>
      <c r="D6856" s="173"/>
      <c r="E6856" s="400">
        <f>E6855-C6847*(C6843*C6844*C6846+C6843*C6844*0.05+C6841*C6842*C6845)</f>
        <v>-0.63900000000000001</v>
      </c>
      <c r="F6856" s="390" t="s">
        <v>1124</v>
      </c>
      <c r="G6856" s="795"/>
      <c r="H6856" s="795"/>
      <c r="I6856" s="795"/>
      <c r="J6856"/>
    </row>
    <row r="6857" spans="1:10" s="848" customFormat="1" ht="15">
      <c r="A6857"/>
      <c r="B6857" s="798" t="s">
        <v>1126</v>
      </c>
      <c r="C6857" s="172"/>
      <c r="D6857" s="173"/>
      <c r="E6857" s="400">
        <f>((C6843+2*C6852)*(C6844+2*C6852))*C6847</f>
        <v>1.36</v>
      </c>
      <c r="F6857" s="390" t="s">
        <v>13</v>
      </c>
      <c r="G6857" s="795"/>
      <c r="H6857" s="795"/>
      <c r="I6857" s="795"/>
      <c r="J6857"/>
    </row>
    <row r="6858" spans="1:10" s="848" customFormat="1" ht="15">
      <c r="A6858"/>
      <c r="B6858"/>
      <c r="C6858"/>
      <c r="D6858"/>
      <c r="E6858" s="401"/>
      <c r="F6858" s="196"/>
      <c r="G6858" s="795"/>
      <c r="H6858" s="795"/>
      <c r="I6858" s="795"/>
      <c r="J6858"/>
    </row>
    <row r="6859" spans="1:10" s="848" customFormat="1" ht="15">
      <c r="A6859"/>
      <c r="B6859" s="303" t="s">
        <v>1162</v>
      </c>
      <c r="C6859" s="795"/>
      <c r="D6859" s="795"/>
      <c r="E6859" s="410"/>
      <c r="F6859" s="795"/>
      <c r="G6859" s="795"/>
      <c r="H6859" s="795"/>
      <c r="I6859" s="795"/>
      <c r="J6859"/>
    </row>
    <row r="6860" spans="1:10" s="848" customFormat="1" ht="15">
      <c r="A6860"/>
      <c r="B6860" s="798" t="s">
        <v>1152</v>
      </c>
      <c r="C6860" s="398"/>
      <c r="D6860" s="837"/>
      <c r="E6860" s="411">
        <v>2</v>
      </c>
      <c r="F6860" s="390" t="s">
        <v>1153</v>
      </c>
      <c r="G6860" s="795"/>
      <c r="H6860" s="795"/>
      <c r="I6860" s="795"/>
      <c r="J6860"/>
    </row>
    <row r="6861" spans="1:10" s="848" customFormat="1" ht="15">
      <c r="A6861"/>
      <c r="B6861" s="797" t="s">
        <v>1154</v>
      </c>
      <c r="C6861" s="31"/>
      <c r="D6861" s="32"/>
      <c r="E6861" s="412">
        <f>C6847*E6860</f>
        <v>2</v>
      </c>
      <c r="F6861" s="390" t="s">
        <v>1153</v>
      </c>
      <c r="G6861" s="795"/>
      <c r="H6861" s="795"/>
      <c r="I6861" s="795"/>
      <c r="J6861"/>
    </row>
    <row r="6862" spans="1:10" s="848" customFormat="1" ht="15">
      <c r="A6862"/>
      <c r="B6862" s="798" t="s">
        <v>1155</v>
      </c>
      <c r="C6862" s="21"/>
      <c r="D6862" s="413"/>
      <c r="E6862" s="411">
        <v>300</v>
      </c>
      <c r="F6862" s="390" t="s">
        <v>1156</v>
      </c>
      <c r="G6862" s="795"/>
      <c r="H6862" s="795"/>
      <c r="I6862" s="795"/>
      <c r="J6862"/>
    </row>
    <row r="6863" spans="1:10" s="848" customFormat="1" ht="15">
      <c r="A6863"/>
      <c r="B6863" s="798" t="s">
        <v>1157</v>
      </c>
      <c r="C6863" s="21"/>
      <c r="D6863" s="413"/>
      <c r="E6863" s="411">
        <v>13</v>
      </c>
      <c r="F6863" s="390" t="s">
        <v>10</v>
      </c>
      <c r="G6863" s="795"/>
      <c r="H6863" s="795"/>
      <c r="I6863" s="795"/>
      <c r="J6863"/>
    </row>
    <row r="6864" spans="1:10" s="848" customFormat="1" ht="15">
      <c r="A6864"/>
      <c r="B6864" s="798" t="s">
        <v>1158</v>
      </c>
      <c r="C6864" s="21"/>
      <c r="D6864" s="413"/>
      <c r="E6864" s="412">
        <f>E6861*E6863</f>
        <v>26</v>
      </c>
      <c r="F6864" s="390" t="s">
        <v>10</v>
      </c>
      <c r="G6864" s="795"/>
      <c r="H6864" s="795"/>
      <c r="I6864" s="795"/>
      <c r="J6864"/>
    </row>
    <row r="6865" spans="1:56" s="848" customFormat="1" ht="14.25">
      <c r="A6865"/>
      <c r="B6865"/>
      <c r="C6865"/>
      <c r="D6865"/>
      <c r="E6865" s="878"/>
      <c r="F6865"/>
      <c r="G6865" s="795"/>
      <c r="H6865" s="795"/>
      <c r="I6865" s="795"/>
      <c r="J6865"/>
    </row>
    <row r="6866" spans="1:56" s="848" customFormat="1" ht="15">
      <c r="A6866"/>
      <c r="B6866" s="303" t="s">
        <v>1160</v>
      </c>
      <c r="C6866"/>
      <c r="D6866"/>
      <c r="E6866" s="878"/>
      <c r="F6866"/>
      <c r="G6866" s="795"/>
      <c r="H6866" s="795"/>
      <c r="I6866" s="795"/>
      <c r="J6866"/>
    </row>
    <row r="6867" spans="1:56" s="848" customFormat="1" ht="18">
      <c r="A6867"/>
      <c r="B6867" s="798" t="s">
        <v>1128</v>
      </c>
      <c r="C6867" s="172"/>
      <c r="D6867" s="173"/>
      <c r="E6867" s="402">
        <f>E6857*0.05</f>
        <v>6.8000000000000005E-2</v>
      </c>
      <c r="F6867" s="390" t="s">
        <v>1124</v>
      </c>
      <c r="G6867" s="795"/>
      <c r="H6867" s="795"/>
      <c r="I6867" s="795"/>
      <c r="J6867"/>
    </row>
    <row r="6868" spans="1:56" s="848" customFormat="1" ht="15">
      <c r="A6868"/>
      <c r="B6868" s="798" t="s">
        <v>1129</v>
      </c>
      <c r="C6868" s="172"/>
      <c r="D6868" s="173"/>
      <c r="E6868" s="397">
        <f>(2*(C6843+C6844)*C6846)*C6847</f>
        <v>2.7300000000000004</v>
      </c>
      <c r="F6868" s="390" t="s">
        <v>13</v>
      </c>
      <c r="G6868" s="795"/>
      <c r="H6868" s="795"/>
      <c r="I6868" s="795"/>
      <c r="J6868"/>
    </row>
    <row r="6869" spans="1:56" s="848" customFormat="1" ht="18">
      <c r="A6869"/>
      <c r="B6869" s="798" t="s">
        <v>1130</v>
      </c>
      <c r="C6869" s="172"/>
      <c r="D6869" s="173"/>
      <c r="E6869" s="402">
        <f>(C6843*C6844*C6846)*C6847</f>
        <v>0.58499999999999996</v>
      </c>
      <c r="F6869" s="390" t="s">
        <v>1124</v>
      </c>
      <c r="G6869" s="795"/>
      <c r="H6869" s="795"/>
      <c r="I6869" s="795"/>
      <c r="J6869"/>
    </row>
    <row r="6870" spans="1:56" s="848" customFormat="1" ht="12.75">
      <c r="A6870"/>
      <c r="B6870"/>
      <c r="C6870"/>
      <c r="D6870"/>
      <c r="E6870"/>
      <c r="F6870"/>
      <c r="G6870" s="795"/>
      <c r="H6870" s="795"/>
      <c r="I6870" s="795"/>
      <c r="J6870"/>
    </row>
    <row r="6871" spans="1:56" ht="15">
      <c r="A6871" s="114"/>
      <c r="B6871" s="293"/>
      <c r="C6871" s="387"/>
      <c r="D6871" s="387"/>
      <c r="E6871" s="387"/>
      <c r="F6871" s="387"/>
      <c r="G6871" s="387"/>
      <c r="H6871" s="386"/>
      <c r="I6871" s="386"/>
      <c r="J6871" s="114"/>
      <c r="AW6871" s="117"/>
      <c r="AX6871" s="117"/>
      <c r="AY6871" s="117"/>
      <c r="AZ6871" s="117"/>
      <c r="BA6871" s="117"/>
      <c r="BB6871" s="117"/>
      <c r="BC6871" s="117"/>
      <c r="BD6871" s="117"/>
    </row>
    <row r="6872" spans="1:56" s="800" customFormat="1" ht="12.75">
      <c r="A6872"/>
      <c r="B6872" s="1276" t="s">
        <v>1193</v>
      </c>
      <c r="C6872" s="1276"/>
      <c r="D6872" s="902" t="s">
        <v>61</v>
      </c>
      <c r="E6872" s="902" t="s">
        <v>2109</v>
      </c>
      <c r="F6872" s="903" t="s">
        <v>2110</v>
      </c>
      <c r="G6872"/>
    </row>
    <row r="6873" spans="1:56" s="800" customFormat="1" ht="12.75">
      <c r="A6873"/>
      <c r="B6873" s="1277" t="s">
        <v>2142</v>
      </c>
      <c r="C6873" s="1277"/>
      <c r="D6873" s="905">
        <v>40</v>
      </c>
      <c r="E6873" s="861">
        <v>16</v>
      </c>
      <c r="F6873" s="855">
        <f>D6873*E6873</f>
        <v>640</v>
      </c>
      <c r="G6873"/>
    </row>
    <row r="6874" spans="1:56" s="800" customFormat="1" ht="12.75">
      <c r="A6874"/>
      <c r="B6874" s="300"/>
      <c r="C6874" s="235"/>
      <c r="D6874" s="862"/>
      <c r="E6874" s="138"/>
      <c r="F6874" s="138"/>
      <c r="G6874" s="138"/>
      <c r="H6874" s="138"/>
      <c r="I6874" s="138"/>
      <c r="J6874"/>
    </row>
    <row r="6875" spans="1:56" s="848" customFormat="1" ht="13.5" thickBot="1">
      <c r="A6875"/>
      <c r="B6875"/>
      <c r="C6875"/>
      <c r="D6875"/>
      <c r="E6875"/>
      <c r="F6875"/>
      <c r="G6875"/>
      <c r="H6875"/>
      <c r="I6875"/>
      <c r="J6875"/>
    </row>
    <row r="6876" spans="1:56" s="848" customFormat="1">
      <c r="A6876"/>
      <c r="B6876" s="702" t="s">
        <v>1189</v>
      </c>
      <c r="C6876" s="282"/>
      <c r="D6876" s="282"/>
      <c r="E6876" s="282"/>
      <c r="F6876" s="283"/>
      <c r="G6876"/>
      <c r="H6876"/>
      <c r="I6876"/>
      <c r="J6876"/>
    </row>
    <row r="6877" spans="1:56" s="848" customFormat="1" ht="15">
      <c r="A6877"/>
      <c r="B6877" s="693"/>
      <c r="C6877" s="196"/>
      <c r="D6877" s="196"/>
      <c r="E6877" s="196"/>
      <c r="F6877" s="284"/>
      <c r="G6877"/>
      <c r="H6877"/>
      <c r="I6877"/>
      <c r="J6877"/>
    </row>
    <row r="6878" spans="1:56" s="848" customFormat="1" ht="14.25">
      <c r="A6878"/>
      <c r="B6878" s="879" t="s">
        <v>1122</v>
      </c>
      <c r="C6878" s="410"/>
      <c r="D6878" s="1008"/>
      <c r="E6878" s="1008"/>
      <c r="F6878" s="424"/>
      <c r="G6878"/>
      <c r="H6878"/>
      <c r="I6878"/>
      <c r="J6878"/>
    </row>
    <row r="6879" spans="1:56" s="848" customFormat="1" ht="18">
      <c r="A6879"/>
      <c r="B6879" s="1011" t="s">
        <v>1123</v>
      </c>
      <c r="C6879" s="172"/>
      <c r="D6879" s="173"/>
      <c r="E6879" s="880">
        <f>E6796+E6822+E6855</f>
        <v>41.51873342316695</v>
      </c>
      <c r="F6879" s="139" t="s">
        <v>1124</v>
      </c>
      <c r="G6879"/>
      <c r="H6879"/>
      <c r="I6879"/>
      <c r="J6879"/>
    </row>
    <row r="6880" spans="1:56" s="848" customFormat="1" ht="18">
      <c r="A6880"/>
      <c r="B6880" s="1011" t="s">
        <v>1125</v>
      </c>
      <c r="C6880" s="172"/>
      <c r="D6880" s="173"/>
      <c r="E6880" s="291">
        <f>E6797+E6823+E6856</f>
        <v>33.568733423166954</v>
      </c>
      <c r="F6880" s="139" t="s">
        <v>1124</v>
      </c>
      <c r="G6880"/>
      <c r="H6880"/>
      <c r="I6880"/>
      <c r="J6880"/>
    </row>
    <row r="6881" spans="1:56" s="848" customFormat="1" ht="15">
      <c r="A6881"/>
      <c r="B6881" s="1011" t="s">
        <v>1126</v>
      </c>
      <c r="C6881" s="172"/>
      <c r="D6881" s="173"/>
      <c r="E6881" s="291">
        <f>E6798+E6824+E6857</f>
        <v>11.84</v>
      </c>
      <c r="F6881" s="139" t="s">
        <v>13</v>
      </c>
      <c r="G6881"/>
      <c r="H6881"/>
      <c r="I6881"/>
      <c r="J6881"/>
    </row>
    <row r="6882" spans="1:56" s="848" customFormat="1" ht="15">
      <c r="A6882"/>
      <c r="B6882" s="40"/>
      <c r="C6882" s="1008"/>
      <c r="D6882" s="1008"/>
      <c r="E6882" s="401"/>
      <c r="F6882" s="284"/>
      <c r="G6882"/>
      <c r="H6882"/>
      <c r="I6882"/>
      <c r="J6882"/>
    </row>
    <row r="6883" spans="1:56" s="848" customFormat="1" ht="18">
      <c r="A6883"/>
      <c r="B6883" s="1011" t="s">
        <v>1128</v>
      </c>
      <c r="C6883" s="172"/>
      <c r="D6883" s="173"/>
      <c r="E6883" s="425">
        <f>E6801+E6834+E6867</f>
        <v>0.59200000000000008</v>
      </c>
      <c r="F6883" s="139" t="s">
        <v>1124</v>
      </c>
      <c r="G6883" s="196"/>
      <c r="H6883" s="196"/>
      <c r="I6883" s="196"/>
      <c r="J6883" s="196"/>
    </row>
    <row r="6884" spans="1:56" s="848" customFormat="1" ht="15">
      <c r="A6884"/>
      <c r="B6884" s="1011" t="s">
        <v>1129</v>
      </c>
      <c r="C6884" s="172"/>
      <c r="D6884" s="173"/>
      <c r="E6884" s="880">
        <f>E6802+E6835+E6868</f>
        <v>46.930000000000007</v>
      </c>
      <c r="F6884" s="139" t="s">
        <v>13</v>
      </c>
      <c r="G6884" s="196"/>
      <c r="H6884" s="196"/>
      <c r="I6884" s="196"/>
      <c r="J6884" s="196"/>
    </row>
    <row r="6885" spans="1:56" s="848" customFormat="1" ht="18">
      <c r="A6885"/>
      <c r="B6885" s="1011" t="s">
        <v>1130</v>
      </c>
      <c r="C6885" s="172"/>
      <c r="D6885" s="173"/>
      <c r="E6885" s="425">
        <f>E6803+E6836+E6869</f>
        <v>7.2149999999999999</v>
      </c>
      <c r="F6885" s="139" t="s">
        <v>1124</v>
      </c>
      <c r="G6885"/>
      <c r="H6885"/>
      <c r="I6885"/>
      <c r="J6885"/>
    </row>
    <row r="6886" spans="1:56" s="848" customFormat="1" ht="12.75">
      <c r="A6886"/>
      <c r="B6886" s="889"/>
      <c r="C6886" s="1"/>
      <c r="D6886" s="1"/>
      <c r="E6886" s="1"/>
      <c r="F6886" s="890"/>
      <c r="G6886" s="1"/>
      <c r="H6886" s="3"/>
      <c r="I6886" s="3"/>
      <c r="J6886" s="3"/>
    </row>
    <row r="6887" spans="1:56">
      <c r="A6887" s="114"/>
      <c r="B6887" s="691" t="s">
        <v>1193</v>
      </c>
      <c r="C6887" s="1008"/>
      <c r="D6887" s="452" t="s">
        <v>1194</v>
      </c>
      <c r="E6887" s="452" t="s">
        <v>67</v>
      </c>
      <c r="F6887" s="182"/>
      <c r="G6887" s="795"/>
      <c r="H6887" s="795"/>
      <c r="I6887" s="795"/>
      <c r="J6887" s="114"/>
      <c r="AU6887" s="117"/>
      <c r="AV6887" s="117"/>
      <c r="AW6887" s="117"/>
      <c r="AX6887" s="117"/>
      <c r="AY6887" s="117"/>
      <c r="AZ6887" s="117"/>
      <c r="BA6887" s="117"/>
      <c r="BB6887" s="117"/>
      <c r="BC6887" s="117"/>
      <c r="BD6887" s="117"/>
    </row>
    <row r="6888" spans="1:56">
      <c r="A6888" s="114"/>
      <c r="B6888" s="1011" t="s">
        <v>2111</v>
      </c>
      <c r="C6888" s="413"/>
      <c r="D6888" s="291">
        <f>E6864+E6831</f>
        <v>91</v>
      </c>
      <c r="E6888" s="427">
        <f>E6861+E6828</f>
        <v>7</v>
      </c>
      <c r="F6888" s="182"/>
      <c r="G6888" s="795"/>
      <c r="H6888" s="795"/>
      <c r="I6888" s="795"/>
      <c r="J6888" s="114"/>
      <c r="AU6888" s="117"/>
      <c r="AV6888" s="117"/>
      <c r="AW6888" s="117"/>
      <c r="AX6888" s="117"/>
      <c r="AY6888" s="117"/>
      <c r="AZ6888" s="117"/>
      <c r="BA6888" s="117"/>
      <c r="BB6888" s="117"/>
      <c r="BC6888" s="117"/>
      <c r="BD6888" s="117"/>
    </row>
    <row r="6889" spans="1:56">
      <c r="A6889" s="114"/>
      <c r="B6889" s="1011" t="s">
        <v>2111</v>
      </c>
      <c r="C6889" s="413"/>
      <c r="D6889" s="291">
        <f>F6873</f>
        <v>640</v>
      </c>
      <c r="E6889" s="1021">
        <f>D6873</f>
        <v>40</v>
      </c>
      <c r="F6889" s="182"/>
      <c r="G6889" s="872"/>
      <c r="H6889" s="872"/>
      <c r="I6889" s="872"/>
      <c r="J6889" s="114"/>
      <c r="AU6889" s="117"/>
      <c r="AV6889" s="117"/>
      <c r="AW6889" s="117"/>
      <c r="AX6889" s="117"/>
      <c r="AY6889" s="117"/>
      <c r="AZ6889" s="117"/>
      <c r="BA6889" s="117"/>
      <c r="BB6889" s="117"/>
      <c r="BC6889" s="117"/>
      <c r="BD6889" s="117"/>
    </row>
    <row r="6890" spans="1:56">
      <c r="A6890" s="114"/>
      <c r="B6890" s="694"/>
      <c r="C6890" s="1008"/>
      <c r="D6890" s="1"/>
      <c r="E6890" s="1"/>
      <c r="F6890" s="182"/>
      <c r="G6890" s="1008"/>
      <c r="H6890" s="1008"/>
      <c r="I6890" s="1008"/>
      <c r="J6890" s="114"/>
      <c r="AU6890" s="117"/>
      <c r="AV6890" s="117"/>
      <c r="AW6890" s="117"/>
      <c r="AX6890" s="117"/>
      <c r="AY6890" s="117"/>
      <c r="AZ6890" s="117"/>
      <c r="BA6890" s="117"/>
      <c r="BB6890" s="117"/>
      <c r="BC6890" s="117"/>
      <c r="BD6890" s="117"/>
    </row>
    <row r="6891" spans="1:56" thickBot="1">
      <c r="A6891" s="114"/>
      <c r="B6891" s="1023" t="s">
        <v>102</v>
      </c>
      <c r="C6891" s="1016">
        <v>3946</v>
      </c>
      <c r="D6891" s="1024" t="s">
        <v>12</v>
      </c>
      <c r="E6891" s="1191" t="s">
        <v>2387</v>
      </c>
      <c r="F6891" s="1192"/>
      <c r="G6891" s="1008"/>
      <c r="H6891" s="1008"/>
      <c r="I6891" s="1008"/>
      <c r="J6891" s="114"/>
      <c r="AU6891" s="117"/>
      <c r="AV6891" s="117"/>
      <c r="AW6891" s="117"/>
      <c r="AX6891" s="117"/>
      <c r="AY6891" s="117"/>
      <c r="AZ6891" s="117"/>
      <c r="BA6891" s="117"/>
      <c r="BB6891" s="117"/>
      <c r="BC6891" s="117"/>
      <c r="BD6891" s="117"/>
    </row>
    <row r="6892" spans="1:56">
      <c r="A6892" s="114"/>
      <c r="B6892" s="288"/>
      <c r="C6892" s="1008"/>
      <c r="D6892" s="1"/>
      <c r="E6892" s="1"/>
      <c r="F6892" s="115"/>
      <c r="G6892" s="1008"/>
      <c r="H6892" s="1008"/>
      <c r="I6892" s="1008"/>
      <c r="J6892" s="114"/>
      <c r="AU6892" s="117"/>
      <c r="AV6892" s="117"/>
      <c r="AW6892" s="117"/>
      <c r="AX6892" s="117"/>
      <c r="AY6892" s="117"/>
      <c r="AZ6892" s="117"/>
      <c r="BA6892" s="117"/>
      <c r="BB6892" s="117"/>
      <c r="BC6892" s="117"/>
      <c r="BD6892" s="117"/>
    </row>
    <row r="6893" spans="1:56" s="848" customFormat="1" ht="12.75">
      <c r="A6893"/>
      <c r="B6893" s="1"/>
      <c r="C6893" s="1"/>
      <c r="D6893" s="1"/>
      <c r="E6893" s="1"/>
      <c r="F6893" s="1"/>
      <c r="G6893" s="1"/>
      <c r="H6893" s="3"/>
      <c r="I6893" s="3"/>
      <c r="J6893" s="3"/>
    </row>
    <row r="6894" spans="1:56" customFormat="1" ht="13.5" thickBot="1">
      <c r="B6894" s="795"/>
      <c r="C6894" s="795"/>
      <c r="D6894" s="795"/>
      <c r="E6894" s="795"/>
      <c r="F6894" s="795"/>
      <c r="G6894" s="795"/>
      <c r="H6894" s="795"/>
      <c r="I6894" s="795"/>
      <c r="J6894" s="795"/>
    </row>
    <row r="6895" spans="1:56">
      <c r="A6895" s="114"/>
      <c r="B6895" s="702" t="s">
        <v>320</v>
      </c>
      <c r="C6895" s="282"/>
      <c r="D6895" s="282"/>
      <c r="E6895" s="282"/>
      <c r="F6895" s="283"/>
      <c r="G6895" s="196"/>
      <c r="H6895" s="196"/>
      <c r="I6895" s="196"/>
      <c r="J6895" s="114"/>
      <c r="AW6895" s="117"/>
      <c r="AX6895" s="117"/>
      <c r="AY6895" s="117"/>
      <c r="AZ6895" s="117"/>
      <c r="BA6895" s="117"/>
      <c r="BB6895" s="117"/>
      <c r="BC6895" s="117"/>
      <c r="BD6895" s="117"/>
    </row>
    <row r="6896" spans="1:56" ht="15">
      <c r="A6896" s="114"/>
      <c r="B6896" s="693"/>
      <c r="C6896" s="196"/>
      <c r="D6896" s="196"/>
      <c r="E6896" s="196"/>
      <c r="F6896" s="284"/>
      <c r="G6896" s="196"/>
      <c r="H6896" s="196"/>
      <c r="I6896" s="196"/>
      <c r="J6896" s="114"/>
      <c r="AW6896" s="117"/>
      <c r="AX6896" s="117"/>
      <c r="AY6896" s="117"/>
      <c r="AZ6896" s="117"/>
      <c r="BA6896" s="117"/>
      <c r="BB6896" s="117"/>
      <c r="BC6896" s="117"/>
      <c r="BD6896" s="117"/>
    </row>
    <row r="6897" spans="1:56" customFormat="1" ht="12.75">
      <c r="B6897" s="40"/>
      <c r="C6897" s="872"/>
      <c r="D6897" s="872"/>
      <c r="E6897" s="872"/>
      <c r="F6897" s="424"/>
      <c r="G6897" s="795"/>
      <c r="H6897" s="795"/>
      <c r="I6897" s="795"/>
      <c r="J6897" s="795"/>
    </row>
    <row r="6898" spans="1:56" customFormat="1" ht="15">
      <c r="B6898" s="691" t="s">
        <v>351</v>
      </c>
      <c r="C6898" s="872"/>
      <c r="D6898" s="872"/>
      <c r="E6898" s="872"/>
      <c r="F6898" s="424"/>
      <c r="G6898" s="795"/>
      <c r="H6898" s="795"/>
      <c r="I6898" s="795"/>
      <c r="J6898" s="795"/>
    </row>
    <row r="6899" spans="1:56" thickBot="1">
      <c r="A6899" s="114"/>
      <c r="B6899" s="897" t="s">
        <v>352</v>
      </c>
      <c r="C6899" s="174"/>
      <c r="D6899" s="176"/>
      <c r="E6899" s="477">
        <f>SUM(C6891:C6891)</f>
        <v>3946</v>
      </c>
      <c r="F6899" s="440" t="s">
        <v>12</v>
      </c>
      <c r="G6899" s="795"/>
      <c r="H6899" s="795"/>
      <c r="I6899" s="795"/>
      <c r="J6899" s="114"/>
      <c r="AU6899" s="117"/>
      <c r="AV6899" s="117"/>
      <c r="AW6899" s="117"/>
      <c r="AX6899" s="117"/>
      <c r="AY6899" s="117"/>
      <c r="AZ6899" s="117"/>
      <c r="BA6899" s="117"/>
      <c r="BB6899" s="117"/>
      <c r="BC6899" s="117"/>
      <c r="BD6899" s="117"/>
    </row>
    <row r="6900" spans="1:56" customFormat="1" ht="12.75"/>
    <row r="6903" spans="1:56" ht="16.5" customHeight="1">
      <c r="A6903" s="114"/>
      <c r="B6903" s="760" t="s">
        <v>2283</v>
      </c>
      <c r="C6903" s="382"/>
      <c r="D6903" s="382"/>
      <c r="E6903" s="382"/>
      <c r="F6903" s="382"/>
      <c r="G6903" s="382"/>
      <c r="H6903" s="383"/>
      <c r="I6903" s="383"/>
      <c r="J6903" s="351"/>
      <c r="AW6903" s="117"/>
      <c r="AX6903" s="117"/>
      <c r="AY6903" s="117"/>
      <c r="AZ6903" s="117"/>
      <c r="BA6903" s="117"/>
      <c r="BB6903" s="117"/>
      <c r="BC6903" s="117"/>
      <c r="BD6903" s="117"/>
    </row>
    <row r="6905" spans="1:56">
      <c r="B6905" s="385"/>
      <c r="C6905" s="196"/>
      <c r="D6905" s="196"/>
      <c r="E6905" s="196"/>
      <c r="F6905" s="196"/>
      <c r="G6905" s="196"/>
      <c r="H6905" s="196"/>
      <c r="I6905" s="196"/>
      <c r="J6905" s="196"/>
    </row>
    <row r="6906" spans="1:56" ht="15">
      <c r="B6906" s="873" t="s">
        <v>1141</v>
      </c>
      <c r="C6906" s="685">
        <v>13.5</v>
      </c>
      <c r="D6906" s="390" t="s">
        <v>10</v>
      </c>
      <c r="E6906"/>
      <c r="F6906" s="877"/>
      <c r="G6906" s="877"/>
      <c r="H6906" s="877"/>
      <c r="I6906" s="877"/>
      <c r="J6906" s="877"/>
    </row>
    <row r="6907" spans="1:56" ht="15">
      <c r="B6907" s="873" t="s">
        <v>1145</v>
      </c>
      <c r="C6907" s="685">
        <v>10</v>
      </c>
      <c r="D6907" s="390" t="s">
        <v>10</v>
      </c>
      <c r="E6907" s="196"/>
      <c r="F6907" s="405"/>
      <c r="G6907" s="406"/>
      <c r="H6907" s="407"/>
      <c r="I6907" s="405"/>
      <c r="J6907" s="405"/>
    </row>
    <row r="6908" spans="1:56" ht="15">
      <c r="B6908" s="873" t="s">
        <v>2176</v>
      </c>
      <c r="C6908" s="685">
        <v>3.4</v>
      </c>
      <c r="D6908" s="390" t="s">
        <v>10</v>
      </c>
      <c r="E6908" s="196"/>
      <c r="F6908" s="405"/>
      <c r="G6908" s="406"/>
      <c r="H6908" s="408"/>
      <c r="I6908" s="405"/>
      <c r="J6908" s="405"/>
    </row>
    <row r="6909" spans="1:56" ht="15">
      <c r="B6909" s="873" t="s">
        <v>1111</v>
      </c>
      <c r="C6909" s="685">
        <v>11.25</v>
      </c>
      <c r="D6909" s="390" t="s">
        <v>10</v>
      </c>
      <c r="E6909" s="196"/>
      <c r="F6909" s="405"/>
      <c r="G6909" s="406"/>
      <c r="H6909" s="408"/>
      <c r="I6909" s="405"/>
      <c r="J6909" s="405"/>
    </row>
    <row r="6910" spans="1:56" ht="15">
      <c r="B6910" s="873" t="s">
        <v>1144</v>
      </c>
      <c r="C6910" s="685">
        <v>10.75</v>
      </c>
      <c r="D6910" s="390" t="s">
        <v>10</v>
      </c>
      <c r="E6910" s="196"/>
      <c r="F6910" s="405"/>
      <c r="G6910" s="406"/>
      <c r="H6910" s="408"/>
      <c r="I6910" s="405"/>
      <c r="J6910" s="405"/>
    </row>
    <row r="6911" spans="1:56" ht="15">
      <c r="B6911" s="873" t="s">
        <v>1112</v>
      </c>
      <c r="C6911" s="685">
        <v>4.3</v>
      </c>
      <c r="D6911" s="390" t="s">
        <v>10</v>
      </c>
      <c r="E6911" s="196"/>
      <c r="F6911" s="405"/>
      <c r="G6911" s="406"/>
      <c r="H6911" s="407"/>
      <c r="I6911" s="405"/>
      <c r="J6911" s="405"/>
    </row>
    <row r="6912" spans="1:56" ht="15">
      <c r="B6912" s="873" t="s">
        <v>1113</v>
      </c>
      <c r="C6912" s="685">
        <v>3.3</v>
      </c>
      <c r="D6912" s="390" t="s">
        <v>10</v>
      </c>
      <c r="E6912" s="196"/>
      <c r="F6912" s="405"/>
      <c r="G6912" s="406"/>
      <c r="H6912" s="409"/>
      <c r="I6912" s="405"/>
      <c r="J6912" s="405"/>
    </row>
    <row r="6913" spans="1:56" ht="15">
      <c r="B6913" s="873" t="s">
        <v>1115</v>
      </c>
      <c r="C6913" s="685">
        <v>1</v>
      </c>
      <c r="D6913" s="390" t="s">
        <v>10</v>
      </c>
      <c r="E6913" s="196"/>
      <c r="F6913" s="405"/>
      <c r="G6913" s="406"/>
      <c r="H6913" s="409"/>
      <c r="I6913" s="405"/>
      <c r="J6913" s="405"/>
    </row>
    <row r="6914" spans="1:56" ht="15">
      <c r="B6914" s="873" t="s">
        <v>2177</v>
      </c>
      <c r="C6914" s="685">
        <v>1.8</v>
      </c>
      <c r="D6914" s="390" t="s">
        <v>10</v>
      </c>
      <c r="E6914" s="196"/>
      <c r="F6914" s="405"/>
      <c r="G6914" s="406"/>
      <c r="H6914" s="409"/>
      <c r="I6914" s="405"/>
      <c r="J6914" s="405"/>
    </row>
    <row r="6915" spans="1:56" ht="15">
      <c r="B6915" s="873" t="s">
        <v>1117</v>
      </c>
      <c r="C6915" s="391">
        <v>1</v>
      </c>
      <c r="D6915" s="390" t="s">
        <v>1118</v>
      </c>
      <c r="E6915" s="196"/>
      <c r="F6915" s="405"/>
      <c r="G6915" s="406"/>
      <c r="H6915" s="407"/>
      <c r="I6915" s="405"/>
      <c r="J6915" s="405"/>
    </row>
    <row r="6916" spans="1:56" ht="15">
      <c r="B6916" s="196" t="s">
        <v>1148</v>
      </c>
      <c r="C6916" s="917"/>
      <c r="D6916" s="196"/>
      <c r="E6916" s="196"/>
      <c r="F6916" s="405"/>
      <c r="G6916" s="406"/>
      <c r="H6916" s="407"/>
      <c r="I6916" s="405"/>
      <c r="J6916" s="405"/>
    </row>
    <row r="6917" spans="1:56" ht="15">
      <c r="B6917" s="873" t="s">
        <v>1149</v>
      </c>
      <c r="C6917" s="927">
        <v>90</v>
      </c>
      <c r="D6917" s="390" t="s">
        <v>1150</v>
      </c>
      <c r="E6917" s="196"/>
      <c r="F6917" s="196"/>
      <c r="G6917" s="392"/>
      <c r="H6917" s="196" t="s">
        <v>1131</v>
      </c>
      <c r="I6917" s="196"/>
      <c r="J6917" s="196"/>
    </row>
    <row r="6918" spans="1:56" ht="15">
      <c r="B6918" s="918"/>
      <c r="C6918" s="196"/>
      <c r="D6918" s="196"/>
      <c r="E6918" s="196"/>
      <c r="F6918" s="196"/>
      <c r="G6918"/>
      <c r="H6918"/>
      <c r="I6918"/>
      <c r="J6918" s="196"/>
    </row>
    <row r="6919" spans="1:56" ht="15">
      <c r="B6919" s="873" t="s">
        <v>1114</v>
      </c>
      <c r="C6919" s="685">
        <v>0.6</v>
      </c>
      <c r="D6919" s="390" t="s">
        <v>10</v>
      </c>
      <c r="E6919" s="288" t="s">
        <v>1120</v>
      </c>
      <c r="F6919" s="196"/>
      <c r="G6919"/>
      <c r="H6919"/>
      <c r="I6919"/>
      <c r="J6919" s="196"/>
    </row>
    <row r="6920" spans="1:56" ht="15">
      <c r="B6920" s="873" t="s">
        <v>1114</v>
      </c>
      <c r="C6920" s="685">
        <v>0.6</v>
      </c>
      <c r="D6920" s="390" t="s">
        <v>10</v>
      </c>
      <c r="E6920" s="288" t="s">
        <v>1121</v>
      </c>
      <c r="F6920" s="196"/>
      <c r="G6920" s="196"/>
      <c r="H6920" s="196"/>
      <c r="I6920" s="196"/>
      <c r="J6920" s="196"/>
    </row>
    <row r="6921" spans="1:56">
      <c r="B6921"/>
      <c r="C6921"/>
      <c r="D6921"/>
      <c r="E6921"/>
      <c r="F6921"/>
      <c r="I6921" s="196"/>
      <c r="J6921" s="196"/>
    </row>
    <row r="6922" spans="1:56" ht="15">
      <c r="A6922" s="114"/>
      <c r="B6922" s="293"/>
      <c r="C6922" s="387"/>
      <c r="D6922" s="387"/>
      <c r="E6922" s="387"/>
      <c r="F6922" s="387"/>
      <c r="G6922" s="387"/>
      <c r="H6922" s="386"/>
      <c r="I6922" s="386"/>
      <c r="J6922" s="114"/>
      <c r="AW6922" s="117"/>
      <c r="AX6922" s="117"/>
      <c r="AY6922" s="117"/>
      <c r="AZ6922" s="117"/>
      <c r="BA6922" s="117"/>
      <c r="BB6922" s="117"/>
      <c r="BC6922" s="117"/>
      <c r="BD6922" s="117"/>
    </row>
    <row r="6923" spans="1:56" s="800" customFormat="1">
      <c r="A6923"/>
      <c r="B6923" s="906" t="s">
        <v>2108</v>
      </c>
      <c r="C6923" s="902" t="s">
        <v>61</v>
      </c>
      <c r="D6923" s="902" t="s">
        <v>2109</v>
      </c>
      <c r="E6923" s="903" t="s">
        <v>2110</v>
      </c>
      <c r="F6923" s="870"/>
      <c r="G6923"/>
    </row>
    <row r="6924" spans="1:56" s="800" customFormat="1" ht="12.75">
      <c r="A6924"/>
      <c r="B6924" s="904" t="s">
        <v>2142</v>
      </c>
      <c r="C6924" s="905">
        <v>25</v>
      </c>
      <c r="D6924" s="861">
        <v>16</v>
      </c>
      <c r="E6924" s="855">
        <f>C6924*D6924</f>
        <v>400</v>
      </c>
      <c r="F6924" s="138"/>
      <c r="G6924"/>
    </row>
    <row r="6925" spans="1:56" s="800" customFormat="1" ht="12.75">
      <c r="A6925"/>
      <c r="B6925" s="300"/>
      <c r="C6925" s="235"/>
      <c r="D6925" s="862"/>
      <c r="E6925" s="138"/>
      <c r="F6925" s="138"/>
      <c r="G6925" s="138"/>
      <c r="H6925" s="138"/>
      <c r="I6925" s="138"/>
      <c r="J6925"/>
    </row>
    <row r="6926" spans="1:56" ht="15">
      <c r="B6926" s="303" t="s">
        <v>1122</v>
      </c>
      <c r="C6926"/>
      <c r="D6926"/>
      <c r="E6926"/>
      <c r="F6926"/>
      <c r="G6926" s="196"/>
      <c r="H6926" s="114"/>
      <c r="I6926"/>
      <c r="J6926" s="196"/>
    </row>
    <row r="6927" spans="1:56" ht="18">
      <c r="B6927" s="916" t="s">
        <v>1123</v>
      </c>
      <c r="C6927" s="172"/>
      <c r="D6927" s="173"/>
      <c r="E6927" s="397">
        <f>C6915*((C6907+1*C6919)*(C6909+2*C6919)*(C6911-C6912+0.05)+(C6908+2*C6919)*(C6909+2*C6919)*(C6914+0.05))</f>
        <v>244.51799999999997</v>
      </c>
      <c r="F6927" s="390" t="s">
        <v>1124</v>
      </c>
      <c r="G6927" s="196"/>
      <c r="H6927"/>
      <c r="I6927"/>
      <c r="J6927"/>
    </row>
    <row r="6928" spans="1:56" ht="18">
      <c r="B6928" s="916" t="s">
        <v>1125</v>
      </c>
      <c r="C6928" s="172"/>
      <c r="D6928" s="173"/>
      <c r="E6928" s="400">
        <f>E6927-C6915*(((C6907+C6919+C6908)*C6909*(C6913+0.05))+(C6908*C6909*(C6914-(C6913+0.05))))</f>
        <v>50.455499999999972</v>
      </c>
      <c r="F6928" s="390" t="s">
        <v>1124</v>
      </c>
      <c r="G6928" s="196"/>
      <c r="H6928" s="114"/>
      <c r="I6928" s="196"/>
      <c r="J6928" s="196"/>
    </row>
    <row r="6929" spans="1:56" ht="15">
      <c r="B6929" s="916" t="s">
        <v>1126</v>
      </c>
      <c r="C6929" s="172"/>
      <c r="D6929" s="173"/>
      <c r="E6929" s="400">
        <f>C6915*(3*C6920+C6907+C6908)*(C6909+2*C6920)</f>
        <v>189.24</v>
      </c>
      <c r="F6929" s="390" t="s">
        <v>13</v>
      </c>
      <c r="G6929"/>
      <c r="H6929"/>
      <c r="I6929"/>
      <c r="J6929"/>
    </row>
    <row r="6930" spans="1:56">
      <c r="H6930" s="196"/>
    </row>
    <row r="6932" spans="1:56" ht="16.5" thickBot="1"/>
    <row r="6933" spans="1:56">
      <c r="A6933" s="114"/>
      <c r="B6933" s="702" t="s">
        <v>1189</v>
      </c>
      <c r="C6933" s="282"/>
      <c r="D6933" s="282"/>
      <c r="E6933" s="282"/>
      <c r="F6933" s="283"/>
    </row>
    <row r="6934" spans="1:56">
      <c r="A6934" s="114"/>
      <c r="B6934" s="693"/>
      <c r="C6934" s="196"/>
      <c r="D6934" s="196"/>
      <c r="E6934" s="196"/>
      <c r="F6934" s="284"/>
    </row>
    <row r="6935" spans="1:56">
      <c r="A6935" s="114"/>
      <c r="B6935" s="879" t="s">
        <v>1122</v>
      </c>
      <c r="C6935" s="410"/>
      <c r="D6935" s="1008"/>
      <c r="E6935" s="1008"/>
      <c r="F6935" s="424"/>
    </row>
    <row r="6936" spans="1:56" ht="18">
      <c r="A6936" s="114"/>
      <c r="B6936" s="1011" t="s">
        <v>1123</v>
      </c>
      <c r="C6936" s="172"/>
      <c r="D6936" s="173"/>
      <c r="E6936" s="880">
        <f>E6927</f>
        <v>244.51799999999997</v>
      </c>
      <c r="F6936" s="139" t="s">
        <v>1124</v>
      </c>
    </row>
    <row r="6937" spans="1:56" ht="18">
      <c r="A6937" s="114"/>
      <c r="B6937" s="1011" t="s">
        <v>1125</v>
      </c>
      <c r="C6937" s="172"/>
      <c r="D6937" s="173"/>
      <c r="E6937" s="291">
        <f>E6928</f>
        <v>50.455499999999972</v>
      </c>
      <c r="F6937" s="139" t="s">
        <v>1124</v>
      </c>
    </row>
    <row r="6938" spans="1:56">
      <c r="A6938" s="114"/>
      <c r="B6938" s="1011" t="s">
        <v>1126</v>
      </c>
      <c r="C6938" s="172"/>
      <c r="D6938" s="173"/>
      <c r="E6938" s="291">
        <f>E6929</f>
        <v>189.24</v>
      </c>
      <c r="F6938" s="139" t="s">
        <v>13</v>
      </c>
    </row>
    <row r="6939" spans="1:56">
      <c r="A6939" s="114"/>
      <c r="B6939" s="694"/>
      <c r="C6939" s="230"/>
      <c r="D6939" s="230"/>
      <c r="E6939" s="484"/>
      <c r="F6939" s="284"/>
    </row>
    <row r="6940" spans="1:56" s="848" customFormat="1" ht="15">
      <c r="A6940"/>
      <c r="B6940" s="693"/>
      <c r="C6940" s="196"/>
      <c r="D6940" s="196"/>
      <c r="E6940" s="196"/>
      <c r="F6940" s="284"/>
      <c r="G6940"/>
      <c r="H6940"/>
      <c r="I6940"/>
      <c r="J6940"/>
    </row>
    <row r="6941" spans="1:56">
      <c r="A6941" s="114"/>
      <c r="B6941" s="691" t="s">
        <v>1193</v>
      </c>
      <c r="C6941" s="1008"/>
      <c r="D6941" s="452" t="s">
        <v>1194</v>
      </c>
      <c r="E6941" s="452" t="s">
        <v>67</v>
      </c>
      <c r="F6941" s="182"/>
      <c r="G6941" s="795"/>
      <c r="H6941" s="795"/>
      <c r="I6941" s="795"/>
      <c r="J6941" s="114"/>
      <c r="AU6941" s="117"/>
      <c r="AV6941" s="117"/>
      <c r="AW6941" s="117"/>
      <c r="AX6941" s="117"/>
      <c r="AY6941" s="117"/>
      <c r="AZ6941" s="117"/>
      <c r="BA6941" s="117"/>
      <c r="BB6941" s="117"/>
      <c r="BC6941" s="117"/>
      <c r="BD6941" s="117"/>
    </row>
    <row r="6942" spans="1:56">
      <c r="A6942" s="114"/>
      <c r="B6942" s="777" t="s">
        <v>2113</v>
      </c>
      <c r="C6942" s="181"/>
      <c r="D6942" s="291">
        <f>E6924</f>
        <v>400</v>
      </c>
      <c r="E6942" s="427">
        <f>C6924</f>
        <v>25</v>
      </c>
      <c r="F6942" s="182"/>
      <c r="G6942" s="795"/>
      <c r="H6942" s="795"/>
      <c r="I6942" s="795"/>
      <c r="J6942" s="114"/>
      <c r="AU6942" s="117"/>
      <c r="AV6942" s="117"/>
      <c r="AW6942" s="117"/>
      <c r="AX6942" s="117"/>
      <c r="AY6942" s="117"/>
      <c r="AZ6942" s="117"/>
      <c r="BA6942" s="117"/>
      <c r="BB6942" s="117"/>
      <c r="BC6942" s="117"/>
      <c r="BD6942" s="117"/>
    </row>
    <row r="6943" spans="1:56">
      <c r="A6943" s="114"/>
      <c r="B6943" s="694"/>
      <c r="C6943" s="1008"/>
      <c r="D6943" s="115"/>
      <c r="E6943" s="115"/>
      <c r="F6943" s="182"/>
      <c r="G6943" s="1008"/>
      <c r="H6943" s="1008"/>
      <c r="I6943" s="1008"/>
      <c r="J6943" s="114"/>
      <c r="AU6943" s="117"/>
      <c r="AV6943" s="117"/>
      <c r="AW6943" s="117"/>
      <c r="AX6943" s="117"/>
      <c r="AY6943" s="117"/>
      <c r="AZ6943" s="117"/>
      <c r="BA6943" s="117"/>
      <c r="BB6943" s="117"/>
      <c r="BC6943" s="117"/>
      <c r="BD6943" s="117"/>
    </row>
    <row r="6944" spans="1:56" thickBot="1">
      <c r="A6944" s="114"/>
      <c r="B6944" s="1023" t="s">
        <v>102</v>
      </c>
      <c r="C6944" s="1016">
        <v>2174</v>
      </c>
      <c r="D6944" s="1024" t="s">
        <v>12</v>
      </c>
      <c r="E6944" s="1191" t="s">
        <v>2293</v>
      </c>
      <c r="F6944" s="1192"/>
      <c r="G6944" s="1008"/>
      <c r="H6944" s="1008"/>
      <c r="I6944" s="1008"/>
      <c r="J6944" s="114"/>
      <c r="AU6944" s="117"/>
      <c r="AV6944" s="117"/>
      <c r="AW6944" s="117"/>
      <c r="AX6944" s="117"/>
      <c r="AY6944" s="117"/>
      <c r="AZ6944" s="117"/>
      <c r="BA6944" s="117"/>
      <c r="BB6944" s="117"/>
      <c r="BC6944" s="117"/>
      <c r="BD6944" s="117"/>
    </row>
    <row r="6945" spans="1:56" s="848" customFormat="1" ht="12.75">
      <c r="A6945"/>
      <c r="B6945" s="1"/>
      <c r="C6945" s="1"/>
      <c r="D6945" s="1"/>
      <c r="E6945" s="1"/>
      <c r="F6945" s="1"/>
      <c r="G6945" s="1"/>
      <c r="H6945" s="3"/>
      <c r="I6945" s="3"/>
      <c r="J6945" s="3"/>
    </row>
    <row r="6946" spans="1:56" customFormat="1" ht="13.5" thickBot="1">
      <c r="B6946" s="795"/>
      <c r="C6946" s="795"/>
      <c r="D6946" s="795"/>
      <c r="E6946" s="795"/>
      <c r="F6946" s="795"/>
      <c r="G6946" s="795"/>
      <c r="H6946" s="795"/>
      <c r="I6946" s="795"/>
      <c r="J6946" s="795"/>
    </row>
    <row r="6947" spans="1:56">
      <c r="A6947" s="114"/>
      <c r="B6947" s="702" t="s">
        <v>320</v>
      </c>
      <c r="C6947" s="282"/>
      <c r="D6947" s="282"/>
      <c r="E6947" s="282"/>
      <c r="F6947" s="283"/>
      <c r="G6947" s="196"/>
      <c r="H6947" s="196"/>
      <c r="I6947" s="196"/>
      <c r="J6947" s="114"/>
      <c r="AW6947" s="117"/>
      <c r="AX6947" s="117"/>
      <c r="AY6947" s="117"/>
      <c r="AZ6947" s="117"/>
      <c r="BA6947" s="117"/>
      <c r="BB6947" s="117"/>
      <c r="BC6947" s="117"/>
      <c r="BD6947" s="117"/>
    </row>
    <row r="6948" spans="1:56" ht="15">
      <c r="A6948" s="114"/>
      <c r="B6948" s="693"/>
      <c r="C6948" s="196"/>
      <c r="D6948" s="196"/>
      <c r="E6948" s="196"/>
      <c r="F6948" s="284"/>
      <c r="G6948" s="196"/>
      <c r="H6948" s="196"/>
      <c r="I6948" s="196"/>
      <c r="J6948" s="114"/>
      <c r="AW6948" s="117"/>
      <c r="AX6948" s="117"/>
      <c r="AY6948" s="117"/>
      <c r="AZ6948" s="117"/>
      <c r="BA6948" s="117"/>
      <c r="BB6948" s="117"/>
      <c r="BC6948" s="117"/>
      <c r="BD6948" s="117"/>
    </row>
    <row r="6949" spans="1:56" customFormat="1" ht="12.75">
      <c r="B6949" s="40"/>
      <c r="C6949" s="872"/>
      <c r="D6949" s="872"/>
      <c r="E6949" s="872"/>
      <c r="F6949" s="424"/>
      <c r="G6949" s="795"/>
      <c r="H6949" s="795"/>
      <c r="I6949" s="795"/>
      <c r="J6949" s="795"/>
    </row>
    <row r="6950" spans="1:56" customFormat="1" ht="15">
      <c r="B6950" s="691" t="s">
        <v>351</v>
      </c>
      <c r="C6950" s="872"/>
      <c r="D6950" s="872"/>
      <c r="E6950" s="872"/>
      <c r="F6950" s="424"/>
      <c r="G6950" s="795"/>
      <c r="H6950" s="795"/>
      <c r="I6950" s="795"/>
      <c r="J6950" s="795"/>
    </row>
    <row r="6951" spans="1:56" thickBot="1">
      <c r="A6951" s="114"/>
      <c r="B6951" s="897" t="s">
        <v>352</v>
      </c>
      <c r="C6951" s="174"/>
      <c r="D6951" s="176"/>
      <c r="E6951" s="477">
        <f>SUM(C6944:C6944)</f>
        <v>2174</v>
      </c>
      <c r="F6951" s="440" t="s">
        <v>12</v>
      </c>
      <c r="G6951" s="795"/>
      <c r="H6951" s="795"/>
      <c r="I6951" s="795"/>
      <c r="J6951" s="114"/>
      <c r="AU6951" s="117"/>
      <c r="AV6951" s="117"/>
      <c r="AW6951" s="117"/>
      <c r="AX6951" s="117"/>
      <c r="AY6951" s="117"/>
      <c r="AZ6951" s="117"/>
      <c r="BA6951" s="117"/>
      <c r="BB6951" s="117"/>
      <c r="BC6951" s="117"/>
      <c r="BD6951" s="117"/>
    </row>
    <row r="6952" spans="1:56" ht="16.5" thickBot="1"/>
    <row r="6953" spans="1:56" s="800" customFormat="1" ht="12.75">
      <c r="A6953"/>
      <c r="B6953" s="891"/>
      <c r="C6953" s="892"/>
      <c r="D6953" s="892"/>
      <c r="E6953" s="892"/>
      <c r="F6953" s="892"/>
      <c r="G6953" s="892"/>
      <c r="H6953" s="893"/>
      <c r="I6953" s="893"/>
      <c r="J6953" s="893"/>
      <c r="K6953" s="848"/>
    </row>
    <row r="6954" spans="1:56" s="800" customFormat="1" ht="16.5" customHeight="1">
      <c r="A6954"/>
      <c r="B6954" s="1180" t="s">
        <v>2291</v>
      </c>
      <c r="C6954" s="1180"/>
      <c r="D6954" s="1180"/>
      <c r="E6954" s="1180"/>
      <c r="F6954" s="1180"/>
      <c r="G6954" s="1180"/>
      <c r="H6954" s="1180"/>
      <c r="I6954" s="1180"/>
      <c r="J6954" s="1180"/>
      <c r="K6954" s="848"/>
    </row>
    <row r="6955" spans="1:56" s="800" customFormat="1" ht="12.75">
      <c r="A6955"/>
      <c r="B6955" s="1"/>
      <c r="C6955" s="1"/>
      <c r="D6955" s="1"/>
      <c r="E6955" s="1"/>
      <c r="F6955" s="1"/>
      <c r="G6955" s="1"/>
      <c r="H6955" s="3"/>
      <c r="I6955" s="3"/>
      <c r="J6955" s="3"/>
      <c r="K6955" s="848"/>
    </row>
    <row r="6956" spans="1:56" s="800" customFormat="1" ht="12.75">
      <c r="A6956"/>
      <c r="B6956" s="1"/>
      <c r="C6956" s="1"/>
      <c r="D6956" s="1"/>
      <c r="E6956" s="1"/>
      <c r="F6956" s="1"/>
      <c r="G6956" s="1"/>
      <c r="H6956" s="3"/>
      <c r="I6956" s="3"/>
      <c r="J6956" s="3"/>
      <c r="K6956" s="848"/>
    </row>
    <row r="6957" spans="1:56" s="800" customFormat="1" ht="15">
      <c r="A6957"/>
      <c r="B6957" s="303" t="s">
        <v>2120</v>
      </c>
      <c r="C6957" s="196"/>
      <c r="D6957" s="196"/>
      <c r="E6957" s="196"/>
      <c r="F6957" s="196"/>
      <c r="G6957" s="196"/>
      <c r="H6957" s="196"/>
      <c r="I6957" s="196"/>
      <c r="J6957" s="196"/>
      <c r="K6957" s="848"/>
    </row>
    <row r="6958" spans="1:56" s="800" customFormat="1" ht="15">
      <c r="A6958"/>
      <c r="B6958" s="196"/>
      <c r="C6958" s="196"/>
      <c r="D6958" s="196"/>
      <c r="E6958" s="196"/>
      <c r="F6958" s="196"/>
      <c r="G6958" s="196"/>
      <c r="H6958" s="196"/>
      <c r="I6958" s="196"/>
      <c r="J6958" s="196"/>
      <c r="K6958" s="848"/>
    </row>
    <row r="6959" spans="1:56" s="800" customFormat="1" ht="15">
      <c r="A6959"/>
      <c r="B6959" s="873" t="s">
        <v>1110</v>
      </c>
      <c r="C6959" s="874">
        <v>0.2</v>
      </c>
      <c r="D6959" s="390" t="s">
        <v>10</v>
      </c>
      <c r="E6959" s="196"/>
      <c r="F6959" s="196"/>
      <c r="G6959" s="392"/>
      <c r="H6959" s="393"/>
      <c r="I6959" s="196"/>
      <c r="J6959" s="196"/>
      <c r="K6959" s="848"/>
    </row>
    <row r="6960" spans="1:56" s="800" customFormat="1" ht="15">
      <c r="A6960"/>
      <c r="B6960" s="873" t="s">
        <v>1111</v>
      </c>
      <c r="C6960" s="874">
        <v>24.7</v>
      </c>
      <c r="D6960" s="390" t="s">
        <v>10</v>
      </c>
      <c r="E6960" s="196"/>
      <c r="F6960" s="196"/>
      <c r="G6960" s="392"/>
      <c r="H6960" s="393"/>
      <c r="I6960" s="196"/>
      <c r="J6960" s="196"/>
      <c r="K6960" s="848"/>
    </row>
    <row r="6961" spans="1:11" s="800" customFormat="1" ht="15">
      <c r="A6961"/>
      <c r="B6961" s="873" t="s">
        <v>1112</v>
      </c>
      <c r="C6961" s="874">
        <v>0.35</v>
      </c>
      <c r="D6961" s="390" t="s">
        <v>10</v>
      </c>
      <c r="E6961" s="196"/>
      <c r="F6961" s="196"/>
      <c r="G6961" s="392"/>
      <c r="H6961" s="393"/>
      <c r="I6961" s="196"/>
      <c r="J6961" s="196"/>
      <c r="K6961" s="848"/>
    </row>
    <row r="6962" spans="1:11" s="800" customFormat="1" ht="15">
      <c r="A6962"/>
      <c r="B6962" s="873" t="s">
        <v>1113</v>
      </c>
      <c r="C6962" s="874">
        <v>0.5</v>
      </c>
      <c r="D6962" s="390" t="s">
        <v>10</v>
      </c>
      <c r="E6962" s="196"/>
      <c r="F6962" s="196"/>
      <c r="G6962" s="392"/>
      <c r="H6962" s="394"/>
      <c r="I6962" s="196"/>
      <c r="J6962" s="196"/>
      <c r="K6962" s="848"/>
    </row>
    <row r="6963" spans="1:11" s="800" customFormat="1" ht="15">
      <c r="A6963"/>
      <c r="B6963" s="873" t="s">
        <v>1117</v>
      </c>
      <c r="C6963" s="874">
        <v>1</v>
      </c>
      <c r="D6963" s="390" t="s">
        <v>1118</v>
      </c>
      <c r="E6963" s="196"/>
      <c r="F6963" s="196"/>
      <c r="G6963" s="392"/>
      <c r="H6963" s="393"/>
      <c r="I6963" s="196"/>
      <c r="J6963" s="196"/>
      <c r="K6963" s="848"/>
    </row>
    <row r="6964" spans="1:11" s="800" customFormat="1" ht="15">
      <c r="A6964"/>
      <c r="B6964" s="392"/>
      <c r="C6964" s="393"/>
      <c r="D6964" s="196"/>
      <c r="E6964" s="196"/>
      <c r="F6964" s="196"/>
      <c r="G6964" s="392"/>
      <c r="H6964" s="393"/>
      <c r="I6964" s="196"/>
      <c r="J6964" s="196"/>
      <c r="K6964" s="848"/>
    </row>
    <row r="6965" spans="1:11" s="800" customFormat="1" ht="15">
      <c r="A6965"/>
      <c r="B6965" s="390" t="s">
        <v>1114</v>
      </c>
      <c r="C6965" s="389">
        <v>0.5</v>
      </c>
      <c r="D6965" s="390" t="s">
        <v>10</v>
      </c>
      <c r="E6965" s="288" t="s">
        <v>1120</v>
      </c>
      <c r="F6965" s="288"/>
      <c r="G6965" s="230"/>
      <c r="H6965" s="395"/>
      <c r="I6965" s="196"/>
      <c r="J6965" s="196"/>
      <c r="K6965" s="848"/>
    </row>
    <row r="6966" spans="1:11" s="800" customFormat="1" ht="15">
      <c r="A6966"/>
      <c r="B6966" s="390" t="s">
        <v>1114</v>
      </c>
      <c r="C6966" s="389">
        <v>0.1</v>
      </c>
      <c r="D6966" s="390" t="s">
        <v>10</v>
      </c>
      <c r="E6966" s="288" t="s">
        <v>1121</v>
      </c>
      <c r="F6966" s="288"/>
      <c r="G6966" s="230"/>
      <c r="H6966" s="395"/>
      <c r="I6966" s="196"/>
      <c r="J6966" s="196"/>
      <c r="K6966" s="848"/>
    </row>
    <row r="6967" spans="1:11" s="800" customFormat="1" ht="15">
      <c r="A6967"/>
      <c r="B6967" s="196"/>
      <c r="C6967" s="196"/>
      <c r="D6967" s="196"/>
      <c r="E6967" s="196"/>
      <c r="F6967" s="196"/>
      <c r="G6967" s="196"/>
      <c r="H6967" s="196"/>
      <c r="I6967" s="196"/>
      <c r="J6967" s="196"/>
      <c r="K6967" s="848"/>
    </row>
    <row r="6968" spans="1:11" s="800" customFormat="1" ht="15">
      <c r="A6968"/>
      <c r="B6968" s="303" t="s">
        <v>1122</v>
      </c>
      <c r="C6968"/>
      <c r="D6968"/>
      <c r="E6968" s="196"/>
      <c r="F6968" s="196"/>
      <c r="G6968" s="196"/>
      <c r="H6968" s="196"/>
      <c r="I6968" s="196"/>
      <c r="J6968" s="196"/>
      <c r="K6968" s="848"/>
    </row>
    <row r="6969" spans="1:11" s="800" customFormat="1" ht="18">
      <c r="A6969"/>
      <c r="B6969" s="799" t="s">
        <v>1123</v>
      </c>
      <c r="C6969" s="875"/>
      <c r="D6969" s="875"/>
      <c r="E6969" s="400">
        <f>C6963*(C6965*2*(0.05+C6962+C6961)*C6960)</f>
        <v>22.23</v>
      </c>
      <c r="F6969" s="390" t="s">
        <v>1124</v>
      </c>
      <c r="G6969" s="196"/>
      <c r="H6969" s="196"/>
      <c r="I6969" s="196"/>
      <c r="J6969" s="196"/>
      <c r="K6969" s="848"/>
    </row>
    <row r="6970" spans="1:11" s="800" customFormat="1" ht="18">
      <c r="A6970"/>
      <c r="B6970" s="799" t="s">
        <v>1125</v>
      </c>
      <c r="C6970" s="875"/>
      <c r="D6970" s="875"/>
      <c r="E6970" s="400">
        <f>E6969-((C6959*0.05+C6959*C6962)*C6960)</f>
        <v>19.513000000000002</v>
      </c>
      <c r="F6970" s="390" t="s">
        <v>1124</v>
      </c>
      <c r="G6970" s="196"/>
      <c r="H6970" s="196"/>
      <c r="I6970" s="196"/>
      <c r="J6970" s="196"/>
      <c r="K6970" s="848"/>
    </row>
    <row r="6971" spans="1:11" s="800" customFormat="1" ht="15">
      <c r="A6971"/>
      <c r="B6971" s="798" t="s">
        <v>1126</v>
      </c>
      <c r="C6971" s="172"/>
      <c r="D6971" s="173"/>
      <c r="E6971" s="400">
        <f>(2*C6966)*C6960</f>
        <v>4.9400000000000004</v>
      </c>
      <c r="F6971" s="390" t="s">
        <v>13</v>
      </c>
      <c r="G6971" s="196"/>
      <c r="H6971" s="196"/>
      <c r="I6971" s="196"/>
      <c r="J6971" s="196"/>
      <c r="K6971" s="848"/>
    </row>
    <row r="6972" spans="1:11" s="800" customFormat="1" ht="15">
      <c r="A6972"/>
      <c r="B6972" s="196"/>
      <c r="C6972" s="196"/>
      <c r="D6972" s="196"/>
      <c r="E6972" s="401"/>
      <c r="F6972" s="196"/>
      <c r="G6972" s="196"/>
      <c r="H6972" s="196"/>
      <c r="I6972" s="196"/>
      <c r="J6972" s="196"/>
      <c r="K6972" s="848"/>
    </row>
    <row r="6973" spans="1:11" s="800" customFormat="1" ht="15">
      <c r="A6973"/>
      <c r="B6973" s="303" t="s">
        <v>1127</v>
      </c>
      <c r="C6973" s="196"/>
      <c r="D6973" s="196"/>
      <c r="E6973" s="401"/>
      <c r="F6973" s="196"/>
      <c r="G6973" s="196"/>
      <c r="H6973" s="196"/>
      <c r="I6973" s="196"/>
      <c r="J6973" s="196"/>
      <c r="K6973" s="848"/>
    </row>
    <row r="6974" spans="1:11" s="800" customFormat="1" ht="18">
      <c r="A6974"/>
      <c r="B6974" s="798" t="s">
        <v>1128</v>
      </c>
      <c r="C6974" s="172"/>
      <c r="D6974" s="173"/>
      <c r="E6974" s="402">
        <f>E6971*0.05</f>
        <v>0.24700000000000003</v>
      </c>
      <c r="F6974" s="390" t="s">
        <v>1124</v>
      </c>
      <c r="G6974" s="196"/>
      <c r="H6974" s="196"/>
      <c r="I6974" s="196"/>
      <c r="J6974" s="196"/>
      <c r="K6974" s="848"/>
    </row>
    <row r="6975" spans="1:11" s="800" customFormat="1" ht="15">
      <c r="A6975"/>
      <c r="B6975" s="798" t="s">
        <v>1129</v>
      </c>
      <c r="C6975" s="172"/>
      <c r="D6975" s="173"/>
      <c r="E6975" s="397">
        <f>C6962*2*C6960</f>
        <v>24.7</v>
      </c>
      <c r="F6975" s="390" t="s">
        <v>13</v>
      </c>
      <c r="G6975" s="393" t="s">
        <v>1108</v>
      </c>
      <c r="H6975" s="1190" t="s">
        <v>1131</v>
      </c>
      <c r="I6975" s="1190"/>
      <c r="J6975" s="1190"/>
      <c r="K6975" s="848"/>
    </row>
    <row r="6976" spans="1:11" s="800" customFormat="1" ht="18">
      <c r="A6976"/>
      <c r="B6976" s="798" t="s">
        <v>1130</v>
      </c>
      <c r="C6976" s="172"/>
      <c r="D6976" s="173"/>
      <c r="E6976" s="402">
        <f>C6959*C6960*C6962</f>
        <v>2.4700000000000002</v>
      </c>
      <c r="F6976" s="390" t="s">
        <v>1124</v>
      </c>
      <c r="G6976" s="196"/>
      <c r="H6976" s="196"/>
      <c r="I6976" s="196"/>
      <c r="J6976" s="196"/>
      <c r="K6976" s="848"/>
    </row>
    <row r="6977" spans="1:11" s="800" customFormat="1" ht="15">
      <c r="A6977"/>
      <c r="B6977" s="196"/>
      <c r="C6977" s="196"/>
      <c r="D6977" s="196"/>
      <c r="E6977" s="196"/>
      <c r="F6977" s="196"/>
      <c r="G6977" s="196"/>
      <c r="H6977" s="196"/>
      <c r="I6977" s="196"/>
      <c r="J6977" s="196"/>
      <c r="K6977" s="848"/>
    </row>
    <row r="6978" spans="1:11" s="800" customFormat="1" ht="15">
      <c r="A6978"/>
      <c r="B6978" s="196"/>
      <c r="C6978" s="196"/>
      <c r="D6978" s="196"/>
      <c r="E6978" s="196"/>
      <c r="F6978" s="196"/>
      <c r="G6978" s="196"/>
      <c r="H6978" s="196"/>
      <c r="I6978" s="196"/>
      <c r="J6978" s="196"/>
      <c r="K6978" s="848"/>
    </row>
    <row r="6979" spans="1:11" s="800" customFormat="1">
      <c r="A6979"/>
      <c r="B6979" s="385" t="s">
        <v>2121</v>
      </c>
      <c r="C6979" s="196"/>
      <c r="D6979" s="196"/>
      <c r="E6979" s="196"/>
      <c r="F6979" s="196"/>
      <c r="G6979" s="196"/>
      <c r="H6979" s="196"/>
      <c r="I6979" s="196"/>
      <c r="J6979" s="196"/>
      <c r="K6979" s="848"/>
    </row>
    <row r="6980" spans="1:11" s="800" customFormat="1" ht="12.75">
      <c r="A6980"/>
      <c r="B6980"/>
      <c r="C6980"/>
      <c r="D6980"/>
      <c r="E6980"/>
      <c r="F6980" s="877"/>
      <c r="G6980" s="877"/>
      <c r="H6980" s="877"/>
      <c r="I6980" s="877"/>
      <c r="J6980" s="877"/>
      <c r="K6980" s="848"/>
    </row>
    <row r="6981" spans="1:11" s="800" customFormat="1" ht="18">
      <c r="A6981"/>
      <c r="B6981" s="873" t="s">
        <v>1141</v>
      </c>
      <c r="C6981" s="389">
        <v>0.2</v>
      </c>
      <c r="D6981" s="390" t="s">
        <v>10</v>
      </c>
      <c r="E6981" s="196"/>
      <c r="F6981" s="405"/>
      <c r="G6981" s="406" t="s">
        <v>1142</v>
      </c>
      <c r="H6981" s="407">
        <f>C6981*C6982</f>
        <v>0.06</v>
      </c>
      <c r="I6981" s="405" t="s">
        <v>1143</v>
      </c>
      <c r="J6981" s="405"/>
      <c r="K6981" s="848"/>
    </row>
    <row r="6982" spans="1:11" s="800" customFormat="1" ht="15">
      <c r="A6982"/>
      <c r="B6982" s="873" t="s">
        <v>1144</v>
      </c>
      <c r="C6982" s="389">
        <v>0.3</v>
      </c>
      <c r="D6982" s="390" t="s">
        <v>10</v>
      </c>
      <c r="E6982" s="196"/>
      <c r="F6982" s="405"/>
      <c r="G6982" s="406" t="e">
        <f>TEXT(C6989,"tg 0°=")</f>
        <v>#VALUE!</v>
      </c>
      <c r="H6982" s="408">
        <f>TAN(3.14159265359*C6989/180)</f>
        <v>1.732050807569153</v>
      </c>
      <c r="I6982" s="405"/>
      <c r="J6982" s="405"/>
      <c r="K6982" s="848"/>
    </row>
    <row r="6983" spans="1:11" s="800" customFormat="1" ht="15">
      <c r="A6983"/>
      <c r="B6983" s="873" t="s">
        <v>1145</v>
      </c>
      <c r="C6983" s="389">
        <v>0.6</v>
      </c>
      <c r="D6983" s="390" t="s">
        <v>10</v>
      </c>
      <c r="E6983" s="196"/>
      <c r="F6983" s="405"/>
      <c r="G6983" s="406"/>
      <c r="H6983" s="407"/>
      <c r="I6983" s="405"/>
      <c r="J6983" s="405"/>
      <c r="K6983" s="848"/>
    </row>
    <row r="6984" spans="1:11" s="800" customFormat="1" ht="18">
      <c r="A6984"/>
      <c r="B6984" s="873" t="s">
        <v>1146</v>
      </c>
      <c r="C6984" s="389">
        <v>0.6</v>
      </c>
      <c r="D6984" s="390" t="s">
        <v>10</v>
      </c>
      <c r="E6984" s="196"/>
      <c r="F6984" s="405"/>
      <c r="G6984" s="406" t="s">
        <v>1142</v>
      </c>
      <c r="H6984" s="409">
        <f>(C6983+2*C6991+((C6985+C6986+0.05)/H6982)*2)*(C6984+2*C6991+((C6985+C6986+0.05)/H6982)*2)</f>
        <v>7.9097938089532018</v>
      </c>
      <c r="I6984" s="405" t="s">
        <v>1143</v>
      </c>
      <c r="J6984" s="405"/>
      <c r="K6984" s="848"/>
    </row>
    <row r="6985" spans="1:11" s="800" customFormat="1" ht="18">
      <c r="A6985"/>
      <c r="B6985" s="873" t="s">
        <v>1112</v>
      </c>
      <c r="C6985" s="389">
        <v>0.35</v>
      </c>
      <c r="D6985" s="390" t="s">
        <v>10</v>
      </c>
      <c r="E6985" s="196"/>
      <c r="F6985" s="405"/>
      <c r="G6985" s="406" t="s">
        <v>1147</v>
      </c>
      <c r="H6985" s="409">
        <f>(C6983+2*C6991)*(C6984+2*C6991)</f>
        <v>2.5600000000000005</v>
      </c>
      <c r="I6985" s="405" t="s">
        <v>1143</v>
      </c>
      <c r="J6985" s="405"/>
      <c r="K6985" s="848"/>
    </row>
    <row r="6986" spans="1:11" s="800" customFormat="1" ht="15">
      <c r="A6986"/>
      <c r="B6986" s="873" t="s">
        <v>1113</v>
      </c>
      <c r="C6986" s="389">
        <v>0.65</v>
      </c>
      <c r="D6986" s="390" t="s">
        <v>10</v>
      </c>
      <c r="E6986" s="196"/>
      <c r="F6986" s="405"/>
      <c r="G6986" s="406"/>
      <c r="H6986" s="407"/>
      <c r="I6986" s="405"/>
      <c r="J6986" s="405"/>
      <c r="K6986" s="848"/>
    </row>
    <row r="6987" spans="1:11" s="800" customFormat="1" ht="15">
      <c r="A6987"/>
      <c r="B6987" s="873" t="s">
        <v>1117</v>
      </c>
      <c r="C6987" s="391">
        <v>6</v>
      </c>
      <c r="D6987" s="390" t="s">
        <v>1118</v>
      </c>
      <c r="E6987" s="196"/>
      <c r="F6987" s="405"/>
      <c r="G6987" s="406"/>
      <c r="H6987" s="407"/>
      <c r="I6987" s="405"/>
      <c r="J6987" s="405"/>
      <c r="K6987" s="848"/>
    </row>
    <row r="6988" spans="1:11" s="800" customFormat="1" ht="15">
      <c r="A6988"/>
      <c r="B6988" s="196" t="s">
        <v>1148</v>
      </c>
      <c r="C6988" s="393"/>
      <c r="D6988" s="196"/>
      <c r="E6988" s="196"/>
      <c r="F6988" s="405"/>
      <c r="G6988" s="406"/>
      <c r="H6988" s="407"/>
      <c r="I6988" s="405"/>
      <c r="J6988" s="405"/>
      <c r="K6988" s="848"/>
    </row>
    <row r="6989" spans="1:11" s="800" customFormat="1" ht="15">
      <c r="A6989"/>
      <c r="B6989" s="390" t="s">
        <v>1149</v>
      </c>
      <c r="C6989" s="389">
        <v>60</v>
      </c>
      <c r="D6989" s="390" t="s">
        <v>1150</v>
      </c>
      <c r="E6989" s="196"/>
      <c r="F6989" s="196"/>
      <c r="G6989" s="392"/>
      <c r="H6989" s="393"/>
      <c r="I6989" s="196"/>
      <c r="J6989" s="196"/>
      <c r="K6989" s="848"/>
    </row>
    <row r="6990" spans="1:11" s="800" customFormat="1" ht="15">
      <c r="A6990"/>
      <c r="B6990"/>
      <c r="C6990" s="196"/>
      <c r="D6990" s="196"/>
      <c r="E6990" s="196"/>
      <c r="F6990" s="196"/>
      <c r="G6990"/>
      <c r="H6990"/>
      <c r="I6990"/>
      <c r="J6990" s="196"/>
      <c r="K6990" s="848"/>
    </row>
    <row r="6991" spans="1:11" s="800" customFormat="1" ht="15">
      <c r="A6991"/>
      <c r="B6991" s="390" t="s">
        <v>1114</v>
      </c>
      <c r="C6991" s="389">
        <v>0.5</v>
      </c>
      <c r="D6991" s="390" t="s">
        <v>10</v>
      </c>
      <c r="E6991" s="288" t="s">
        <v>1120</v>
      </c>
      <c r="F6991" s="196"/>
      <c r="G6991"/>
      <c r="H6991"/>
      <c r="I6991"/>
      <c r="J6991" s="196"/>
      <c r="K6991" s="848"/>
    </row>
    <row r="6992" spans="1:11" s="800" customFormat="1" ht="15">
      <c r="A6992"/>
      <c r="B6992" s="390" t="s">
        <v>1114</v>
      </c>
      <c r="C6992" s="389">
        <v>0.1</v>
      </c>
      <c r="D6992" s="390" t="s">
        <v>10</v>
      </c>
      <c r="E6992" s="288" t="s">
        <v>1121</v>
      </c>
      <c r="F6992" s="196"/>
      <c r="G6992" s="196"/>
      <c r="H6992" s="196"/>
      <c r="I6992" s="196"/>
      <c r="J6992" s="196"/>
      <c r="K6992" s="848"/>
    </row>
    <row r="6993" spans="1:11" s="800" customFormat="1" ht="15">
      <c r="A6993"/>
      <c r="B6993"/>
      <c r="C6993"/>
      <c r="D6993"/>
      <c r="E6993"/>
      <c r="F6993"/>
      <c r="G6993" s="196" t="s">
        <v>1326</v>
      </c>
      <c r="H6993"/>
      <c r="I6993" s="196"/>
      <c r="J6993" s="196"/>
      <c r="K6993" s="848"/>
    </row>
    <row r="6994" spans="1:11" s="800" customFormat="1" ht="15">
      <c r="A6994"/>
      <c r="B6994" s="303" t="s">
        <v>1122</v>
      </c>
      <c r="C6994"/>
      <c r="D6994"/>
      <c r="E6994"/>
      <c r="F6994"/>
      <c r="G6994" s="196"/>
      <c r="H6994" s="196"/>
      <c r="I6994" s="196"/>
      <c r="J6994" s="196"/>
      <c r="K6994" s="848"/>
    </row>
    <row r="6995" spans="1:11" s="800" customFormat="1" ht="18">
      <c r="A6995"/>
      <c r="B6995" s="798" t="s">
        <v>1123</v>
      </c>
      <c r="C6995" s="172"/>
      <c r="D6995" s="173"/>
      <c r="E6995" s="397">
        <f>C6987*((H6985+H6984)/2)*(C6985+C6986+0.05)</f>
        <v>32.979850498202588</v>
      </c>
      <c r="F6995" s="390" t="s">
        <v>1124</v>
      </c>
      <c r="G6995" s="196"/>
      <c r="H6995"/>
      <c r="I6995"/>
      <c r="J6995"/>
      <c r="K6995" s="848"/>
    </row>
    <row r="6996" spans="1:11" s="800" customFormat="1" ht="18">
      <c r="A6996"/>
      <c r="B6996" s="798" t="s">
        <v>1125</v>
      </c>
      <c r="C6996" s="172"/>
      <c r="D6996" s="173"/>
      <c r="E6996" s="400">
        <f>E6995-C6987*(C6983*C6984*C6986+C6983*C6984*0.05+C6981*C6982*C6985)</f>
        <v>31.341850498202586</v>
      </c>
      <c r="F6996" s="390" t="s">
        <v>1124</v>
      </c>
      <c r="G6996" s="196"/>
      <c r="H6996" s="196"/>
      <c r="I6996" s="196"/>
      <c r="J6996" s="196"/>
      <c r="K6996" s="848"/>
    </row>
    <row r="6997" spans="1:11" s="800" customFormat="1" ht="15">
      <c r="A6997"/>
      <c r="B6997" s="798" t="s">
        <v>1126</v>
      </c>
      <c r="C6997" s="172"/>
      <c r="D6997" s="173"/>
      <c r="E6997" s="400">
        <f>((C6983+2*C6992)*(C6984+2*C6992))*C6987</f>
        <v>3.8400000000000007</v>
      </c>
      <c r="F6997" s="390" t="s">
        <v>13</v>
      </c>
      <c r="G6997"/>
      <c r="H6997"/>
      <c r="I6997"/>
      <c r="J6997"/>
      <c r="K6997" s="848"/>
    </row>
    <row r="6998" spans="1:11" s="800" customFormat="1" ht="15">
      <c r="A6998"/>
      <c r="B6998"/>
      <c r="C6998"/>
      <c r="D6998"/>
      <c r="E6998" s="401"/>
      <c r="F6998" s="196"/>
      <c r="G6998"/>
      <c r="H6998"/>
      <c r="I6998"/>
      <c r="J6998"/>
      <c r="K6998" s="848"/>
    </row>
    <row r="6999" spans="1:11" s="800" customFormat="1" ht="15">
      <c r="A6999"/>
      <c r="B6999" s="303" t="s">
        <v>1162</v>
      </c>
      <c r="C6999" s="795"/>
      <c r="D6999" s="795"/>
      <c r="E6999" s="410"/>
      <c r="F6999" s="795"/>
      <c r="G6999"/>
      <c r="H6999"/>
      <c r="I6999"/>
      <c r="J6999"/>
      <c r="K6999" s="848"/>
    </row>
    <row r="7000" spans="1:11" s="800" customFormat="1" ht="15">
      <c r="A7000"/>
      <c r="B7000" s="798" t="s">
        <v>1152</v>
      </c>
      <c r="C7000" s="398"/>
      <c r="D7000" s="837"/>
      <c r="E7000" s="411">
        <v>1</v>
      </c>
      <c r="F7000" s="390" t="s">
        <v>1153</v>
      </c>
      <c r="G7000"/>
      <c r="H7000"/>
      <c r="I7000"/>
      <c r="J7000"/>
      <c r="K7000" s="848"/>
    </row>
    <row r="7001" spans="1:11" s="800" customFormat="1" ht="15">
      <c r="A7001"/>
      <c r="B7001" s="797" t="s">
        <v>1154</v>
      </c>
      <c r="C7001" s="31"/>
      <c r="D7001" s="32"/>
      <c r="E7001" s="412">
        <f>C6987*E7000</f>
        <v>6</v>
      </c>
      <c r="F7001" s="390" t="s">
        <v>1153</v>
      </c>
      <c r="G7001"/>
      <c r="H7001"/>
      <c r="I7001"/>
      <c r="J7001"/>
      <c r="K7001" s="848"/>
    </row>
    <row r="7002" spans="1:11" s="800" customFormat="1" ht="15">
      <c r="A7002"/>
      <c r="B7002" s="798" t="s">
        <v>1155</v>
      </c>
      <c r="C7002" s="21"/>
      <c r="D7002" s="413"/>
      <c r="E7002" s="411">
        <v>250</v>
      </c>
      <c r="F7002" s="390" t="s">
        <v>1156</v>
      </c>
      <c r="G7002"/>
      <c r="H7002"/>
      <c r="I7002"/>
      <c r="J7002"/>
      <c r="K7002" s="848"/>
    </row>
    <row r="7003" spans="1:11" s="800" customFormat="1" ht="15">
      <c r="A7003"/>
      <c r="B7003" s="798" t="s">
        <v>1157</v>
      </c>
      <c r="C7003" s="21"/>
      <c r="D7003" s="413"/>
      <c r="E7003" s="411">
        <v>12</v>
      </c>
      <c r="F7003" s="390" t="s">
        <v>10</v>
      </c>
      <c r="G7003"/>
      <c r="H7003"/>
      <c r="I7003"/>
      <c r="J7003"/>
      <c r="K7003" s="848"/>
    </row>
    <row r="7004" spans="1:11" s="800" customFormat="1" ht="15">
      <c r="A7004"/>
      <c r="B7004" s="798" t="s">
        <v>1158</v>
      </c>
      <c r="C7004" s="21"/>
      <c r="D7004" s="413"/>
      <c r="E7004" s="412">
        <f>E7001*E7003</f>
        <v>72</v>
      </c>
      <c r="F7004" s="390" t="s">
        <v>10</v>
      </c>
      <c r="G7004"/>
      <c r="H7004"/>
      <c r="I7004"/>
      <c r="J7004"/>
      <c r="K7004" s="848"/>
    </row>
    <row r="7005" spans="1:11" s="800" customFormat="1" ht="14.25">
      <c r="A7005"/>
      <c r="B7005"/>
      <c r="C7005"/>
      <c r="D7005"/>
      <c r="E7005" s="878"/>
      <c r="F7005"/>
      <c r="G7005"/>
      <c r="H7005"/>
      <c r="I7005"/>
      <c r="J7005"/>
      <c r="K7005" s="848"/>
    </row>
    <row r="7006" spans="1:11" s="800" customFormat="1" ht="15">
      <c r="A7006"/>
      <c r="B7006" s="303" t="s">
        <v>1160</v>
      </c>
      <c r="C7006"/>
      <c r="D7006"/>
      <c r="E7006" s="878"/>
      <c r="F7006"/>
      <c r="G7006"/>
      <c r="H7006"/>
      <c r="I7006"/>
      <c r="J7006"/>
      <c r="K7006" s="848"/>
    </row>
    <row r="7007" spans="1:11" s="800" customFormat="1" ht="18">
      <c r="A7007"/>
      <c r="B7007" s="798" t="s">
        <v>1128</v>
      </c>
      <c r="C7007" s="172"/>
      <c r="D7007" s="173"/>
      <c r="E7007" s="402">
        <f>E6997*0.05</f>
        <v>0.19200000000000006</v>
      </c>
      <c r="F7007" s="390" t="s">
        <v>1124</v>
      </c>
      <c r="G7007"/>
      <c r="H7007"/>
      <c r="I7007"/>
      <c r="J7007"/>
      <c r="K7007" s="848"/>
    </row>
    <row r="7008" spans="1:11" s="800" customFormat="1" ht="15">
      <c r="A7008"/>
      <c r="B7008" s="798" t="s">
        <v>1129</v>
      </c>
      <c r="C7008" s="172"/>
      <c r="D7008" s="173"/>
      <c r="E7008" s="397">
        <f>(2*(C6983+C6984)*C6986)*C6987</f>
        <v>9.36</v>
      </c>
      <c r="F7008" s="390" t="s">
        <v>13</v>
      </c>
      <c r="G7008"/>
      <c r="H7008"/>
      <c r="I7008"/>
      <c r="J7008"/>
      <c r="K7008" s="848"/>
    </row>
    <row r="7009" spans="1:11" s="800" customFormat="1" ht="18">
      <c r="A7009"/>
      <c r="B7009" s="798" t="s">
        <v>1130</v>
      </c>
      <c r="C7009" s="172"/>
      <c r="D7009" s="173"/>
      <c r="E7009" s="402">
        <f>(C6983*C6984*C6986)*C6987</f>
        <v>1.4039999999999999</v>
      </c>
      <c r="F7009" s="390" t="s">
        <v>1124</v>
      </c>
      <c r="G7009"/>
      <c r="H7009"/>
      <c r="I7009"/>
      <c r="J7009"/>
      <c r="K7009" s="848"/>
    </row>
    <row r="7010" spans="1:11" s="800" customFormat="1" ht="12.75">
      <c r="A7010"/>
      <c r="B7010"/>
      <c r="C7010"/>
      <c r="D7010"/>
      <c r="E7010"/>
      <c r="F7010"/>
      <c r="G7010" s="795"/>
      <c r="H7010" s="795"/>
      <c r="I7010" s="795"/>
      <c r="J7010"/>
      <c r="K7010" s="848"/>
    </row>
    <row r="7011" spans="1:11" s="800" customFormat="1" ht="12.75">
      <c r="A7011"/>
      <c r="B7011"/>
      <c r="C7011"/>
      <c r="D7011"/>
      <c r="E7011"/>
      <c r="F7011"/>
      <c r="G7011"/>
      <c r="H7011"/>
      <c r="I7011"/>
      <c r="J7011"/>
      <c r="K7011" s="848"/>
    </row>
    <row r="7012" spans="1:11" s="800" customFormat="1" ht="15">
      <c r="A7012"/>
      <c r="B7012" s="196"/>
      <c r="C7012" s="196"/>
      <c r="D7012" s="196"/>
      <c r="E7012" s="196"/>
      <c r="F7012" s="196"/>
      <c r="G7012" s="196"/>
      <c r="H7012" s="196"/>
      <c r="I7012" s="196"/>
      <c r="J7012" s="196"/>
      <c r="K7012" s="848"/>
    </row>
    <row r="7013" spans="1:11" s="800" customFormat="1" ht="12.75">
      <c r="A7013"/>
      <c r="B7013"/>
      <c r="C7013"/>
      <c r="D7013"/>
      <c r="E7013"/>
      <c r="F7013"/>
      <c r="G7013"/>
      <c r="H7013"/>
      <c r="I7013"/>
      <c r="J7013"/>
      <c r="K7013" s="848"/>
    </row>
    <row r="7014" spans="1:11" s="800" customFormat="1" ht="13.5" thickBot="1">
      <c r="A7014"/>
      <c r="B7014"/>
      <c r="C7014"/>
      <c r="D7014"/>
      <c r="E7014"/>
      <c r="F7014"/>
      <c r="G7014"/>
      <c r="H7014"/>
      <c r="I7014"/>
      <c r="J7014"/>
      <c r="K7014" s="848"/>
    </row>
    <row r="7015" spans="1:11" s="800" customFormat="1">
      <c r="A7015"/>
      <c r="B7015" s="702" t="s">
        <v>1189</v>
      </c>
      <c r="C7015" s="282"/>
      <c r="D7015" s="282"/>
      <c r="E7015" s="282"/>
      <c r="F7015" s="283"/>
      <c r="G7015"/>
      <c r="H7015"/>
      <c r="I7015"/>
      <c r="J7015"/>
      <c r="K7015" s="848"/>
    </row>
    <row r="7016" spans="1:11" s="800" customFormat="1" ht="15">
      <c r="A7016"/>
      <c r="B7016" s="693"/>
      <c r="C7016" s="196"/>
      <c r="D7016" s="196"/>
      <c r="E7016" s="196"/>
      <c r="F7016" s="284"/>
      <c r="G7016"/>
      <c r="H7016"/>
      <c r="I7016"/>
      <c r="J7016"/>
      <c r="K7016" s="848"/>
    </row>
    <row r="7017" spans="1:11" s="800" customFormat="1" ht="14.25">
      <c r="A7017"/>
      <c r="B7017" s="879" t="s">
        <v>1122</v>
      </c>
      <c r="C7017" s="410"/>
      <c r="D7017" s="1008"/>
      <c r="E7017" s="1008"/>
      <c r="F7017" s="424"/>
      <c r="G7017"/>
      <c r="H7017"/>
      <c r="I7017"/>
      <c r="J7017"/>
      <c r="K7017" s="848"/>
    </row>
    <row r="7018" spans="1:11" s="800" customFormat="1" ht="18">
      <c r="A7018"/>
      <c r="B7018" s="1011" t="s">
        <v>1123</v>
      </c>
      <c r="C7018" s="172"/>
      <c r="D7018" s="173"/>
      <c r="E7018" s="880">
        <f>E6969+E6995</f>
        <v>55.209850498202584</v>
      </c>
      <c r="F7018" s="139" t="s">
        <v>1124</v>
      </c>
      <c r="G7018"/>
      <c r="H7018"/>
      <c r="I7018"/>
      <c r="J7018"/>
      <c r="K7018" s="848"/>
    </row>
    <row r="7019" spans="1:11" s="800" customFormat="1" ht="18">
      <c r="A7019"/>
      <c r="B7019" s="1011" t="s">
        <v>1125</v>
      </c>
      <c r="C7019" s="172"/>
      <c r="D7019" s="173"/>
      <c r="E7019" s="291">
        <f>E6970+E6996</f>
        <v>50.854850498202588</v>
      </c>
      <c r="F7019" s="139" t="s">
        <v>1124</v>
      </c>
      <c r="G7019"/>
      <c r="H7019"/>
      <c r="I7019"/>
      <c r="J7019"/>
      <c r="K7019" s="848"/>
    </row>
    <row r="7020" spans="1:11" s="800" customFormat="1" ht="15">
      <c r="A7020"/>
      <c r="B7020" s="1011" t="s">
        <v>1126</v>
      </c>
      <c r="C7020" s="172"/>
      <c r="D7020" s="173"/>
      <c r="E7020" s="291">
        <f>E6971+E6997</f>
        <v>8.7800000000000011</v>
      </c>
      <c r="F7020" s="139" t="s">
        <v>13</v>
      </c>
      <c r="G7020"/>
      <c r="H7020"/>
      <c r="I7020"/>
      <c r="J7020"/>
      <c r="K7020" s="848"/>
    </row>
    <row r="7021" spans="1:11" s="800" customFormat="1" ht="15">
      <c r="A7021"/>
      <c r="B7021" s="40"/>
      <c r="C7021" s="1008"/>
      <c r="D7021" s="1008"/>
      <c r="E7021" s="401"/>
      <c r="F7021" s="284"/>
      <c r="G7021"/>
      <c r="H7021"/>
      <c r="I7021"/>
      <c r="J7021"/>
      <c r="K7021" s="848"/>
    </row>
    <row r="7022" spans="1:11" s="800" customFormat="1" ht="18">
      <c r="A7022"/>
      <c r="B7022" s="1011" t="s">
        <v>1128</v>
      </c>
      <c r="C7022" s="172"/>
      <c r="D7022" s="173"/>
      <c r="E7022" s="425">
        <f>E6974+E7007</f>
        <v>0.43900000000000006</v>
      </c>
      <c r="F7022" s="139" t="s">
        <v>1124</v>
      </c>
      <c r="G7022" s="196"/>
      <c r="H7022" s="196"/>
      <c r="I7022" s="196"/>
      <c r="J7022" s="196"/>
      <c r="K7022" s="848"/>
    </row>
    <row r="7023" spans="1:11" s="800" customFormat="1" ht="15">
      <c r="A7023"/>
      <c r="B7023" s="1011" t="s">
        <v>1129</v>
      </c>
      <c r="C7023" s="172"/>
      <c r="D7023" s="173"/>
      <c r="E7023" s="880">
        <f>E6975+E7008</f>
        <v>34.06</v>
      </c>
      <c r="F7023" s="139" t="s">
        <v>13</v>
      </c>
      <c r="G7023" s="196"/>
      <c r="H7023" s="196"/>
      <c r="I7023" s="196"/>
      <c r="J7023" s="196"/>
      <c r="K7023" s="848"/>
    </row>
    <row r="7024" spans="1:11" s="800" customFormat="1" ht="18">
      <c r="A7024"/>
      <c r="B7024" s="1011" t="s">
        <v>1130</v>
      </c>
      <c r="C7024" s="172"/>
      <c r="D7024" s="173"/>
      <c r="E7024" s="425">
        <f>E6976+E7009</f>
        <v>3.8740000000000001</v>
      </c>
      <c r="F7024" s="139" t="s">
        <v>1124</v>
      </c>
      <c r="G7024"/>
      <c r="H7024"/>
      <c r="I7024"/>
      <c r="J7024"/>
      <c r="K7024" s="848"/>
    </row>
    <row r="7025" spans="1:56" s="848" customFormat="1" ht="15">
      <c r="A7025"/>
      <c r="B7025" s="693"/>
      <c r="C7025" s="196"/>
      <c r="D7025" s="196"/>
      <c r="E7025" s="196"/>
      <c r="F7025" s="284"/>
      <c r="G7025"/>
      <c r="H7025"/>
      <c r="I7025"/>
      <c r="J7025"/>
    </row>
    <row r="7026" spans="1:56">
      <c r="A7026" s="114"/>
      <c r="B7026" s="691" t="s">
        <v>1193</v>
      </c>
      <c r="C7026" s="1008"/>
      <c r="D7026" s="452" t="s">
        <v>1194</v>
      </c>
      <c r="E7026" s="452" t="s">
        <v>67</v>
      </c>
      <c r="F7026" s="182"/>
      <c r="G7026" s="795"/>
      <c r="H7026" s="795"/>
      <c r="I7026" s="795"/>
      <c r="J7026" s="114"/>
      <c r="AU7026" s="117"/>
      <c r="AV7026" s="117"/>
      <c r="AW7026" s="117"/>
      <c r="AX7026" s="117"/>
      <c r="AY7026" s="117"/>
      <c r="AZ7026" s="117"/>
      <c r="BA7026" s="117"/>
      <c r="BB7026" s="117"/>
      <c r="BC7026" s="117"/>
      <c r="BD7026" s="117"/>
    </row>
    <row r="7027" spans="1:56">
      <c r="A7027" s="114"/>
      <c r="B7027" s="777" t="s">
        <v>2112</v>
      </c>
      <c r="C7027" s="181"/>
      <c r="D7027" s="291">
        <f>E7004</f>
        <v>72</v>
      </c>
      <c r="E7027" s="427">
        <f>E7001</f>
        <v>6</v>
      </c>
      <c r="F7027" s="182"/>
      <c r="G7027" s="795"/>
      <c r="H7027" s="795"/>
      <c r="I7027" s="795"/>
      <c r="J7027" s="114"/>
      <c r="AU7027" s="117"/>
      <c r="AV7027" s="117"/>
      <c r="AW7027" s="117"/>
      <c r="AX7027" s="117"/>
      <c r="AY7027" s="117"/>
      <c r="AZ7027" s="117"/>
      <c r="BA7027" s="117"/>
      <c r="BB7027" s="117"/>
      <c r="BC7027" s="117"/>
      <c r="BD7027" s="117"/>
    </row>
    <row r="7028" spans="1:56">
      <c r="A7028" s="114"/>
      <c r="B7028" s="694"/>
      <c r="C7028" s="1008"/>
      <c r="D7028" s="1"/>
      <c r="E7028" s="1"/>
      <c r="F7028" s="182"/>
      <c r="G7028" s="1008"/>
      <c r="H7028" s="1008"/>
      <c r="I7028" s="1008"/>
      <c r="J7028" s="114"/>
      <c r="AU7028" s="117"/>
      <c r="AV7028" s="117"/>
      <c r="AW7028" s="117"/>
      <c r="AX7028" s="117"/>
      <c r="AY7028" s="117"/>
      <c r="AZ7028" s="117"/>
      <c r="BA7028" s="117"/>
      <c r="BB7028" s="117"/>
      <c r="BC7028" s="117"/>
      <c r="BD7028" s="117"/>
    </row>
    <row r="7029" spans="1:56" thickBot="1">
      <c r="A7029" s="114"/>
      <c r="B7029" s="1023" t="s">
        <v>102</v>
      </c>
      <c r="C7029" s="1016">
        <v>387</v>
      </c>
      <c r="D7029" s="1024" t="s">
        <v>12</v>
      </c>
      <c r="E7029" s="1191" t="s">
        <v>2294</v>
      </c>
      <c r="F7029" s="1192"/>
      <c r="G7029" s="1008"/>
      <c r="H7029" s="1008"/>
      <c r="I7029" s="1008"/>
      <c r="J7029" s="114"/>
      <c r="AU7029" s="117"/>
      <c r="AV7029" s="117"/>
      <c r="AW7029" s="117"/>
      <c r="AX7029" s="117"/>
      <c r="AY7029" s="117"/>
      <c r="AZ7029" s="117"/>
      <c r="BA7029" s="117"/>
      <c r="BB7029" s="117"/>
      <c r="BC7029" s="117"/>
      <c r="BD7029" s="117"/>
    </row>
    <row r="7030" spans="1:56" s="800" customFormat="1" ht="14.25" customHeight="1">
      <c r="A7030"/>
      <c r="B7030" s="1"/>
      <c r="C7030" s="1"/>
      <c r="D7030" s="1"/>
      <c r="E7030" s="1"/>
      <c r="F7030" s="1"/>
      <c r="G7030" s="1"/>
      <c r="H7030" s="3"/>
      <c r="I7030" s="3"/>
      <c r="J7030" s="3"/>
      <c r="K7030" s="848"/>
    </row>
    <row r="7031" spans="1:56" customFormat="1" ht="13.5" thickBot="1">
      <c r="B7031" s="795"/>
      <c r="C7031" s="795"/>
      <c r="D7031" s="795"/>
      <c r="E7031" s="795"/>
      <c r="F7031" s="795"/>
      <c r="G7031" s="795"/>
      <c r="H7031" s="795"/>
      <c r="I7031" s="795"/>
      <c r="J7031" s="795"/>
    </row>
    <row r="7032" spans="1:56">
      <c r="A7032" s="114"/>
      <c r="B7032" s="702" t="s">
        <v>320</v>
      </c>
      <c r="C7032" s="282"/>
      <c r="D7032" s="282"/>
      <c r="E7032" s="282"/>
      <c r="F7032" s="283"/>
      <c r="G7032" s="196"/>
      <c r="H7032" s="196"/>
      <c r="I7032" s="196"/>
      <c r="J7032" s="114"/>
      <c r="AW7032" s="117"/>
      <c r="AX7032" s="117"/>
      <c r="AY7032" s="117"/>
      <c r="AZ7032" s="117"/>
      <c r="BA7032" s="117"/>
      <c r="BB7032" s="117"/>
      <c r="BC7032" s="117"/>
      <c r="BD7032" s="117"/>
    </row>
    <row r="7033" spans="1:56" ht="15">
      <c r="A7033" s="114"/>
      <c r="B7033" s="693"/>
      <c r="C7033" s="196"/>
      <c r="D7033" s="196"/>
      <c r="E7033" s="196"/>
      <c r="F7033" s="284"/>
      <c r="G7033" s="196"/>
      <c r="H7033" s="196"/>
      <c r="I7033" s="196"/>
      <c r="J7033" s="114"/>
      <c r="AW7033" s="117"/>
      <c r="AX7033" s="117"/>
      <c r="AY7033" s="117"/>
      <c r="AZ7033" s="117"/>
      <c r="BA7033" s="117"/>
      <c r="BB7033" s="117"/>
      <c r="BC7033" s="117"/>
      <c r="BD7033" s="117"/>
    </row>
    <row r="7034" spans="1:56" customFormat="1" ht="12.75">
      <c r="B7034" s="40"/>
      <c r="C7034" s="795"/>
      <c r="D7034" s="795"/>
      <c r="E7034" s="795"/>
      <c r="F7034" s="424"/>
      <c r="G7034" s="795"/>
      <c r="H7034" s="795"/>
      <c r="I7034" s="795"/>
      <c r="J7034" s="795"/>
    </row>
    <row r="7035" spans="1:56" customFormat="1" ht="15">
      <c r="B7035" s="691" t="s">
        <v>351</v>
      </c>
      <c r="C7035" s="795"/>
      <c r="D7035" s="795"/>
      <c r="E7035" s="795"/>
      <c r="F7035" s="424"/>
      <c r="G7035" s="795"/>
      <c r="H7035" s="795"/>
      <c r="I7035" s="795"/>
      <c r="J7035" s="795"/>
    </row>
    <row r="7036" spans="1:56" thickBot="1">
      <c r="A7036" s="114"/>
      <c r="B7036" s="720" t="s">
        <v>352</v>
      </c>
      <c r="C7036" s="174"/>
      <c r="D7036" s="176"/>
      <c r="E7036" s="477">
        <f>SUM(C7029:C7029)</f>
        <v>387</v>
      </c>
      <c r="F7036" s="440" t="s">
        <v>12</v>
      </c>
      <c r="G7036" s="795"/>
      <c r="H7036" s="795"/>
      <c r="I7036" s="795"/>
      <c r="J7036" s="114"/>
      <c r="AU7036" s="117"/>
      <c r="AV7036" s="117"/>
      <c r="AW7036" s="117"/>
      <c r="AX7036" s="117"/>
      <c r="AY7036" s="117"/>
      <c r="AZ7036" s="117"/>
      <c r="BA7036" s="117"/>
      <c r="BB7036" s="117"/>
      <c r="BC7036" s="117"/>
      <c r="BD7036" s="117"/>
    </row>
    <row r="7040" spans="1:56" ht="15">
      <c r="B7040" s="1180" t="s">
        <v>2284</v>
      </c>
      <c r="C7040" s="1180"/>
      <c r="D7040" s="1180"/>
      <c r="E7040" s="1180"/>
      <c r="F7040" s="1180"/>
      <c r="G7040" s="1180"/>
      <c r="H7040" s="1180"/>
      <c r="I7040" s="1180"/>
      <c r="J7040" s="1180"/>
    </row>
    <row r="7042" spans="2:10">
      <c r="B7042" s="385" t="s">
        <v>2171</v>
      </c>
      <c r="C7042" s="196"/>
      <c r="D7042" s="196"/>
      <c r="E7042" s="196"/>
      <c r="F7042" s="196"/>
      <c r="G7042" s="196"/>
      <c r="H7042" s="196"/>
      <c r="I7042" s="196"/>
      <c r="J7042" s="196"/>
    </row>
    <row r="7043" spans="2:10" ht="15">
      <c r="B7043"/>
      <c r="C7043"/>
      <c r="D7043"/>
      <c r="E7043"/>
      <c r="F7043" s="877"/>
      <c r="G7043" s="877"/>
      <c r="H7043" s="877"/>
      <c r="I7043" s="877"/>
      <c r="J7043" s="877"/>
    </row>
    <row r="7044" spans="2:10" ht="15">
      <c r="B7044" s="873" t="s">
        <v>1110</v>
      </c>
      <c r="C7044" s="685">
        <v>8</v>
      </c>
      <c r="D7044" s="390" t="s">
        <v>10</v>
      </c>
      <c r="E7044" s="196"/>
      <c r="F7044" s="405"/>
      <c r="G7044" s="406"/>
      <c r="H7044" s="407"/>
      <c r="I7044" s="405"/>
      <c r="J7044" s="405"/>
    </row>
    <row r="7045" spans="2:10" ht="15">
      <c r="B7045" s="873" t="s">
        <v>1111</v>
      </c>
      <c r="C7045" s="685">
        <v>3</v>
      </c>
      <c r="D7045" s="390" t="s">
        <v>10</v>
      </c>
      <c r="E7045" s="196"/>
      <c r="F7045" s="405"/>
      <c r="G7045" s="406"/>
      <c r="H7045" s="408"/>
      <c r="I7045" s="405"/>
      <c r="J7045" s="405"/>
    </row>
    <row r="7046" spans="2:10" ht="15">
      <c r="B7046" s="873" t="s">
        <v>1112</v>
      </c>
      <c r="C7046" s="685">
        <v>0.5</v>
      </c>
      <c r="D7046" s="390" t="s">
        <v>10</v>
      </c>
      <c r="E7046" s="196"/>
      <c r="F7046" s="405"/>
      <c r="G7046" s="406"/>
      <c r="H7046" s="407"/>
      <c r="I7046" s="405"/>
      <c r="J7046" s="405"/>
    </row>
    <row r="7047" spans="2:10" ht="15">
      <c r="B7047" s="873" t="s">
        <v>1113</v>
      </c>
      <c r="C7047" s="685">
        <v>0.15</v>
      </c>
      <c r="D7047" s="390" t="s">
        <v>10</v>
      </c>
      <c r="E7047" s="196"/>
      <c r="F7047" s="405"/>
      <c r="G7047" s="406"/>
      <c r="H7047" s="409"/>
      <c r="I7047" s="405"/>
      <c r="J7047" s="405"/>
    </row>
    <row r="7048" spans="2:10" ht="15">
      <c r="B7048" s="873" t="s">
        <v>1117</v>
      </c>
      <c r="C7048" s="391">
        <v>1</v>
      </c>
      <c r="D7048" s="390" t="s">
        <v>1118</v>
      </c>
      <c r="E7048" s="196"/>
      <c r="F7048" s="405"/>
      <c r="G7048" s="406"/>
      <c r="H7048" s="407"/>
      <c r="I7048" s="405"/>
      <c r="J7048" s="405"/>
    </row>
    <row r="7049" spans="2:10" ht="15">
      <c r="B7049" s="196" t="s">
        <v>1148</v>
      </c>
      <c r="C7049" s="913"/>
      <c r="D7049" s="196"/>
      <c r="E7049" s="196"/>
      <c r="F7049" s="405"/>
      <c r="G7049" s="406"/>
      <c r="H7049" s="407"/>
      <c r="I7049" s="405"/>
      <c r="J7049" s="405"/>
    </row>
    <row r="7050" spans="2:10" ht="15">
      <c r="B7050" s="873" t="s">
        <v>1149</v>
      </c>
      <c r="C7050" s="389">
        <v>90</v>
      </c>
      <c r="D7050" s="390" t="s">
        <v>1150</v>
      </c>
      <c r="E7050" s="196"/>
      <c r="F7050" s="196"/>
      <c r="G7050" s="392"/>
      <c r="H7050" s="913"/>
      <c r="I7050" s="196"/>
      <c r="J7050" s="196"/>
    </row>
    <row r="7051" spans="2:10" ht="15">
      <c r="B7051" s="918"/>
      <c r="C7051" s="196"/>
      <c r="D7051" s="196"/>
      <c r="E7051" s="196"/>
      <c r="F7051" s="196"/>
      <c r="G7051"/>
      <c r="H7051"/>
      <c r="I7051"/>
      <c r="J7051" s="196"/>
    </row>
    <row r="7052" spans="2:10" ht="15">
      <c r="B7052" s="873" t="s">
        <v>1114</v>
      </c>
      <c r="C7052" s="685">
        <v>0.6</v>
      </c>
      <c r="D7052" s="390" t="s">
        <v>10</v>
      </c>
      <c r="E7052" s="288" t="s">
        <v>1120</v>
      </c>
      <c r="F7052" s="196"/>
      <c r="G7052"/>
      <c r="H7052"/>
      <c r="I7052"/>
      <c r="J7052" s="196"/>
    </row>
    <row r="7053" spans="2:10" ht="15">
      <c r="B7053" s="873" t="s">
        <v>1114</v>
      </c>
      <c r="C7053" s="685">
        <v>0.6</v>
      </c>
      <c r="D7053" s="390" t="s">
        <v>10</v>
      </c>
      <c r="E7053" s="288" t="s">
        <v>1121</v>
      </c>
      <c r="F7053" s="196"/>
      <c r="G7053" s="196"/>
      <c r="H7053" s="196"/>
      <c r="I7053" s="196"/>
      <c r="J7053" s="196"/>
    </row>
    <row r="7054" spans="2:10">
      <c r="B7054"/>
      <c r="C7054"/>
      <c r="D7054"/>
      <c r="E7054"/>
      <c r="F7054"/>
      <c r="I7054" s="196"/>
      <c r="J7054" s="196"/>
    </row>
    <row r="7055" spans="2:10" ht="15">
      <c r="B7055" s="303" t="s">
        <v>1122</v>
      </c>
      <c r="C7055"/>
      <c r="D7055"/>
      <c r="E7055"/>
      <c r="F7055"/>
      <c r="G7055" s="196"/>
      <c r="H7055" s="114"/>
      <c r="I7055"/>
      <c r="J7055" s="196"/>
    </row>
    <row r="7056" spans="2:10" ht="18">
      <c r="B7056" s="912" t="s">
        <v>1123</v>
      </c>
      <c r="C7056" s="172"/>
      <c r="D7056" s="173"/>
      <c r="E7056" s="397">
        <f>C7048*(C7044+2*C7052)*(C7045+2*C7052)*(C7046-C7047+0.05)</f>
        <v>15.456</v>
      </c>
      <c r="F7056" s="390" t="s">
        <v>1124</v>
      </c>
      <c r="G7056" s="196"/>
      <c r="H7056"/>
      <c r="I7056"/>
      <c r="J7056"/>
    </row>
    <row r="7057" spans="2:10" ht="18">
      <c r="B7057" s="912" t="s">
        <v>1125</v>
      </c>
      <c r="C7057" s="172"/>
      <c r="D7057" s="173"/>
      <c r="E7057" s="400">
        <f>E7056-C7048*(C7044*C7045*(C7046-C7047+0.05))</f>
        <v>5.8559999999999999</v>
      </c>
      <c r="F7057" s="390" t="s">
        <v>1124</v>
      </c>
      <c r="G7057" s="196"/>
      <c r="H7057" s="196" t="s">
        <v>1131</v>
      </c>
      <c r="I7057" s="196"/>
      <c r="J7057" s="196"/>
    </row>
    <row r="7058" spans="2:10" ht="15">
      <c r="B7058" s="912" t="s">
        <v>1126</v>
      </c>
      <c r="C7058" s="172"/>
      <c r="D7058" s="173"/>
      <c r="E7058" s="400">
        <f>C7048*(C7044+2*C7053)*(C7045+2*C7053)</f>
        <v>38.64</v>
      </c>
      <c r="F7058" s="390" t="s">
        <v>13</v>
      </c>
      <c r="G7058"/>
      <c r="H7058"/>
      <c r="I7058"/>
      <c r="J7058"/>
    </row>
    <row r="7061" spans="2:10" ht="16.5" thickBot="1"/>
    <row r="7062" spans="2:10">
      <c r="B7062" s="702" t="s">
        <v>1189</v>
      </c>
      <c r="C7062" s="282"/>
      <c r="D7062" s="282"/>
      <c r="E7062" s="282"/>
      <c r="F7062" s="283"/>
    </row>
    <row r="7063" spans="2:10">
      <c r="B7063" s="693"/>
      <c r="C7063" s="196"/>
      <c r="D7063" s="196"/>
      <c r="E7063" s="196"/>
      <c r="F7063" s="284"/>
    </row>
    <row r="7064" spans="2:10">
      <c r="B7064" s="879" t="s">
        <v>1122</v>
      </c>
      <c r="C7064" s="410"/>
      <c r="D7064" s="911"/>
      <c r="E7064" s="911"/>
      <c r="F7064" s="424"/>
    </row>
    <row r="7065" spans="2:10" ht="18">
      <c r="B7065" s="914" t="s">
        <v>1123</v>
      </c>
      <c r="C7065" s="172"/>
      <c r="D7065" s="173"/>
      <c r="E7065" s="880">
        <f>E7056</f>
        <v>15.456</v>
      </c>
      <c r="F7065" s="139" t="s">
        <v>1124</v>
      </c>
    </row>
    <row r="7066" spans="2:10" ht="18">
      <c r="B7066" s="914" t="s">
        <v>1125</v>
      </c>
      <c r="C7066" s="172"/>
      <c r="D7066" s="173"/>
      <c r="E7066" s="291">
        <f>E7057</f>
        <v>5.8559999999999999</v>
      </c>
      <c r="F7066" s="139" t="s">
        <v>1124</v>
      </c>
    </row>
    <row r="7067" spans="2:10" ht="16.5" thickBot="1">
      <c r="B7067" s="915" t="s">
        <v>1126</v>
      </c>
      <c r="C7067" s="174"/>
      <c r="D7067" s="176"/>
      <c r="E7067" s="428">
        <f>E7058</f>
        <v>38.64</v>
      </c>
      <c r="F7067" s="440" t="s">
        <v>13</v>
      </c>
    </row>
    <row r="7071" spans="2:10" ht="15">
      <c r="B7071" s="1180" t="s">
        <v>2285</v>
      </c>
      <c r="C7071" s="1180"/>
      <c r="D7071" s="1180"/>
      <c r="E7071" s="1180"/>
      <c r="F7071" s="1180"/>
      <c r="G7071" s="1180"/>
      <c r="H7071" s="1180"/>
      <c r="I7071" s="1180"/>
      <c r="J7071" s="1180"/>
    </row>
    <row r="7073" spans="2:10">
      <c r="B7073" s="385" t="s">
        <v>2172</v>
      </c>
      <c r="C7073" s="196"/>
      <c r="D7073" s="196"/>
      <c r="E7073" s="196"/>
      <c r="F7073" s="196"/>
      <c r="G7073" s="196"/>
      <c r="H7073" s="196"/>
      <c r="I7073" s="196"/>
      <c r="J7073" s="196"/>
    </row>
    <row r="7074" spans="2:10" ht="15">
      <c r="B7074"/>
      <c r="C7074"/>
      <c r="D7074"/>
      <c r="E7074"/>
      <c r="F7074" s="877"/>
      <c r="G7074" s="877"/>
      <c r="H7074" s="877"/>
      <c r="I7074" s="877"/>
      <c r="J7074" s="877"/>
    </row>
    <row r="7075" spans="2:10" ht="15">
      <c r="B7075" s="873" t="s">
        <v>1110</v>
      </c>
      <c r="C7075" s="685">
        <v>6.4</v>
      </c>
      <c r="D7075" s="390" t="s">
        <v>10</v>
      </c>
      <c r="E7075" s="196"/>
      <c r="F7075" s="405"/>
      <c r="G7075" s="406"/>
      <c r="H7075" s="407"/>
      <c r="I7075" s="405"/>
      <c r="J7075" s="405"/>
    </row>
    <row r="7076" spans="2:10" ht="15">
      <c r="B7076" s="873" t="s">
        <v>1111</v>
      </c>
      <c r="C7076" s="685">
        <v>2.8</v>
      </c>
      <c r="D7076" s="390" t="s">
        <v>10</v>
      </c>
      <c r="E7076" s="196"/>
      <c r="F7076" s="405"/>
      <c r="G7076" s="406"/>
      <c r="H7076" s="408"/>
      <c r="I7076" s="405"/>
      <c r="J7076" s="405"/>
    </row>
    <row r="7077" spans="2:10" ht="15">
      <c r="B7077" s="873" t="s">
        <v>1112</v>
      </c>
      <c r="C7077" s="685">
        <v>0.4</v>
      </c>
      <c r="D7077" s="390" t="s">
        <v>10</v>
      </c>
      <c r="E7077" s="196"/>
      <c r="F7077" s="405"/>
      <c r="G7077" s="406"/>
      <c r="H7077" s="407"/>
      <c r="I7077" s="405"/>
      <c r="J7077" s="405"/>
    </row>
    <row r="7078" spans="2:10" ht="15">
      <c r="B7078" s="873" t="s">
        <v>1113</v>
      </c>
      <c r="C7078" s="685">
        <v>0.12</v>
      </c>
      <c r="D7078" s="390" t="s">
        <v>10</v>
      </c>
      <c r="E7078" s="196"/>
      <c r="F7078" s="405"/>
      <c r="G7078" s="406"/>
      <c r="H7078" s="409"/>
      <c r="I7078" s="405"/>
      <c r="J7078" s="405"/>
    </row>
    <row r="7079" spans="2:10" ht="15">
      <c r="B7079" s="873" t="s">
        <v>1117</v>
      </c>
      <c r="C7079" s="391">
        <v>1</v>
      </c>
      <c r="D7079" s="390" t="s">
        <v>1118</v>
      </c>
      <c r="E7079" s="196"/>
      <c r="F7079" s="405"/>
      <c r="G7079" s="406"/>
      <c r="H7079" s="407"/>
      <c r="I7079" s="405"/>
      <c r="J7079" s="405"/>
    </row>
    <row r="7080" spans="2:10" ht="15">
      <c r="B7080" s="196" t="s">
        <v>1148</v>
      </c>
      <c r="C7080" s="913"/>
      <c r="D7080" s="196"/>
      <c r="E7080" s="196"/>
      <c r="F7080" s="405"/>
      <c r="G7080" s="406"/>
      <c r="H7080" s="407"/>
      <c r="I7080" s="405"/>
      <c r="J7080" s="405"/>
    </row>
    <row r="7081" spans="2:10" ht="15">
      <c r="B7081" s="873" t="s">
        <v>1149</v>
      </c>
      <c r="C7081" s="927">
        <v>90</v>
      </c>
      <c r="D7081" s="390" t="s">
        <v>1150</v>
      </c>
      <c r="E7081" s="196"/>
      <c r="F7081" s="196"/>
      <c r="G7081" s="392"/>
      <c r="H7081" s="913"/>
      <c r="I7081" s="196"/>
      <c r="J7081" s="196"/>
    </row>
    <row r="7082" spans="2:10" ht="15">
      <c r="B7082" s="918"/>
      <c r="C7082" s="196"/>
      <c r="D7082" s="196"/>
      <c r="E7082" s="196"/>
      <c r="F7082" s="196"/>
      <c r="G7082"/>
      <c r="H7082"/>
      <c r="I7082"/>
      <c r="J7082" s="196"/>
    </row>
    <row r="7083" spans="2:10" ht="15">
      <c r="B7083" s="873" t="s">
        <v>1114</v>
      </c>
      <c r="C7083" s="685">
        <v>0.6</v>
      </c>
      <c r="D7083" s="390" t="s">
        <v>10</v>
      </c>
      <c r="E7083" s="288" t="s">
        <v>1120</v>
      </c>
      <c r="F7083" s="196"/>
      <c r="G7083"/>
      <c r="H7083"/>
      <c r="I7083"/>
      <c r="J7083" s="196"/>
    </row>
    <row r="7084" spans="2:10" ht="15">
      <c r="B7084" s="873" t="s">
        <v>1114</v>
      </c>
      <c r="C7084" s="685">
        <v>0.6</v>
      </c>
      <c r="D7084" s="390" t="s">
        <v>10</v>
      </c>
      <c r="E7084" s="288" t="s">
        <v>1121</v>
      </c>
      <c r="F7084" s="196"/>
      <c r="G7084" s="196"/>
      <c r="H7084" s="196"/>
      <c r="I7084" s="196"/>
      <c r="J7084" s="196"/>
    </row>
    <row r="7085" spans="2:10">
      <c r="B7085"/>
      <c r="C7085"/>
      <c r="D7085"/>
      <c r="E7085"/>
      <c r="F7085"/>
      <c r="I7085" s="196"/>
      <c r="J7085" s="196"/>
    </row>
    <row r="7086" spans="2:10" ht="15">
      <c r="B7086" s="303" t="s">
        <v>1122</v>
      </c>
      <c r="C7086"/>
      <c r="D7086"/>
      <c r="E7086"/>
      <c r="F7086"/>
      <c r="G7086" s="196"/>
      <c r="H7086" s="114"/>
      <c r="I7086"/>
      <c r="J7086" s="196"/>
    </row>
    <row r="7087" spans="2:10" ht="18">
      <c r="B7087" s="912" t="s">
        <v>1123</v>
      </c>
      <c r="C7087" s="172"/>
      <c r="D7087" s="173"/>
      <c r="E7087" s="397">
        <f>C7079*(C7075+2*C7083)*(C7076+2*C7083)*(C7077-C7078+0.05)</f>
        <v>10.032000000000002</v>
      </c>
      <c r="F7087" s="390" t="s">
        <v>1124</v>
      </c>
      <c r="G7087" s="196"/>
      <c r="H7087"/>
      <c r="I7087"/>
      <c r="J7087"/>
    </row>
    <row r="7088" spans="2:10" ht="18">
      <c r="B7088" s="912" t="s">
        <v>1125</v>
      </c>
      <c r="C7088" s="172"/>
      <c r="D7088" s="173"/>
      <c r="E7088" s="400">
        <f>E7087-C7079*(C7075*C7076*(C7077-C7078+0.05))</f>
        <v>4.1184000000000021</v>
      </c>
      <c r="F7088" s="390" t="s">
        <v>1124</v>
      </c>
      <c r="G7088" s="196"/>
      <c r="H7088" s="196" t="s">
        <v>1131</v>
      </c>
      <c r="I7088" s="196"/>
      <c r="J7088" s="196"/>
    </row>
    <row r="7089" spans="2:10" ht="15">
      <c r="B7089" s="912" t="s">
        <v>1126</v>
      </c>
      <c r="C7089" s="172"/>
      <c r="D7089" s="173"/>
      <c r="E7089" s="400">
        <f>C7079*(C7075+2*C7084)*(C7076+2*C7084)</f>
        <v>30.400000000000002</v>
      </c>
      <c r="F7089" s="390" t="s">
        <v>13</v>
      </c>
      <c r="G7089"/>
      <c r="H7089"/>
      <c r="I7089"/>
      <c r="J7089"/>
    </row>
    <row r="7092" spans="2:10" ht="16.5" thickBot="1"/>
    <row r="7093" spans="2:10">
      <c r="B7093" s="702" t="s">
        <v>1189</v>
      </c>
      <c r="C7093" s="282"/>
      <c r="D7093" s="282"/>
      <c r="E7093" s="282"/>
      <c r="F7093" s="283"/>
    </row>
    <row r="7094" spans="2:10">
      <c r="B7094" s="693"/>
      <c r="C7094" s="196"/>
      <c r="D7094" s="196"/>
      <c r="E7094" s="196"/>
      <c r="F7094" s="284"/>
    </row>
    <row r="7095" spans="2:10">
      <c r="B7095" s="879" t="s">
        <v>1122</v>
      </c>
      <c r="C7095" s="410"/>
      <c r="D7095" s="911"/>
      <c r="E7095" s="911"/>
      <c r="F7095" s="424"/>
    </row>
    <row r="7096" spans="2:10" ht="18">
      <c r="B7096" s="914" t="s">
        <v>1123</v>
      </c>
      <c r="C7096" s="172"/>
      <c r="D7096" s="173"/>
      <c r="E7096" s="880">
        <f>E7087</f>
        <v>10.032000000000002</v>
      </c>
      <c r="F7096" s="139" t="s">
        <v>1124</v>
      </c>
    </row>
    <row r="7097" spans="2:10" ht="18">
      <c r="B7097" s="914" t="s">
        <v>1125</v>
      </c>
      <c r="C7097" s="172"/>
      <c r="D7097" s="173"/>
      <c r="E7097" s="291">
        <f>E7088</f>
        <v>4.1184000000000021</v>
      </c>
      <c r="F7097" s="139" t="s">
        <v>1124</v>
      </c>
    </row>
    <row r="7098" spans="2:10" ht="16.5" thickBot="1">
      <c r="B7098" s="915" t="s">
        <v>1126</v>
      </c>
      <c r="C7098" s="174"/>
      <c r="D7098" s="176"/>
      <c r="E7098" s="428">
        <f>E7089</f>
        <v>30.400000000000002</v>
      </c>
      <c r="F7098" s="440" t="s">
        <v>13</v>
      </c>
    </row>
    <row r="7101" spans="2:10" ht="15">
      <c r="B7101" s="1180" t="s">
        <v>2286</v>
      </c>
      <c r="C7101" s="1180"/>
      <c r="D7101" s="1180"/>
      <c r="E7101" s="1180"/>
      <c r="F7101" s="1180"/>
      <c r="G7101" s="1180"/>
      <c r="H7101" s="1180"/>
      <c r="I7101" s="1180"/>
      <c r="J7101" s="1180"/>
    </row>
    <row r="7103" spans="2:10">
      <c r="B7103" s="385" t="s">
        <v>2173</v>
      </c>
      <c r="C7103" s="196"/>
      <c r="D7103" s="196"/>
      <c r="E7103" s="196"/>
      <c r="F7103" s="196"/>
      <c r="G7103" s="196"/>
      <c r="H7103" s="196"/>
      <c r="I7103" s="196"/>
      <c r="J7103" s="196"/>
    </row>
    <row r="7104" spans="2:10" ht="15">
      <c r="B7104"/>
      <c r="C7104"/>
      <c r="D7104"/>
      <c r="E7104"/>
      <c r="F7104" s="877"/>
      <c r="G7104" s="877"/>
      <c r="H7104" s="877"/>
      <c r="I7104" s="877"/>
      <c r="J7104" s="877"/>
    </row>
    <row r="7105" spans="2:10" ht="15">
      <c r="B7105" s="873" t="s">
        <v>1110</v>
      </c>
      <c r="C7105" s="685">
        <v>5.6</v>
      </c>
      <c r="D7105" s="390" t="s">
        <v>10</v>
      </c>
      <c r="E7105" s="196"/>
      <c r="F7105" s="405"/>
      <c r="G7105" s="406"/>
      <c r="H7105" s="407"/>
      <c r="I7105" s="405"/>
      <c r="J7105" s="405"/>
    </row>
    <row r="7106" spans="2:10" ht="15">
      <c r="B7106" s="873" t="s">
        <v>1111</v>
      </c>
      <c r="C7106" s="685">
        <v>6.45</v>
      </c>
      <c r="D7106" s="390" t="s">
        <v>10</v>
      </c>
      <c r="E7106" s="196"/>
      <c r="F7106" s="405"/>
      <c r="G7106" s="406"/>
      <c r="H7106" s="408"/>
      <c r="I7106" s="405"/>
      <c r="J7106" s="405"/>
    </row>
    <row r="7107" spans="2:10" ht="15">
      <c r="B7107" s="873" t="s">
        <v>1141</v>
      </c>
      <c r="C7107" s="685">
        <v>5.0999999999999996</v>
      </c>
      <c r="D7107" s="390" t="s">
        <v>10</v>
      </c>
      <c r="E7107" s="196"/>
      <c r="F7107" s="405"/>
      <c r="G7107" s="406"/>
      <c r="H7107" s="408"/>
      <c r="I7107" s="405"/>
      <c r="J7107" s="405"/>
    </row>
    <row r="7108" spans="2:10" ht="15">
      <c r="B7108" s="873" t="s">
        <v>1144</v>
      </c>
      <c r="C7108" s="685">
        <v>5.95</v>
      </c>
      <c r="D7108" s="390" t="s">
        <v>10</v>
      </c>
      <c r="E7108" s="196"/>
      <c r="F7108" s="405"/>
      <c r="G7108" s="406"/>
      <c r="H7108" s="408"/>
      <c r="I7108" s="405"/>
      <c r="J7108" s="405"/>
    </row>
    <row r="7109" spans="2:10" ht="15">
      <c r="B7109" s="873" t="s">
        <v>1112</v>
      </c>
      <c r="C7109" s="685">
        <v>1.3</v>
      </c>
      <c r="D7109" s="390" t="s">
        <v>10</v>
      </c>
      <c r="E7109" s="196"/>
      <c r="F7109" s="405"/>
      <c r="G7109" s="406"/>
      <c r="H7109" s="407"/>
      <c r="I7109" s="405"/>
      <c r="J7109" s="405"/>
    </row>
    <row r="7110" spans="2:10" ht="15">
      <c r="B7110" s="873" t="s">
        <v>1113</v>
      </c>
      <c r="C7110" s="685">
        <v>0.8</v>
      </c>
      <c r="D7110" s="390" t="s">
        <v>10</v>
      </c>
      <c r="E7110" s="196"/>
      <c r="F7110" s="405"/>
      <c r="G7110" s="406"/>
      <c r="H7110" s="409"/>
      <c r="I7110" s="405"/>
      <c r="J7110" s="405"/>
    </row>
    <row r="7111" spans="2:10" ht="15">
      <c r="B7111" s="873" t="s">
        <v>1115</v>
      </c>
      <c r="C7111" s="685">
        <v>0.2</v>
      </c>
      <c r="D7111" s="390" t="s">
        <v>10</v>
      </c>
      <c r="E7111" s="196"/>
      <c r="F7111" s="405"/>
      <c r="G7111" s="406"/>
      <c r="H7111" s="409"/>
      <c r="I7111" s="405"/>
      <c r="J7111" s="405"/>
    </row>
    <row r="7112" spans="2:10" ht="15">
      <c r="B7112" s="873" t="s">
        <v>1117</v>
      </c>
      <c r="C7112" s="391">
        <v>2</v>
      </c>
      <c r="D7112" s="390" t="s">
        <v>1118</v>
      </c>
      <c r="E7112" s="196"/>
      <c r="F7112" s="405"/>
      <c r="G7112" s="406"/>
      <c r="H7112" s="407"/>
      <c r="I7112" s="405"/>
      <c r="J7112" s="405"/>
    </row>
    <row r="7113" spans="2:10" ht="15">
      <c r="B7113" s="196" t="s">
        <v>1148</v>
      </c>
      <c r="C7113" s="913"/>
      <c r="D7113" s="196"/>
      <c r="E7113" s="196"/>
      <c r="F7113" s="405"/>
      <c r="G7113" s="406"/>
      <c r="H7113" s="407"/>
      <c r="I7113" s="405"/>
      <c r="J7113" s="405"/>
    </row>
    <row r="7114" spans="2:10" ht="15">
      <c r="B7114" s="873" t="s">
        <v>1149</v>
      </c>
      <c r="C7114" s="927">
        <v>90</v>
      </c>
      <c r="D7114" s="390" t="s">
        <v>1150</v>
      </c>
      <c r="E7114" s="196"/>
      <c r="F7114" s="196"/>
      <c r="G7114" s="392"/>
      <c r="H7114" s="913"/>
      <c r="I7114" s="196"/>
      <c r="J7114" s="196"/>
    </row>
    <row r="7115" spans="2:10" ht="15">
      <c r="B7115" s="918"/>
      <c r="C7115" s="196"/>
      <c r="D7115" s="196"/>
      <c r="E7115" s="196"/>
      <c r="F7115" s="196"/>
      <c r="G7115"/>
      <c r="H7115"/>
      <c r="I7115"/>
      <c r="J7115" s="196"/>
    </row>
    <row r="7116" spans="2:10" ht="15">
      <c r="B7116" s="873" t="s">
        <v>1114</v>
      </c>
      <c r="C7116" s="685">
        <v>0.6</v>
      </c>
      <c r="D7116" s="390" t="s">
        <v>10</v>
      </c>
      <c r="E7116" s="288" t="s">
        <v>1120</v>
      </c>
      <c r="F7116" s="196"/>
      <c r="G7116"/>
      <c r="H7116"/>
      <c r="I7116"/>
      <c r="J7116" s="196"/>
    </row>
    <row r="7117" spans="2:10" ht="15">
      <c r="B7117" s="873" t="s">
        <v>1114</v>
      </c>
      <c r="C7117" s="685">
        <v>0.6</v>
      </c>
      <c r="D7117" s="390" t="s">
        <v>10</v>
      </c>
      <c r="E7117" s="288" t="s">
        <v>1121</v>
      </c>
      <c r="F7117" s="196"/>
      <c r="G7117" s="196"/>
      <c r="H7117" s="196"/>
      <c r="I7117" s="196"/>
      <c r="J7117" s="196"/>
    </row>
    <row r="7118" spans="2:10">
      <c r="B7118"/>
      <c r="C7118"/>
      <c r="D7118"/>
      <c r="E7118"/>
      <c r="F7118"/>
      <c r="I7118" s="196"/>
      <c r="J7118" s="196"/>
    </row>
    <row r="7119" spans="2:10" ht="15">
      <c r="B7119" s="303" t="s">
        <v>1122</v>
      </c>
      <c r="C7119"/>
      <c r="D7119"/>
      <c r="E7119"/>
      <c r="F7119"/>
      <c r="G7119" s="196"/>
      <c r="H7119" s="114"/>
      <c r="I7119"/>
      <c r="J7119" s="196"/>
    </row>
    <row r="7120" spans="2:10" ht="18">
      <c r="B7120" s="912" t="s">
        <v>1123</v>
      </c>
      <c r="C7120" s="172"/>
      <c r="D7120" s="173"/>
      <c r="E7120" s="397">
        <f>C7112*(C7105+2*C7116)*(C7106+2*C7116)*(C7109-C7110+0.05)</f>
        <v>57.222000000000008</v>
      </c>
      <c r="F7120" s="390" t="s">
        <v>1124</v>
      </c>
      <c r="G7120" s="196"/>
      <c r="H7120"/>
      <c r="I7120"/>
      <c r="J7120"/>
    </row>
    <row r="7121" spans="2:10" ht="18">
      <c r="B7121" s="912" t="s">
        <v>1125</v>
      </c>
      <c r="C7121" s="172"/>
      <c r="D7121" s="173"/>
      <c r="E7121" s="400">
        <f>E7120-C7112*(C7105*C7106*(C7109-C7110+0.05))+C7112*((C7105*C7106-C7107*C7108)*C7111)</f>
        <v>19.800000000000008</v>
      </c>
      <c r="F7121" s="390" t="s">
        <v>1124</v>
      </c>
      <c r="G7121" s="196"/>
      <c r="H7121" s="114"/>
      <c r="I7121" s="196"/>
      <c r="J7121" s="196"/>
    </row>
    <row r="7122" spans="2:10" ht="15">
      <c r="B7122" s="912" t="s">
        <v>1126</v>
      </c>
      <c r="C7122" s="172"/>
      <c r="D7122" s="173"/>
      <c r="E7122" s="400">
        <f>C7112*(C7105+2*C7117)*(C7106+2*C7117)</f>
        <v>104.04</v>
      </c>
      <c r="F7122" s="390" t="s">
        <v>13</v>
      </c>
      <c r="G7122"/>
      <c r="H7122"/>
      <c r="I7122"/>
      <c r="J7122"/>
    </row>
    <row r="7123" spans="2:10">
      <c r="H7123" s="196" t="s">
        <v>1131</v>
      </c>
    </row>
    <row r="7125" spans="2:10" ht="16.5" thickBot="1"/>
    <row r="7126" spans="2:10">
      <c r="B7126" s="702" t="s">
        <v>1189</v>
      </c>
      <c r="C7126" s="282"/>
      <c r="D7126" s="282"/>
      <c r="E7126" s="282"/>
      <c r="F7126" s="283"/>
    </row>
    <row r="7127" spans="2:10">
      <c r="B7127" s="693"/>
      <c r="C7127" s="196"/>
      <c r="D7127" s="196"/>
      <c r="E7127" s="196"/>
      <c r="F7127" s="284"/>
    </row>
    <row r="7128" spans="2:10">
      <c r="B7128" s="879" t="s">
        <v>1122</v>
      </c>
      <c r="C7128" s="410"/>
      <c r="D7128" s="911"/>
      <c r="E7128" s="911"/>
      <c r="F7128" s="424"/>
    </row>
    <row r="7129" spans="2:10" ht="18">
      <c r="B7129" s="914" t="s">
        <v>1123</v>
      </c>
      <c r="C7129" s="172"/>
      <c r="D7129" s="173"/>
      <c r="E7129" s="880">
        <f>E7120</f>
        <v>57.222000000000008</v>
      </c>
      <c r="F7129" s="139" t="s">
        <v>1124</v>
      </c>
    </row>
    <row r="7130" spans="2:10" ht="18">
      <c r="B7130" s="914" t="s">
        <v>1125</v>
      </c>
      <c r="C7130" s="172"/>
      <c r="D7130" s="173"/>
      <c r="E7130" s="291">
        <f>E7121</f>
        <v>19.800000000000008</v>
      </c>
      <c r="F7130" s="139" t="s">
        <v>1124</v>
      </c>
    </row>
    <row r="7131" spans="2:10" ht="16.5" thickBot="1">
      <c r="B7131" s="915" t="s">
        <v>1126</v>
      </c>
      <c r="C7131" s="174"/>
      <c r="D7131" s="176"/>
      <c r="E7131" s="428">
        <f>E7122</f>
        <v>104.04</v>
      </c>
      <c r="F7131" s="440" t="s">
        <v>13</v>
      </c>
    </row>
    <row r="7134" spans="2:10" ht="15">
      <c r="B7134" s="1180" t="s">
        <v>2287</v>
      </c>
      <c r="C7134" s="1180"/>
      <c r="D7134" s="1180"/>
      <c r="E7134" s="1180"/>
      <c r="F7134" s="1180"/>
      <c r="G7134" s="1180"/>
      <c r="H7134" s="1180"/>
      <c r="I7134" s="1180"/>
      <c r="J7134" s="1180"/>
    </row>
    <row r="7136" spans="2:10">
      <c r="B7136" s="385" t="s">
        <v>2174</v>
      </c>
      <c r="C7136" s="196"/>
      <c r="D7136" s="196"/>
      <c r="E7136" s="196"/>
      <c r="F7136" s="196"/>
      <c r="G7136" s="196"/>
      <c r="H7136" s="196"/>
      <c r="I7136" s="196"/>
      <c r="J7136" s="196"/>
    </row>
    <row r="7137" spans="2:10" ht="15">
      <c r="B7137"/>
      <c r="C7137"/>
      <c r="D7137"/>
      <c r="E7137"/>
      <c r="F7137" s="877"/>
      <c r="G7137" s="877"/>
      <c r="H7137" s="877"/>
      <c r="I7137" s="877"/>
      <c r="J7137" s="877"/>
    </row>
    <row r="7138" spans="2:10" ht="15">
      <c r="B7138" s="873" t="s">
        <v>1110</v>
      </c>
      <c r="C7138" s="685">
        <f>1.6+0.02+2.2</f>
        <v>3.8200000000000003</v>
      </c>
      <c r="D7138" s="390" t="s">
        <v>10</v>
      </c>
      <c r="E7138" s="196"/>
      <c r="F7138" s="405"/>
      <c r="G7138" s="406"/>
      <c r="H7138" s="407"/>
      <c r="I7138" s="405"/>
      <c r="J7138" s="405"/>
    </row>
    <row r="7139" spans="2:10" ht="15">
      <c r="B7139" s="873" t="s">
        <v>1111</v>
      </c>
      <c r="C7139" s="685">
        <v>2.2000000000000002</v>
      </c>
      <c r="D7139" s="390" t="s">
        <v>10</v>
      </c>
      <c r="E7139" s="196"/>
      <c r="F7139" s="405"/>
      <c r="G7139" s="406"/>
      <c r="H7139" s="408"/>
      <c r="I7139" s="405"/>
      <c r="J7139" s="405"/>
    </row>
    <row r="7140" spans="2:10" ht="15">
      <c r="B7140" s="873" t="s">
        <v>1112</v>
      </c>
      <c r="C7140" s="685">
        <v>0.4</v>
      </c>
      <c r="D7140" s="390" t="s">
        <v>10</v>
      </c>
      <c r="E7140" s="196"/>
      <c r="F7140" s="405"/>
      <c r="G7140" s="406"/>
      <c r="H7140" s="407"/>
      <c r="I7140" s="405"/>
      <c r="J7140" s="405"/>
    </row>
    <row r="7141" spans="2:10" ht="15">
      <c r="B7141" s="873" t="s">
        <v>1113</v>
      </c>
      <c r="C7141" s="685">
        <v>0.1</v>
      </c>
      <c r="D7141" s="390" t="s">
        <v>10</v>
      </c>
      <c r="E7141" s="196"/>
      <c r="F7141" s="405"/>
      <c r="G7141" s="406"/>
      <c r="H7141" s="409"/>
      <c r="I7141" s="405"/>
      <c r="J7141" s="405"/>
    </row>
    <row r="7142" spans="2:10" ht="15">
      <c r="B7142" s="873" t="s">
        <v>1117</v>
      </c>
      <c r="C7142" s="391">
        <v>1</v>
      </c>
      <c r="D7142" s="390" t="s">
        <v>1118</v>
      </c>
      <c r="E7142" s="196"/>
      <c r="F7142" s="405"/>
      <c r="G7142" s="406"/>
      <c r="H7142" s="407"/>
      <c r="I7142" s="405"/>
      <c r="J7142" s="405"/>
    </row>
    <row r="7143" spans="2:10" ht="15">
      <c r="B7143" s="196" t="s">
        <v>1148</v>
      </c>
      <c r="C7143" s="913"/>
      <c r="D7143" s="196"/>
      <c r="E7143" s="196"/>
      <c r="F7143" s="405"/>
      <c r="G7143" s="406"/>
      <c r="H7143" s="407"/>
      <c r="I7143" s="405"/>
      <c r="J7143" s="405"/>
    </row>
    <row r="7144" spans="2:10" ht="15">
      <c r="B7144" s="873" t="s">
        <v>1149</v>
      </c>
      <c r="C7144" s="927">
        <v>90</v>
      </c>
      <c r="D7144" s="390" t="s">
        <v>1150</v>
      </c>
      <c r="E7144" s="196"/>
      <c r="F7144" s="196"/>
      <c r="G7144" s="392"/>
      <c r="H7144" s="913"/>
      <c r="I7144" s="196"/>
      <c r="J7144" s="196"/>
    </row>
    <row r="7145" spans="2:10" ht="15">
      <c r="B7145" s="918"/>
      <c r="C7145" s="196"/>
      <c r="D7145" s="196"/>
      <c r="E7145" s="196"/>
      <c r="F7145" s="196"/>
      <c r="G7145"/>
      <c r="H7145"/>
      <c r="I7145"/>
      <c r="J7145" s="196"/>
    </row>
    <row r="7146" spans="2:10" ht="15">
      <c r="B7146" s="873" t="s">
        <v>1114</v>
      </c>
      <c r="C7146" s="685">
        <v>0.6</v>
      </c>
      <c r="D7146" s="390" t="s">
        <v>10</v>
      </c>
      <c r="E7146" s="288" t="s">
        <v>1120</v>
      </c>
      <c r="F7146" s="196"/>
      <c r="G7146"/>
      <c r="H7146"/>
      <c r="I7146"/>
      <c r="J7146" s="196"/>
    </row>
    <row r="7147" spans="2:10" ht="15">
      <c r="B7147" s="873" t="s">
        <v>1114</v>
      </c>
      <c r="C7147" s="685">
        <v>0.6</v>
      </c>
      <c r="D7147" s="390" t="s">
        <v>10</v>
      </c>
      <c r="E7147" s="288" t="s">
        <v>1121</v>
      </c>
      <c r="F7147" s="196"/>
      <c r="G7147" s="196"/>
      <c r="H7147" s="196"/>
      <c r="I7147" s="196"/>
      <c r="J7147" s="196"/>
    </row>
    <row r="7148" spans="2:10">
      <c r="B7148"/>
      <c r="C7148"/>
      <c r="D7148"/>
      <c r="E7148"/>
      <c r="F7148"/>
      <c r="I7148" s="196"/>
      <c r="J7148" s="196"/>
    </row>
    <row r="7149" spans="2:10" ht="15">
      <c r="B7149" s="303" t="s">
        <v>1122</v>
      </c>
      <c r="C7149"/>
      <c r="D7149"/>
      <c r="E7149"/>
      <c r="F7149"/>
      <c r="G7149" s="196"/>
      <c r="H7149" s="114"/>
      <c r="I7149"/>
      <c r="J7149" s="196"/>
    </row>
    <row r="7150" spans="2:10" ht="18">
      <c r="B7150" s="912" t="s">
        <v>1123</v>
      </c>
      <c r="C7150" s="172"/>
      <c r="D7150" s="173"/>
      <c r="E7150" s="397">
        <f>C7142*(C7138+2*C7146)*(C7139+2*C7146)*(C7140-C7141+0.05)</f>
        <v>5.9738000000000024</v>
      </c>
      <c r="F7150" s="390" t="s">
        <v>1124</v>
      </c>
      <c r="G7150" s="196"/>
      <c r="H7150"/>
      <c r="I7150"/>
      <c r="J7150"/>
    </row>
    <row r="7151" spans="2:10" ht="18">
      <c r="B7151" s="912" t="s">
        <v>1125</v>
      </c>
      <c r="C7151" s="172"/>
      <c r="D7151" s="173"/>
      <c r="E7151" s="400">
        <f>E7150-C7142*(C7138*C7139*(C7140-C7141+0.05))</f>
        <v>3.0324000000000018</v>
      </c>
      <c r="F7151" s="390" t="s">
        <v>1124</v>
      </c>
      <c r="G7151" s="196"/>
      <c r="H7151" s="196"/>
      <c r="I7151" s="196"/>
      <c r="J7151" s="196"/>
    </row>
    <row r="7152" spans="2:10" ht="15">
      <c r="B7152" s="912" t="s">
        <v>1126</v>
      </c>
      <c r="C7152" s="172"/>
      <c r="D7152" s="173"/>
      <c r="E7152" s="400">
        <f>C7142*(C7138+2*C7147)*(C7139+2*C7147)</f>
        <v>17.068000000000005</v>
      </c>
      <c r="F7152" s="390" t="s">
        <v>13</v>
      </c>
      <c r="G7152"/>
      <c r="H7152"/>
      <c r="I7152"/>
      <c r="J7152"/>
    </row>
    <row r="7153" spans="2:10">
      <c r="H7153" s="196" t="s">
        <v>1131</v>
      </c>
    </row>
    <row r="7160" spans="2:10">
      <c r="B7160" s="385" t="s">
        <v>2175</v>
      </c>
      <c r="C7160" s="196"/>
      <c r="D7160" s="196"/>
      <c r="E7160" s="196"/>
      <c r="F7160" s="196"/>
      <c r="G7160" s="196"/>
      <c r="H7160" s="196"/>
      <c r="I7160" s="196"/>
      <c r="J7160" s="196"/>
    </row>
    <row r="7161" spans="2:10" ht="15">
      <c r="B7161"/>
      <c r="C7161"/>
      <c r="D7161"/>
      <c r="E7161"/>
      <c r="F7161" s="877"/>
      <c r="G7161" s="877"/>
      <c r="H7161" s="877"/>
      <c r="I7161" s="877"/>
      <c r="J7161" s="877"/>
    </row>
    <row r="7162" spans="2:10" ht="15">
      <c r="B7162" s="873" t="s">
        <v>1110</v>
      </c>
      <c r="C7162" s="685">
        <v>1.2</v>
      </c>
      <c r="D7162" s="390" t="s">
        <v>10</v>
      </c>
      <c r="E7162" s="196"/>
      <c r="F7162" s="405"/>
      <c r="G7162" s="406"/>
      <c r="H7162" s="407"/>
      <c r="I7162" s="405"/>
      <c r="J7162" s="405"/>
    </row>
    <row r="7163" spans="2:10" ht="15">
      <c r="B7163" s="873" t="s">
        <v>1111</v>
      </c>
      <c r="C7163" s="685">
        <v>1.6</v>
      </c>
      <c r="D7163" s="390" t="s">
        <v>10</v>
      </c>
      <c r="E7163" s="196"/>
      <c r="F7163" s="405"/>
      <c r="G7163" s="406"/>
      <c r="H7163" s="408"/>
      <c r="I7163" s="405"/>
      <c r="J7163" s="405"/>
    </row>
    <row r="7164" spans="2:10" ht="15">
      <c r="B7164" s="873" t="s">
        <v>1112</v>
      </c>
      <c r="C7164" s="685">
        <v>1.2</v>
      </c>
      <c r="D7164" s="390" t="s">
        <v>10</v>
      </c>
      <c r="E7164" s="196"/>
      <c r="F7164" s="405"/>
      <c r="G7164" s="406"/>
      <c r="H7164" s="407"/>
      <c r="I7164" s="405"/>
      <c r="J7164" s="405"/>
    </row>
    <row r="7165" spans="2:10" ht="15">
      <c r="B7165" s="873" t="s">
        <v>1113</v>
      </c>
      <c r="C7165" s="685">
        <v>0.45</v>
      </c>
      <c r="D7165" s="390" t="s">
        <v>10</v>
      </c>
      <c r="E7165" s="196"/>
      <c r="F7165" s="405"/>
      <c r="G7165" s="406"/>
      <c r="H7165" s="409"/>
      <c r="I7165" s="405"/>
      <c r="J7165" s="405"/>
    </row>
    <row r="7166" spans="2:10" ht="15">
      <c r="B7166" s="873" t="s">
        <v>1117</v>
      </c>
      <c r="C7166" s="391">
        <v>1</v>
      </c>
      <c r="D7166" s="390" t="s">
        <v>1118</v>
      </c>
      <c r="E7166" s="196"/>
      <c r="F7166" s="405"/>
      <c r="G7166" s="406"/>
      <c r="H7166" s="407"/>
      <c r="I7166" s="405"/>
      <c r="J7166" s="405"/>
    </row>
    <row r="7167" spans="2:10" ht="15">
      <c r="B7167" s="196" t="s">
        <v>1148</v>
      </c>
      <c r="C7167" s="913"/>
      <c r="D7167" s="196"/>
      <c r="E7167" s="196"/>
      <c r="F7167" s="405"/>
      <c r="G7167" s="406"/>
      <c r="H7167" s="407"/>
      <c r="I7167" s="405"/>
      <c r="J7167" s="405"/>
    </row>
    <row r="7168" spans="2:10" ht="15">
      <c r="B7168" s="873" t="s">
        <v>1149</v>
      </c>
      <c r="C7168" s="927">
        <v>90</v>
      </c>
      <c r="D7168" s="390" t="s">
        <v>1150</v>
      </c>
      <c r="E7168" s="196"/>
      <c r="F7168" s="196"/>
      <c r="G7168" s="392"/>
      <c r="H7168" s="913"/>
      <c r="I7168" s="196"/>
      <c r="J7168" s="196"/>
    </row>
    <row r="7169" spans="2:10" ht="15">
      <c r="B7169" s="918"/>
      <c r="C7169" s="196"/>
      <c r="D7169" s="196"/>
      <c r="E7169" s="196"/>
      <c r="F7169" s="196"/>
      <c r="G7169"/>
      <c r="H7169"/>
      <c r="I7169"/>
      <c r="J7169" s="196"/>
    </row>
    <row r="7170" spans="2:10" ht="15">
      <c r="B7170" s="873" t="s">
        <v>1114</v>
      </c>
      <c r="C7170" s="685">
        <v>0.6</v>
      </c>
      <c r="D7170" s="390" t="s">
        <v>10</v>
      </c>
      <c r="E7170" s="288" t="s">
        <v>1120</v>
      </c>
      <c r="F7170" s="196"/>
      <c r="G7170"/>
      <c r="H7170"/>
      <c r="I7170"/>
      <c r="J7170" s="196"/>
    </row>
    <row r="7171" spans="2:10" ht="15">
      <c r="B7171" s="873" t="s">
        <v>1114</v>
      </c>
      <c r="C7171" s="685">
        <v>0.6</v>
      </c>
      <c r="D7171" s="390" t="s">
        <v>10</v>
      </c>
      <c r="E7171" s="288" t="s">
        <v>1121</v>
      </c>
      <c r="F7171" s="196"/>
      <c r="G7171" s="196"/>
      <c r="H7171" s="196"/>
      <c r="I7171" s="196"/>
      <c r="J7171" s="196"/>
    </row>
    <row r="7172" spans="2:10">
      <c r="B7172"/>
      <c r="C7172"/>
      <c r="D7172"/>
      <c r="E7172"/>
      <c r="F7172"/>
      <c r="I7172" s="196"/>
      <c r="J7172" s="196"/>
    </row>
    <row r="7173" spans="2:10" ht="15">
      <c r="B7173" s="303" t="s">
        <v>1122</v>
      </c>
      <c r="C7173"/>
      <c r="D7173"/>
      <c r="E7173"/>
      <c r="F7173"/>
      <c r="G7173" s="196"/>
      <c r="H7173" s="114"/>
      <c r="I7173"/>
      <c r="J7173" s="196"/>
    </row>
    <row r="7174" spans="2:10" ht="18">
      <c r="B7174" s="912" t="s">
        <v>1123</v>
      </c>
      <c r="C7174" s="172"/>
      <c r="D7174" s="173"/>
      <c r="E7174" s="397">
        <f>C7166*(C7162+2*C7170)*(C7163+2*C7170)*(C7164-C7165+0.05)</f>
        <v>5.3760000000000003</v>
      </c>
      <c r="F7174" s="390" t="s">
        <v>1124</v>
      </c>
      <c r="G7174" s="196"/>
      <c r="H7174" s="196" t="s">
        <v>1131</v>
      </c>
      <c r="I7174"/>
      <c r="J7174"/>
    </row>
    <row r="7175" spans="2:10" ht="18">
      <c r="B7175" s="912" t="s">
        <v>1125</v>
      </c>
      <c r="C7175" s="172"/>
      <c r="D7175" s="173"/>
      <c r="E7175" s="400">
        <f>E7174-C7166*(C7162*C7163*(C7164-C7165+0.05))</f>
        <v>3.8400000000000003</v>
      </c>
      <c r="F7175" s="390" t="s">
        <v>1124</v>
      </c>
      <c r="G7175" s="196"/>
      <c r="H7175" s="196"/>
      <c r="I7175" s="196"/>
      <c r="J7175" s="196"/>
    </row>
    <row r="7176" spans="2:10" ht="15">
      <c r="B7176" s="912" t="s">
        <v>1126</v>
      </c>
      <c r="C7176" s="172"/>
      <c r="D7176" s="173"/>
      <c r="E7176" s="400">
        <f>C7166*(C7162+2*C7171)*(C7163+2*C7171)</f>
        <v>6.72</v>
      </c>
      <c r="F7176" s="390" t="s">
        <v>13</v>
      </c>
      <c r="G7176"/>
      <c r="H7176"/>
      <c r="I7176"/>
      <c r="J7176"/>
    </row>
    <row r="7177" spans="2:10">
      <c r="H7177" s="196"/>
    </row>
    <row r="7179" spans="2:10" ht="16.5" thickBot="1"/>
    <row r="7180" spans="2:10">
      <c r="B7180" s="702" t="s">
        <v>1189</v>
      </c>
      <c r="C7180" s="282"/>
      <c r="D7180" s="282"/>
      <c r="E7180" s="282"/>
      <c r="F7180" s="283"/>
    </row>
    <row r="7181" spans="2:10">
      <c r="B7181" s="693"/>
      <c r="C7181" s="196"/>
      <c r="D7181" s="196"/>
      <c r="E7181" s="196"/>
      <c r="F7181" s="284"/>
    </row>
    <row r="7182" spans="2:10">
      <c r="B7182" s="879" t="s">
        <v>1122</v>
      </c>
      <c r="C7182" s="410"/>
      <c r="D7182" s="911"/>
      <c r="E7182" s="911"/>
      <c r="F7182" s="424"/>
    </row>
    <row r="7183" spans="2:10" ht="18">
      <c r="B7183" s="914" t="s">
        <v>1123</v>
      </c>
      <c r="C7183" s="172"/>
      <c r="D7183" s="173"/>
      <c r="E7183" s="880">
        <f>E7150+E7174</f>
        <v>11.349800000000002</v>
      </c>
      <c r="F7183" s="139" t="s">
        <v>1124</v>
      </c>
    </row>
    <row r="7184" spans="2:10" ht="18">
      <c r="B7184" s="914" t="s">
        <v>1125</v>
      </c>
      <c r="C7184" s="172"/>
      <c r="D7184" s="173"/>
      <c r="E7184" s="291">
        <f>E7151+E7175</f>
        <v>6.8724000000000025</v>
      </c>
      <c r="F7184" s="139" t="s">
        <v>1124</v>
      </c>
    </row>
    <row r="7185" spans="2:10" ht="16.5" thickBot="1">
      <c r="B7185" s="915" t="s">
        <v>1126</v>
      </c>
      <c r="C7185" s="174"/>
      <c r="D7185" s="176"/>
      <c r="E7185" s="428">
        <f>E7152+E7176</f>
        <v>23.788000000000004</v>
      </c>
      <c r="F7185" s="440" t="s">
        <v>13</v>
      </c>
    </row>
    <row r="7187" spans="2:10" ht="15">
      <c r="B7187" s="1180" t="s">
        <v>2288</v>
      </c>
      <c r="C7187" s="1180"/>
      <c r="D7187" s="1180"/>
      <c r="E7187" s="1180"/>
      <c r="F7187" s="1180"/>
      <c r="G7187" s="1180"/>
      <c r="H7187" s="1180"/>
      <c r="I7187" s="1180"/>
      <c r="J7187" s="1180"/>
    </row>
    <row r="7190" spans="2:10">
      <c r="B7190" s="385" t="s">
        <v>2189</v>
      </c>
      <c r="C7190" s="196"/>
      <c r="D7190" s="196"/>
      <c r="E7190" s="196"/>
      <c r="F7190" s="196"/>
      <c r="G7190" s="196"/>
      <c r="H7190" s="196"/>
      <c r="I7190" s="196"/>
      <c r="J7190" s="196"/>
    </row>
    <row r="7191" spans="2:10" ht="15">
      <c r="B7191"/>
      <c r="C7191"/>
      <c r="D7191"/>
      <c r="E7191"/>
      <c r="F7191" s="877"/>
      <c r="G7191" s="877"/>
      <c r="H7191" s="877"/>
      <c r="I7191" s="877"/>
      <c r="J7191" s="877"/>
    </row>
    <row r="7192" spans="2:10" ht="15">
      <c r="B7192" s="873" t="s">
        <v>1110</v>
      </c>
      <c r="C7192" s="685">
        <v>4.25</v>
      </c>
      <c r="D7192" s="390" t="s">
        <v>10</v>
      </c>
      <c r="E7192" s="196"/>
      <c r="F7192" s="405"/>
      <c r="G7192" s="406"/>
      <c r="H7192" s="407"/>
      <c r="I7192" s="405"/>
      <c r="J7192" s="405"/>
    </row>
    <row r="7193" spans="2:10" ht="15">
      <c r="B7193" s="873" t="s">
        <v>1111</v>
      </c>
      <c r="C7193" s="685">
        <v>4.25</v>
      </c>
      <c r="D7193" s="390" t="s">
        <v>10</v>
      </c>
      <c r="E7193" s="196"/>
      <c r="F7193" s="405"/>
      <c r="G7193" s="406"/>
      <c r="H7193" s="408"/>
      <c r="I7193" s="405"/>
      <c r="J7193" s="405"/>
    </row>
    <row r="7194" spans="2:10" ht="15">
      <c r="B7194" s="873" t="s">
        <v>1141</v>
      </c>
      <c r="C7194" s="685">
        <v>4</v>
      </c>
      <c r="D7194" s="390" t="s">
        <v>10</v>
      </c>
      <c r="E7194" s="196"/>
      <c r="F7194" s="405"/>
      <c r="G7194" s="406"/>
      <c r="H7194" s="408"/>
      <c r="I7194" s="405"/>
      <c r="J7194" s="405"/>
    </row>
    <row r="7195" spans="2:10" ht="15">
      <c r="B7195" s="873" t="s">
        <v>1144</v>
      </c>
      <c r="C7195" s="685">
        <v>4</v>
      </c>
      <c r="D7195" s="390" t="s">
        <v>10</v>
      </c>
      <c r="E7195" s="196"/>
      <c r="F7195" s="405"/>
      <c r="G7195" s="406"/>
      <c r="H7195" s="408"/>
      <c r="I7195" s="405"/>
      <c r="J7195" s="405"/>
    </row>
    <row r="7196" spans="2:10" ht="15">
      <c r="B7196" s="873" t="s">
        <v>1112</v>
      </c>
      <c r="C7196" s="685">
        <v>3.2</v>
      </c>
      <c r="D7196" s="390" t="s">
        <v>10</v>
      </c>
      <c r="E7196" s="196"/>
      <c r="F7196" s="405"/>
      <c r="G7196" s="406"/>
      <c r="H7196" s="407"/>
      <c r="I7196" s="405"/>
      <c r="J7196" s="405"/>
    </row>
    <row r="7197" spans="2:10" ht="15">
      <c r="B7197" s="873" t="s">
        <v>1113</v>
      </c>
      <c r="C7197" s="685">
        <v>2.6</v>
      </c>
      <c r="D7197" s="390" t="s">
        <v>10</v>
      </c>
      <c r="E7197" s="196"/>
      <c r="F7197" s="405"/>
      <c r="G7197" s="406"/>
      <c r="H7197" s="409"/>
      <c r="I7197" s="405"/>
      <c r="J7197" s="405"/>
    </row>
    <row r="7198" spans="2:10" ht="15">
      <c r="B7198" s="873" t="s">
        <v>1115</v>
      </c>
      <c r="C7198" s="685">
        <v>0.3</v>
      </c>
      <c r="D7198" s="390" t="s">
        <v>10</v>
      </c>
      <c r="E7198" s="196"/>
      <c r="F7198" s="405"/>
      <c r="G7198" s="406"/>
      <c r="H7198" s="409"/>
      <c r="I7198" s="405"/>
      <c r="J7198" s="405"/>
    </row>
    <row r="7199" spans="2:10" ht="15">
      <c r="B7199" s="873" t="s">
        <v>1117</v>
      </c>
      <c r="C7199" s="391">
        <v>1</v>
      </c>
      <c r="D7199" s="390" t="s">
        <v>1118</v>
      </c>
      <c r="E7199" s="196"/>
      <c r="F7199" s="405"/>
      <c r="G7199" s="406"/>
      <c r="H7199" s="407"/>
      <c r="I7199" s="405"/>
      <c r="J7199" s="405"/>
    </row>
    <row r="7200" spans="2:10" ht="15">
      <c r="B7200" s="196" t="s">
        <v>1148</v>
      </c>
      <c r="C7200" s="913"/>
      <c r="D7200" s="196"/>
      <c r="E7200" s="196"/>
      <c r="F7200" s="405"/>
      <c r="G7200" s="406"/>
      <c r="H7200" s="407"/>
      <c r="I7200" s="405"/>
      <c r="J7200" s="405"/>
    </row>
    <row r="7201" spans="2:10" ht="15">
      <c r="B7201" s="873" t="s">
        <v>1149</v>
      </c>
      <c r="C7201" s="927">
        <v>90</v>
      </c>
      <c r="D7201" s="390" t="s">
        <v>1150</v>
      </c>
      <c r="E7201" s="196"/>
      <c r="F7201" s="196"/>
      <c r="G7201" s="392"/>
      <c r="H7201" s="913"/>
      <c r="I7201" s="196"/>
      <c r="J7201" s="196"/>
    </row>
    <row r="7202" spans="2:10" ht="15">
      <c r="B7202" s="918"/>
      <c r="C7202" s="196"/>
      <c r="D7202" s="196"/>
      <c r="E7202" s="196"/>
      <c r="F7202" s="196"/>
      <c r="G7202"/>
      <c r="H7202"/>
      <c r="I7202"/>
      <c r="J7202" s="196"/>
    </row>
    <row r="7203" spans="2:10" ht="15">
      <c r="B7203" s="873" t="s">
        <v>1114</v>
      </c>
      <c r="C7203" s="685">
        <v>0.6</v>
      </c>
      <c r="D7203" s="390" t="s">
        <v>10</v>
      </c>
      <c r="E7203" s="288" t="s">
        <v>1120</v>
      </c>
      <c r="F7203" s="196"/>
      <c r="G7203"/>
      <c r="H7203"/>
      <c r="I7203"/>
      <c r="J7203" s="196"/>
    </row>
    <row r="7204" spans="2:10" ht="15">
      <c r="B7204" s="873" t="s">
        <v>1114</v>
      </c>
      <c r="C7204" s="685">
        <v>0.6</v>
      </c>
      <c r="D7204" s="390" t="s">
        <v>10</v>
      </c>
      <c r="E7204" s="288" t="s">
        <v>1121</v>
      </c>
      <c r="F7204" s="196"/>
      <c r="G7204" s="196"/>
      <c r="H7204" s="196"/>
      <c r="I7204" s="196"/>
      <c r="J7204" s="196"/>
    </row>
    <row r="7205" spans="2:10">
      <c r="B7205"/>
      <c r="C7205"/>
      <c r="D7205"/>
      <c r="E7205"/>
      <c r="F7205"/>
      <c r="I7205" s="196"/>
      <c r="J7205" s="196"/>
    </row>
    <row r="7206" spans="2:10" ht="15">
      <c r="B7206" s="303" t="s">
        <v>1122</v>
      </c>
      <c r="C7206"/>
      <c r="D7206"/>
      <c r="E7206"/>
      <c r="F7206"/>
      <c r="G7206" s="196"/>
      <c r="H7206" s="114"/>
      <c r="I7206"/>
      <c r="J7206" s="196"/>
    </row>
    <row r="7207" spans="2:10" ht="18">
      <c r="B7207" s="912" t="s">
        <v>1123</v>
      </c>
      <c r="C7207" s="172"/>
      <c r="D7207" s="173"/>
      <c r="E7207" s="397">
        <f>C7199*(C7192+2*C7203)*(C7193+2*C7203)*(C7196-C7197+0.05)</f>
        <v>19.306625000000004</v>
      </c>
      <c r="F7207" s="390" t="s">
        <v>1124</v>
      </c>
      <c r="G7207" s="196"/>
      <c r="H7207"/>
      <c r="I7207"/>
      <c r="J7207"/>
    </row>
    <row r="7208" spans="2:10" ht="18">
      <c r="B7208" s="912" t="s">
        <v>1125</v>
      </c>
      <c r="C7208" s="172"/>
      <c r="D7208" s="173"/>
      <c r="E7208" s="400">
        <f>E7207-C7199*(C7192*C7193*(C7196-C7197+0.05))+C7199*((C7192*C7193-C7194*C7195)*C7198)</f>
        <v>8.1847500000000011</v>
      </c>
      <c r="F7208" s="390" t="s">
        <v>1124</v>
      </c>
      <c r="G7208" s="196"/>
      <c r="H7208" s="114"/>
      <c r="I7208" s="196"/>
      <c r="J7208" s="196"/>
    </row>
    <row r="7209" spans="2:10" ht="15">
      <c r="B7209" s="912" t="s">
        <v>1126</v>
      </c>
      <c r="C7209" s="172"/>
      <c r="D7209" s="173"/>
      <c r="E7209" s="400">
        <f>C7199*(C7192+2*C7204)*(C7193+2*C7204)</f>
        <v>29.702500000000001</v>
      </c>
      <c r="F7209" s="390" t="s">
        <v>13</v>
      </c>
      <c r="G7209"/>
      <c r="H7209"/>
      <c r="I7209"/>
      <c r="J7209"/>
    </row>
    <row r="7210" spans="2:10">
      <c r="H7210" s="196" t="s">
        <v>1131</v>
      </c>
    </row>
    <row r="7212" spans="2:10" ht="16.5" thickBot="1"/>
    <row r="7213" spans="2:10">
      <c r="B7213" s="702" t="s">
        <v>1189</v>
      </c>
      <c r="C7213" s="282"/>
      <c r="D7213" s="282"/>
      <c r="E7213" s="282"/>
      <c r="F7213" s="283"/>
    </row>
    <row r="7214" spans="2:10">
      <c r="B7214" s="693"/>
      <c r="C7214" s="196"/>
      <c r="D7214" s="196"/>
      <c r="E7214" s="196"/>
      <c r="F7214" s="284"/>
    </row>
    <row r="7215" spans="2:10">
      <c r="B7215" s="879" t="s">
        <v>1122</v>
      </c>
      <c r="C7215" s="410"/>
      <c r="D7215" s="911"/>
      <c r="E7215" s="911"/>
      <c r="F7215" s="424"/>
    </row>
    <row r="7216" spans="2:10" ht="18">
      <c r="B7216" s="914" t="s">
        <v>1123</v>
      </c>
      <c r="C7216" s="172"/>
      <c r="D7216" s="173"/>
      <c r="E7216" s="880">
        <f>E7207</f>
        <v>19.306625000000004</v>
      </c>
      <c r="F7216" s="139" t="s">
        <v>1124</v>
      </c>
    </row>
    <row r="7217" spans="2:10" ht="18">
      <c r="B7217" s="914" t="s">
        <v>1125</v>
      </c>
      <c r="C7217" s="172"/>
      <c r="D7217" s="173"/>
      <c r="E7217" s="291">
        <f>E7208</f>
        <v>8.1847500000000011</v>
      </c>
      <c r="F7217" s="139" t="s">
        <v>1124</v>
      </c>
    </row>
    <row r="7218" spans="2:10" ht="16.5" thickBot="1">
      <c r="B7218" s="915" t="s">
        <v>1126</v>
      </c>
      <c r="C7218" s="174"/>
      <c r="D7218" s="176"/>
      <c r="E7218" s="428">
        <f>E7209</f>
        <v>29.702500000000001</v>
      </c>
      <c r="F7218" s="440" t="s">
        <v>13</v>
      </c>
    </row>
    <row r="7220" spans="2:10" ht="15">
      <c r="B7220" s="1180" t="s">
        <v>2289</v>
      </c>
      <c r="C7220" s="1180"/>
      <c r="D7220" s="1180"/>
      <c r="E7220" s="1180"/>
      <c r="F7220" s="1180"/>
      <c r="G7220" s="1180"/>
      <c r="H7220" s="1180"/>
      <c r="I7220" s="1180"/>
      <c r="J7220" s="1180"/>
    </row>
    <row r="7225" spans="2:10">
      <c r="B7225" s="385"/>
      <c r="C7225" s="196"/>
      <c r="D7225" s="196"/>
      <c r="E7225" s="196"/>
      <c r="F7225" s="196"/>
      <c r="H7225" s="196"/>
      <c r="I7225" s="196"/>
      <c r="J7225" s="196"/>
    </row>
    <row r="7226" spans="2:10">
      <c r="B7226"/>
      <c r="C7226"/>
      <c r="D7226"/>
      <c r="E7226"/>
      <c r="F7226" s="877"/>
      <c r="G7226" s="385" t="s">
        <v>2186</v>
      </c>
      <c r="H7226" s="877"/>
      <c r="I7226" s="877"/>
      <c r="J7226" s="877"/>
    </row>
    <row r="7227" spans="2:10" ht="15">
      <c r="B7227" s="873" t="s">
        <v>1110</v>
      </c>
      <c r="C7227" s="685">
        <v>3.85</v>
      </c>
      <c r="D7227" s="390" t="s">
        <v>10</v>
      </c>
      <c r="E7227" s="196"/>
      <c r="F7227" s="405"/>
      <c r="G7227" s="392" t="s">
        <v>2179</v>
      </c>
      <c r="H7227" s="929">
        <f>C7227+2*C7238</f>
        <v>5.05</v>
      </c>
      <c r="I7227" s="196"/>
      <c r="J7227" s="196"/>
    </row>
    <row r="7228" spans="2:10" ht="15">
      <c r="B7228" s="873" t="s">
        <v>1111</v>
      </c>
      <c r="C7228" s="685">
        <v>3.45</v>
      </c>
      <c r="D7228" s="390" t="s">
        <v>10</v>
      </c>
      <c r="E7228" s="196"/>
      <c r="F7228" s="405"/>
      <c r="G7228" s="392" t="s">
        <v>2180</v>
      </c>
      <c r="H7228" s="929">
        <f>C7228+2*C7238</f>
        <v>4.6500000000000004</v>
      </c>
      <c r="I7228" s="196"/>
      <c r="J7228" s="196"/>
    </row>
    <row r="7229" spans="2:10" ht="15">
      <c r="B7229" s="873" t="s">
        <v>1141</v>
      </c>
      <c r="C7229" s="685">
        <v>3.5</v>
      </c>
      <c r="D7229" s="390" t="s">
        <v>10</v>
      </c>
      <c r="E7229" s="196"/>
      <c r="F7229" s="405"/>
      <c r="G7229" s="392" t="s">
        <v>2178</v>
      </c>
      <c r="H7229" s="929">
        <f>H7227*H7228</f>
        <v>23.482500000000002</v>
      </c>
      <c r="I7229" s="196"/>
      <c r="J7229" s="196"/>
    </row>
    <row r="7230" spans="2:10" ht="15">
      <c r="B7230" s="873" t="s">
        <v>1144</v>
      </c>
      <c r="C7230" s="685">
        <v>3.1</v>
      </c>
      <c r="D7230" s="390" t="s">
        <v>10</v>
      </c>
      <c r="E7230" s="196"/>
      <c r="F7230" s="405"/>
      <c r="G7230" s="392" t="s">
        <v>2184</v>
      </c>
      <c r="H7230" s="931">
        <f>TAN(RADIANS(C7236))</f>
        <v>1.7320508075688767</v>
      </c>
      <c r="I7230" s="196"/>
      <c r="J7230" s="196"/>
    </row>
    <row r="7231" spans="2:10" ht="15">
      <c r="B7231" s="873" t="s">
        <v>1112</v>
      </c>
      <c r="C7231" s="685">
        <v>6.65</v>
      </c>
      <c r="D7231" s="390" t="s">
        <v>10</v>
      </c>
      <c r="E7231" s="196"/>
      <c r="F7231" s="405"/>
      <c r="G7231" s="392" t="s">
        <v>2181</v>
      </c>
      <c r="H7231" s="929">
        <f>H7227+2*(C7231-C7232+0.05)/H7230</f>
        <v>8.9182468035704936</v>
      </c>
      <c r="I7231" s="196"/>
      <c r="J7231" s="196"/>
    </row>
    <row r="7232" spans="2:10" ht="15">
      <c r="B7232" s="873" t="s">
        <v>1113</v>
      </c>
      <c r="C7232" s="685">
        <v>3.35</v>
      </c>
      <c r="D7232" s="390" t="s">
        <v>10</v>
      </c>
      <c r="E7232" s="196"/>
      <c r="F7232" s="405"/>
      <c r="G7232" s="392" t="s">
        <v>2182</v>
      </c>
      <c r="H7232" s="929">
        <f>H7228+2*(C7231-C7232+0.05)/H7230</f>
        <v>8.518246803570495</v>
      </c>
      <c r="I7232" s="196"/>
      <c r="J7232" s="196"/>
    </row>
    <row r="7233" spans="2:10" ht="15">
      <c r="B7233" s="873" t="s">
        <v>1115</v>
      </c>
      <c r="C7233" s="685">
        <v>3</v>
      </c>
      <c r="D7233" s="390" t="s">
        <v>10</v>
      </c>
      <c r="E7233" s="196"/>
      <c r="F7233" s="405"/>
      <c r="G7233" s="392" t="s">
        <v>2183</v>
      </c>
      <c r="H7233" s="929">
        <f>H7231*H7232</f>
        <v>75.967827327967143</v>
      </c>
      <c r="I7233" s="196"/>
      <c r="J7233" s="196"/>
    </row>
    <row r="7234" spans="2:10">
      <c r="B7234" s="873" t="s">
        <v>1117</v>
      </c>
      <c r="C7234" s="391">
        <v>1</v>
      </c>
      <c r="D7234" s="390" t="s">
        <v>1118</v>
      </c>
      <c r="E7234" s="196"/>
      <c r="F7234" s="405"/>
      <c r="G7234" s="930" t="s">
        <v>2185</v>
      </c>
      <c r="H7234" s="929">
        <f>((H7229+H7233)/2)*(C7231-C7232+0.05)</f>
        <v>166.57929827434498</v>
      </c>
      <c r="I7234" s="196"/>
      <c r="J7234" s="196"/>
    </row>
    <row r="7235" spans="2:10">
      <c r="B7235" s="196" t="s">
        <v>1148</v>
      </c>
      <c r="C7235" s="921"/>
      <c r="D7235" s="196"/>
      <c r="E7235" s="196"/>
      <c r="F7235" s="405"/>
      <c r="G7235" s="930" t="s">
        <v>2187</v>
      </c>
      <c r="H7235" s="929">
        <f>(C7227*C7228*(C7231-C7232+0.05))-(C7227*C7228-C7229*C7230)*C7233</f>
        <v>37.198875000000001</v>
      </c>
      <c r="I7235" s="196"/>
      <c r="J7235" s="196"/>
    </row>
    <row r="7236" spans="2:10">
      <c r="B7236" s="873" t="s">
        <v>1149</v>
      </c>
      <c r="C7236" s="389">
        <v>60</v>
      </c>
      <c r="D7236" s="390" t="s">
        <v>1150</v>
      </c>
      <c r="E7236" s="196"/>
      <c r="F7236" s="196"/>
      <c r="G7236" s="930" t="s">
        <v>2188</v>
      </c>
      <c r="H7236" s="929">
        <f>(C7227+2*C7239)*(C7228+2*C7239)</f>
        <v>23.482500000000002</v>
      </c>
      <c r="I7236" s="196"/>
      <c r="J7236" s="196"/>
    </row>
    <row r="7237" spans="2:10" ht="15">
      <c r="B7237" s="918"/>
      <c r="C7237" s="196"/>
      <c r="D7237" s="196"/>
      <c r="E7237" s="196"/>
      <c r="F7237" s="196"/>
      <c r="G7237" s="928"/>
      <c r="H7237" s="928"/>
      <c r="I7237" s="928"/>
      <c r="J7237" s="196"/>
    </row>
    <row r="7238" spans="2:10" ht="15">
      <c r="B7238" s="873" t="s">
        <v>1114</v>
      </c>
      <c r="C7238" s="685">
        <v>0.6</v>
      </c>
      <c r="D7238" s="390" t="s">
        <v>10</v>
      </c>
      <c r="E7238" s="288" t="s">
        <v>1120</v>
      </c>
      <c r="F7238" s="196"/>
      <c r="G7238" s="928"/>
      <c r="H7238" s="928"/>
      <c r="I7238" s="928"/>
      <c r="J7238" s="196"/>
    </row>
    <row r="7239" spans="2:10" ht="15">
      <c r="B7239" s="873" t="s">
        <v>1114</v>
      </c>
      <c r="C7239" s="685">
        <v>0.6</v>
      </c>
      <c r="D7239" s="390" t="s">
        <v>10</v>
      </c>
      <c r="E7239" s="288" t="s">
        <v>1121</v>
      </c>
      <c r="F7239" s="196"/>
      <c r="G7239" s="196"/>
      <c r="H7239" s="196"/>
      <c r="I7239" s="196"/>
      <c r="J7239" s="196"/>
    </row>
    <row r="7240" spans="2:10">
      <c r="B7240"/>
      <c r="C7240"/>
      <c r="D7240"/>
      <c r="E7240"/>
      <c r="F7240"/>
      <c r="I7240" s="196"/>
      <c r="J7240" s="196"/>
    </row>
    <row r="7241" spans="2:10" ht="15">
      <c r="B7241" s="303" t="s">
        <v>1122</v>
      </c>
      <c r="C7241"/>
      <c r="D7241"/>
      <c r="E7241"/>
      <c r="F7241"/>
      <c r="G7241" s="196"/>
      <c r="H7241" s="449"/>
      <c r="I7241" s="928"/>
      <c r="J7241" s="196"/>
    </row>
    <row r="7242" spans="2:10" ht="18">
      <c r="B7242" s="920" t="s">
        <v>1123</v>
      </c>
      <c r="C7242" s="172"/>
      <c r="D7242" s="173"/>
      <c r="E7242" s="397">
        <f>C7234*H7234</f>
        <v>166.57929827434498</v>
      </c>
      <c r="F7242" s="390" t="s">
        <v>1124</v>
      </c>
      <c r="G7242" s="196"/>
      <c r="H7242" s="928"/>
      <c r="I7242" s="928"/>
      <c r="J7242" s="928"/>
    </row>
    <row r="7243" spans="2:10" ht="18">
      <c r="B7243" s="920" t="s">
        <v>1125</v>
      </c>
      <c r="C7243" s="172"/>
      <c r="D7243" s="173"/>
      <c r="E7243" s="400">
        <f>C7234*(H7234-H7235)</f>
        <v>129.38042327434499</v>
      </c>
      <c r="F7243" s="390" t="s">
        <v>1124</v>
      </c>
      <c r="G7243" s="196"/>
      <c r="H7243" s="196" t="s">
        <v>1131</v>
      </c>
      <c r="I7243" s="196"/>
      <c r="J7243" s="196"/>
    </row>
    <row r="7244" spans="2:10" ht="15">
      <c r="B7244" s="920" t="s">
        <v>1126</v>
      </c>
      <c r="C7244" s="172"/>
      <c r="D7244" s="173"/>
      <c r="E7244" s="400">
        <f>C7234*H7236</f>
        <v>23.482500000000002</v>
      </c>
      <c r="F7244" s="390" t="s">
        <v>13</v>
      </c>
      <c r="G7244"/>
      <c r="H7244" s="114"/>
      <c r="I7244"/>
      <c r="J7244"/>
    </row>
    <row r="7247" spans="2:10" ht="16.5" thickBot="1"/>
    <row r="7248" spans="2:10">
      <c r="B7248" s="702" t="s">
        <v>1189</v>
      </c>
      <c r="C7248" s="282"/>
      <c r="D7248" s="282"/>
      <c r="E7248" s="282"/>
      <c r="F7248" s="283"/>
    </row>
    <row r="7249" spans="2:10">
      <c r="B7249" s="693"/>
      <c r="C7249" s="196"/>
      <c r="D7249" s="196"/>
      <c r="E7249" s="196"/>
      <c r="F7249" s="284"/>
      <c r="H7249" s="114"/>
    </row>
    <row r="7250" spans="2:10">
      <c r="B7250" s="879" t="s">
        <v>1122</v>
      </c>
      <c r="C7250" s="410"/>
      <c r="D7250" s="919"/>
      <c r="E7250" s="919"/>
      <c r="F7250" s="424"/>
    </row>
    <row r="7251" spans="2:10" ht="18">
      <c r="B7251" s="922" t="s">
        <v>1123</v>
      </c>
      <c r="C7251" s="172"/>
      <c r="D7251" s="173"/>
      <c r="E7251" s="880">
        <f>E7242</f>
        <v>166.57929827434498</v>
      </c>
      <c r="F7251" s="139" t="s">
        <v>1124</v>
      </c>
    </row>
    <row r="7252" spans="2:10" ht="18">
      <c r="B7252" s="922" t="s">
        <v>1125</v>
      </c>
      <c r="C7252" s="172"/>
      <c r="D7252" s="173"/>
      <c r="E7252" s="291">
        <f>E7243</f>
        <v>129.38042327434499</v>
      </c>
      <c r="F7252" s="139" t="s">
        <v>1124</v>
      </c>
    </row>
    <row r="7253" spans="2:10" ht="16.5" thickBot="1">
      <c r="B7253" s="923" t="s">
        <v>1126</v>
      </c>
      <c r="C7253" s="174"/>
      <c r="D7253" s="176"/>
      <c r="E7253" s="428">
        <f>E7244</f>
        <v>23.482500000000002</v>
      </c>
      <c r="F7253" s="440" t="s">
        <v>13</v>
      </c>
    </row>
    <row r="7256" spans="2:10" ht="15">
      <c r="B7256" s="1180" t="s">
        <v>2338</v>
      </c>
      <c r="C7256" s="1180"/>
      <c r="D7256" s="1180"/>
      <c r="E7256" s="1180"/>
      <c r="F7256" s="1180"/>
      <c r="G7256" s="1180"/>
      <c r="H7256" s="1180"/>
      <c r="I7256" s="1180"/>
      <c r="J7256" s="1180"/>
    </row>
    <row r="7258" spans="2:10" ht="15">
      <c r="B7258" s="1179" t="s">
        <v>2290</v>
      </c>
      <c r="C7258" s="1179"/>
      <c r="D7258" s="1179"/>
      <c r="E7258" s="1179"/>
      <c r="F7258" s="1179"/>
      <c r="G7258" s="1179"/>
      <c r="H7258" s="1179"/>
      <c r="I7258" s="1179"/>
      <c r="J7258" s="1179"/>
    </row>
    <row r="7260" spans="2:10">
      <c r="B7260" s="385"/>
      <c r="C7260" s="196"/>
      <c r="D7260" s="196"/>
      <c r="E7260" s="196"/>
      <c r="F7260" s="196"/>
      <c r="H7260" s="196"/>
      <c r="I7260" s="196"/>
      <c r="J7260" s="196"/>
    </row>
    <row r="7261" spans="2:10">
      <c r="B7261"/>
      <c r="C7261"/>
      <c r="D7261"/>
      <c r="E7261"/>
      <c r="F7261" s="877"/>
      <c r="G7261" s="385" t="s">
        <v>2186</v>
      </c>
      <c r="H7261" s="877"/>
      <c r="I7261" s="877"/>
      <c r="J7261" s="877"/>
    </row>
    <row r="7262" spans="2:10" ht="15">
      <c r="B7262" s="873" t="s">
        <v>1110</v>
      </c>
      <c r="C7262" s="685">
        <v>3.1</v>
      </c>
      <c r="D7262" s="390" t="s">
        <v>10</v>
      </c>
      <c r="E7262" s="196"/>
      <c r="F7262" s="405"/>
      <c r="G7262" s="392" t="s">
        <v>2179</v>
      </c>
      <c r="H7262" s="929">
        <f>C7262+2*C7273</f>
        <v>4.3</v>
      </c>
      <c r="I7262" s="196"/>
      <c r="J7262" s="196"/>
    </row>
    <row r="7263" spans="2:10" ht="15">
      <c r="B7263" s="873" t="s">
        <v>1111</v>
      </c>
      <c r="C7263" s="685">
        <v>3</v>
      </c>
      <c r="D7263" s="390" t="s">
        <v>10</v>
      </c>
      <c r="E7263" s="196"/>
      <c r="F7263" s="405"/>
      <c r="G7263" s="392" t="s">
        <v>2180</v>
      </c>
      <c r="H7263" s="929">
        <f>C7263+2*C7273</f>
        <v>4.2</v>
      </c>
      <c r="I7263" s="196"/>
      <c r="J7263" s="196"/>
    </row>
    <row r="7264" spans="2:10" ht="15">
      <c r="B7264" s="873" t="s">
        <v>1141</v>
      </c>
      <c r="C7264" s="685">
        <v>2.6</v>
      </c>
      <c r="D7264" s="390" t="s">
        <v>10</v>
      </c>
      <c r="E7264" s="196"/>
      <c r="F7264" s="405"/>
      <c r="G7264" s="392" t="s">
        <v>2178</v>
      </c>
      <c r="H7264" s="929">
        <f>H7262*H7263</f>
        <v>18.059999999999999</v>
      </c>
      <c r="I7264" s="196"/>
      <c r="J7264" s="196"/>
    </row>
    <row r="7265" spans="2:10" ht="15">
      <c r="B7265" s="873" t="s">
        <v>1144</v>
      </c>
      <c r="C7265" s="685">
        <v>2.5</v>
      </c>
      <c r="D7265" s="390" t="s">
        <v>10</v>
      </c>
      <c r="E7265" s="196"/>
      <c r="F7265" s="405"/>
      <c r="G7265" s="392" t="s">
        <v>2184</v>
      </c>
      <c r="H7265" s="929">
        <f>TAN(RADIANS(C7271))</f>
        <v>1.7320508075688767</v>
      </c>
      <c r="I7265" s="196"/>
      <c r="J7265" s="196"/>
    </row>
    <row r="7266" spans="2:10" ht="15">
      <c r="B7266" s="873" t="s">
        <v>1112</v>
      </c>
      <c r="C7266" s="685">
        <v>5.47</v>
      </c>
      <c r="D7266" s="390" t="s">
        <v>10</v>
      </c>
      <c r="E7266" s="196"/>
      <c r="F7266" s="405"/>
      <c r="G7266" s="392" t="s">
        <v>2181</v>
      </c>
      <c r="H7266" s="929">
        <f>H7262+2*(C7266-C7267+0.05)/H7265</f>
        <v>6.863435195201939</v>
      </c>
      <c r="I7266" s="196"/>
      <c r="J7266" s="196"/>
    </row>
    <row r="7267" spans="2:10" ht="15">
      <c r="B7267" s="873" t="s">
        <v>1113</v>
      </c>
      <c r="C7267" s="685">
        <v>3.3</v>
      </c>
      <c r="D7267" s="390" t="s">
        <v>10</v>
      </c>
      <c r="E7267" s="196"/>
      <c r="F7267" s="405"/>
      <c r="G7267" s="392" t="s">
        <v>2182</v>
      </c>
      <c r="H7267" s="929">
        <f>H7263+2*(C7266-C7267+0.05)/H7265</f>
        <v>6.7634351952019394</v>
      </c>
      <c r="I7267" s="196"/>
      <c r="J7267" s="196"/>
    </row>
    <row r="7268" spans="2:10" ht="15">
      <c r="B7268" s="873" t="s">
        <v>1115</v>
      </c>
      <c r="C7268" s="685">
        <v>1.87</v>
      </c>
      <c r="D7268" s="390" t="s">
        <v>10</v>
      </c>
      <c r="E7268" s="196"/>
      <c r="F7268" s="405"/>
      <c r="G7268" s="392" t="s">
        <v>2183</v>
      </c>
      <c r="H7268" s="929">
        <f>H7266*H7267</f>
        <v>46.420399159216487</v>
      </c>
      <c r="I7268" s="196"/>
      <c r="J7268" s="196"/>
    </row>
    <row r="7269" spans="2:10">
      <c r="B7269" s="873" t="s">
        <v>1117</v>
      </c>
      <c r="C7269" s="391">
        <v>1</v>
      </c>
      <c r="D7269" s="390" t="s">
        <v>1118</v>
      </c>
      <c r="E7269" s="196"/>
      <c r="F7269" s="405"/>
      <c r="G7269" s="930" t="s">
        <v>2185</v>
      </c>
      <c r="H7269" s="929">
        <f>((H7264+H7268)/2)*(C7266-C7267+0.05)</f>
        <v>71.573243066730299</v>
      </c>
      <c r="I7269" s="196"/>
      <c r="J7269" s="196"/>
    </row>
    <row r="7270" spans="2:10">
      <c r="B7270" s="196" t="s">
        <v>1148</v>
      </c>
      <c r="C7270" s="921"/>
      <c r="D7270" s="196"/>
      <c r="E7270" s="196"/>
      <c r="F7270" s="405"/>
      <c r="G7270" s="930" t="s">
        <v>2187</v>
      </c>
      <c r="H7270" s="929">
        <f>(C7262*C7263*(C7266-C7267+0.05))-(C7262*C7263-C7264*C7265)*C7268</f>
        <v>15.41</v>
      </c>
      <c r="I7270" s="196"/>
      <c r="J7270" s="196"/>
    </row>
    <row r="7271" spans="2:10">
      <c r="B7271" s="873" t="s">
        <v>1149</v>
      </c>
      <c r="C7271" s="389">
        <v>60</v>
      </c>
      <c r="D7271" s="390" t="s">
        <v>1150</v>
      </c>
      <c r="E7271" s="196"/>
      <c r="F7271" s="196"/>
      <c r="G7271" s="930" t="s">
        <v>2188</v>
      </c>
      <c r="H7271" s="929">
        <f>(C7262+2*C7274)*(C7263+2*C7274)</f>
        <v>18.059999999999999</v>
      </c>
      <c r="I7271" s="196"/>
      <c r="J7271" s="196"/>
    </row>
    <row r="7272" spans="2:10" ht="15">
      <c r="B7272" s="918"/>
      <c r="C7272" s="196"/>
      <c r="D7272" s="196"/>
      <c r="E7272" s="196"/>
      <c r="F7272" s="196"/>
      <c r="G7272" s="928"/>
      <c r="H7272" s="928"/>
      <c r="I7272" s="928"/>
      <c r="J7272" s="196"/>
    </row>
    <row r="7273" spans="2:10" ht="15">
      <c r="B7273" s="873" t="s">
        <v>1114</v>
      </c>
      <c r="C7273" s="685">
        <v>0.6</v>
      </c>
      <c r="D7273" s="390" t="s">
        <v>10</v>
      </c>
      <c r="E7273" s="288" t="s">
        <v>1120</v>
      </c>
      <c r="F7273" s="196"/>
      <c r="G7273" s="928"/>
      <c r="H7273" s="928"/>
      <c r="I7273" s="928"/>
      <c r="J7273" s="196"/>
    </row>
    <row r="7274" spans="2:10" ht="15">
      <c r="B7274" s="873" t="s">
        <v>1114</v>
      </c>
      <c r="C7274" s="685">
        <v>0.6</v>
      </c>
      <c r="D7274" s="390" t="s">
        <v>10</v>
      </c>
      <c r="E7274" s="288" t="s">
        <v>1121</v>
      </c>
      <c r="F7274" s="196"/>
      <c r="G7274" s="196"/>
      <c r="H7274" s="196"/>
      <c r="I7274" s="196"/>
      <c r="J7274" s="196"/>
    </row>
    <row r="7275" spans="2:10">
      <c r="B7275"/>
      <c r="C7275"/>
      <c r="D7275"/>
      <c r="E7275"/>
      <c r="F7275"/>
      <c r="I7275" s="196"/>
      <c r="J7275" s="196"/>
    </row>
    <row r="7276" spans="2:10" ht="15">
      <c r="B7276" s="303" t="s">
        <v>1122</v>
      </c>
      <c r="C7276"/>
      <c r="D7276"/>
      <c r="E7276"/>
      <c r="F7276"/>
      <c r="G7276" s="196"/>
      <c r="H7276" s="449"/>
      <c r="I7276" s="928"/>
      <c r="J7276" s="196"/>
    </row>
    <row r="7277" spans="2:10" ht="18">
      <c r="B7277" s="920" t="s">
        <v>1123</v>
      </c>
      <c r="C7277" s="172"/>
      <c r="D7277" s="173"/>
      <c r="E7277" s="397">
        <f>C7269*H7269</f>
        <v>71.573243066730299</v>
      </c>
      <c r="F7277" s="390" t="s">
        <v>1124</v>
      </c>
      <c r="G7277" s="196"/>
      <c r="H7277" s="928"/>
      <c r="I7277" s="928"/>
      <c r="J7277" s="928"/>
    </row>
    <row r="7278" spans="2:10" ht="18">
      <c r="B7278" s="920" t="s">
        <v>1125</v>
      </c>
      <c r="C7278" s="172"/>
      <c r="D7278" s="173"/>
      <c r="E7278" s="400">
        <f>C7269*(H7269-H7270)</f>
        <v>56.163243066730303</v>
      </c>
      <c r="F7278" s="390" t="s">
        <v>1124</v>
      </c>
      <c r="G7278" s="196"/>
      <c r="H7278" s="449"/>
      <c r="I7278" s="196"/>
      <c r="J7278" s="196"/>
    </row>
    <row r="7279" spans="2:10" ht="15">
      <c r="B7279" s="920" t="s">
        <v>1126</v>
      </c>
      <c r="C7279" s="172"/>
      <c r="D7279" s="173"/>
      <c r="E7279" s="400">
        <f>C7269*H7271</f>
        <v>18.059999999999999</v>
      </c>
      <c r="F7279" s="390" t="s">
        <v>13</v>
      </c>
      <c r="G7279"/>
      <c r="H7279"/>
      <c r="I7279"/>
      <c r="J7279"/>
    </row>
    <row r="7282" spans="2:10" ht="16.5" thickBot="1"/>
    <row r="7283" spans="2:10">
      <c r="B7283" s="702" t="s">
        <v>1189</v>
      </c>
      <c r="C7283" s="282"/>
      <c r="D7283" s="282"/>
      <c r="E7283" s="282"/>
      <c r="F7283" s="283"/>
    </row>
    <row r="7284" spans="2:10">
      <c r="B7284" s="693"/>
      <c r="C7284" s="196"/>
      <c r="D7284" s="196"/>
      <c r="E7284" s="196"/>
      <c r="F7284" s="284"/>
      <c r="H7284" s="196" t="s">
        <v>1131</v>
      </c>
    </row>
    <row r="7285" spans="2:10">
      <c r="B7285" s="879" t="s">
        <v>1122</v>
      </c>
      <c r="C7285" s="410"/>
      <c r="D7285" s="919"/>
      <c r="E7285" s="919"/>
      <c r="F7285" s="424"/>
    </row>
    <row r="7286" spans="2:10" ht="18">
      <c r="B7286" s="922" t="s">
        <v>1123</v>
      </c>
      <c r="C7286" s="172"/>
      <c r="D7286" s="173"/>
      <c r="E7286" s="880">
        <f>E7277</f>
        <v>71.573243066730299</v>
      </c>
      <c r="F7286" s="139" t="s">
        <v>1124</v>
      </c>
    </row>
    <row r="7287" spans="2:10" ht="18">
      <c r="B7287" s="922" t="s">
        <v>1125</v>
      </c>
      <c r="C7287" s="172"/>
      <c r="D7287" s="173"/>
      <c r="E7287" s="291">
        <f>E7278</f>
        <v>56.163243066730303</v>
      </c>
      <c r="F7287" s="139" t="s">
        <v>1124</v>
      </c>
    </row>
    <row r="7288" spans="2:10" ht="16.5" thickBot="1">
      <c r="B7288" s="923" t="s">
        <v>1126</v>
      </c>
      <c r="C7288" s="174"/>
      <c r="D7288" s="176"/>
      <c r="E7288" s="428">
        <f>E7279</f>
        <v>18.059999999999999</v>
      </c>
      <c r="F7288" s="440" t="s">
        <v>13</v>
      </c>
    </row>
    <row r="7291" spans="2:10" ht="15" customHeight="1">
      <c r="B7291" s="1179" t="s">
        <v>2335</v>
      </c>
      <c r="C7291" s="1179"/>
      <c r="D7291" s="1179"/>
      <c r="E7291" s="1179"/>
      <c r="F7291" s="1179"/>
      <c r="G7291" s="1179"/>
      <c r="H7291" s="1179"/>
      <c r="I7291" s="1179"/>
      <c r="J7291" s="1179"/>
    </row>
    <row r="7294" spans="2:10">
      <c r="B7294" s="385"/>
      <c r="C7294" s="196"/>
      <c r="D7294" s="196"/>
      <c r="E7294" s="196"/>
      <c r="F7294" s="196"/>
      <c r="H7294" s="196"/>
      <c r="I7294" s="196"/>
      <c r="J7294" s="196"/>
    </row>
    <row r="7295" spans="2:10">
      <c r="B7295"/>
      <c r="C7295"/>
      <c r="D7295"/>
      <c r="E7295"/>
      <c r="F7295" s="877"/>
      <c r="G7295" s="385" t="s">
        <v>2186</v>
      </c>
      <c r="H7295" s="877"/>
      <c r="I7295" s="877"/>
      <c r="J7295" s="877"/>
    </row>
    <row r="7296" spans="2:10" ht="15">
      <c r="B7296" s="873" t="s">
        <v>1110</v>
      </c>
      <c r="C7296" s="685">
        <v>4</v>
      </c>
      <c r="D7296" s="390" t="s">
        <v>10</v>
      </c>
      <c r="E7296" s="196"/>
      <c r="F7296" s="405"/>
      <c r="G7296" s="392" t="s">
        <v>2179</v>
      </c>
      <c r="H7296" s="929">
        <f>C7296+2*C7307</f>
        <v>5.2</v>
      </c>
      <c r="I7296" s="196"/>
      <c r="J7296" s="196"/>
    </row>
    <row r="7297" spans="2:10" ht="15">
      <c r="B7297" s="873" t="s">
        <v>1111</v>
      </c>
      <c r="C7297" s="685">
        <v>4</v>
      </c>
      <c r="D7297" s="390" t="s">
        <v>10</v>
      </c>
      <c r="E7297" s="196"/>
      <c r="F7297" s="405"/>
      <c r="G7297" s="392" t="s">
        <v>2180</v>
      </c>
      <c r="H7297" s="929">
        <f>C7297+2*C7307</f>
        <v>5.2</v>
      </c>
      <c r="I7297" s="196"/>
      <c r="J7297" s="196"/>
    </row>
    <row r="7298" spans="2:10" ht="15">
      <c r="B7298" s="873" t="s">
        <v>1141</v>
      </c>
      <c r="C7298" s="685">
        <v>3.5</v>
      </c>
      <c r="D7298" s="390" t="s">
        <v>10</v>
      </c>
      <c r="E7298" s="196"/>
      <c r="F7298" s="405"/>
      <c r="G7298" s="392" t="s">
        <v>2178</v>
      </c>
      <c r="H7298" s="929">
        <f>H7296*H7297</f>
        <v>27.040000000000003</v>
      </c>
      <c r="I7298" s="196"/>
      <c r="J7298" s="196"/>
    </row>
    <row r="7299" spans="2:10" ht="15">
      <c r="B7299" s="873" t="s">
        <v>1144</v>
      </c>
      <c r="C7299" s="403">
        <v>3.5</v>
      </c>
      <c r="D7299" s="390" t="s">
        <v>10</v>
      </c>
      <c r="E7299" s="196"/>
      <c r="F7299" s="405"/>
      <c r="G7299" s="392" t="s">
        <v>2184</v>
      </c>
      <c r="H7299" s="929">
        <f>TAN(RADIANS(C7305))</f>
        <v>1.7320508075688767</v>
      </c>
      <c r="I7299" s="196"/>
      <c r="J7299" s="196"/>
    </row>
    <row r="7300" spans="2:10" ht="15">
      <c r="B7300" s="873" t="s">
        <v>1112</v>
      </c>
      <c r="C7300" s="403">
        <v>5.6</v>
      </c>
      <c r="D7300" s="390" t="s">
        <v>10</v>
      </c>
      <c r="E7300" s="196"/>
      <c r="F7300" s="405"/>
      <c r="G7300" s="392" t="s">
        <v>2181</v>
      </c>
      <c r="H7300" s="929">
        <f>H7296+2*(C7300-C7301+0.05)/H7299</f>
        <v>7.9135462651912416</v>
      </c>
      <c r="I7300" s="196"/>
      <c r="J7300" s="196"/>
    </row>
    <row r="7301" spans="2:10" ht="15">
      <c r="B7301" s="873" t="s">
        <v>1113</v>
      </c>
      <c r="C7301" s="685">
        <v>3.3</v>
      </c>
      <c r="D7301" s="390" t="s">
        <v>10</v>
      </c>
      <c r="E7301" s="196"/>
      <c r="F7301" s="405"/>
      <c r="G7301" s="392" t="s">
        <v>2182</v>
      </c>
      <c r="H7301" s="929">
        <f>H7297+2*(C7300-C7301+0.05)/H7299</f>
        <v>7.9135462651912416</v>
      </c>
      <c r="I7301" s="196"/>
      <c r="J7301" s="196"/>
    </row>
    <row r="7302" spans="2:10" ht="15">
      <c r="B7302" s="873" t="s">
        <v>1115</v>
      </c>
      <c r="C7302" s="403">
        <v>2</v>
      </c>
      <c r="D7302" s="390" t="s">
        <v>10</v>
      </c>
      <c r="E7302" s="196"/>
      <c r="F7302" s="405"/>
      <c r="G7302" s="392" t="s">
        <v>2183</v>
      </c>
      <c r="H7302" s="929">
        <f>H7300*H7301</f>
        <v>62.624214491322249</v>
      </c>
      <c r="I7302" s="196"/>
      <c r="J7302" s="196"/>
    </row>
    <row r="7303" spans="2:10">
      <c r="B7303" s="873" t="s">
        <v>1117</v>
      </c>
      <c r="C7303" s="391">
        <v>1</v>
      </c>
      <c r="D7303" s="390" t="s">
        <v>1118</v>
      </c>
      <c r="E7303" s="196"/>
      <c r="F7303" s="405"/>
      <c r="G7303" s="930" t="s">
        <v>2185</v>
      </c>
      <c r="H7303" s="929">
        <f>((H7298+H7302)/2)*(C7300-C7301+0.05)</f>
        <v>105.35545202730363</v>
      </c>
      <c r="I7303" s="196"/>
      <c r="J7303" s="196"/>
    </row>
    <row r="7304" spans="2:10">
      <c r="B7304" s="196" t="s">
        <v>1148</v>
      </c>
      <c r="C7304" s="993"/>
      <c r="D7304" s="196"/>
      <c r="E7304" s="196"/>
      <c r="F7304" s="405"/>
      <c r="G7304" s="930" t="s">
        <v>2187</v>
      </c>
      <c r="H7304" s="929">
        <f>(C7296*C7297*(C7300-C7301+0.05))-(C7296*C7297-C7298*C7299)*C7302</f>
        <v>30.099999999999994</v>
      </c>
      <c r="I7304" s="196"/>
      <c r="J7304" s="196"/>
    </row>
    <row r="7305" spans="2:10">
      <c r="B7305" s="873" t="s">
        <v>1149</v>
      </c>
      <c r="C7305" s="389">
        <v>60</v>
      </c>
      <c r="D7305" s="390" t="s">
        <v>1150</v>
      </c>
      <c r="E7305" s="196"/>
      <c r="F7305" s="196"/>
      <c r="G7305" s="930" t="s">
        <v>2188</v>
      </c>
      <c r="H7305" s="929">
        <f>(C7296+2*C7308)*(C7297+2*C7308)</f>
        <v>27.040000000000003</v>
      </c>
      <c r="I7305" s="196"/>
      <c r="J7305" s="196"/>
    </row>
    <row r="7306" spans="2:10" ht="15">
      <c r="B7306" s="918"/>
      <c r="C7306" s="196"/>
      <c r="D7306" s="196"/>
      <c r="E7306" s="196"/>
      <c r="F7306" s="196"/>
      <c r="G7306" s="928"/>
      <c r="H7306" s="928"/>
      <c r="I7306" s="928"/>
      <c r="J7306" s="196"/>
    </row>
    <row r="7307" spans="2:10" ht="15">
      <c r="B7307" s="873" t="s">
        <v>1114</v>
      </c>
      <c r="C7307" s="685">
        <v>0.6</v>
      </c>
      <c r="D7307" s="390" t="s">
        <v>10</v>
      </c>
      <c r="E7307" s="288" t="s">
        <v>1120</v>
      </c>
      <c r="F7307" s="196"/>
      <c r="G7307" s="928"/>
      <c r="H7307" s="928"/>
      <c r="I7307" s="928"/>
      <c r="J7307" s="196"/>
    </row>
    <row r="7308" spans="2:10" ht="15">
      <c r="B7308" s="873" t="s">
        <v>1114</v>
      </c>
      <c r="C7308" s="685">
        <v>0.6</v>
      </c>
      <c r="D7308" s="390" t="s">
        <v>10</v>
      </c>
      <c r="E7308" s="288" t="s">
        <v>1121</v>
      </c>
      <c r="F7308" s="196"/>
      <c r="G7308" s="196"/>
      <c r="H7308" s="196"/>
      <c r="I7308" s="196"/>
      <c r="J7308" s="196"/>
    </row>
    <row r="7309" spans="2:10">
      <c r="B7309"/>
      <c r="C7309"/>
      <c r="D7309"/>
      <c r="E7309"/>
      <c r="F7309"/>
      <c r="I7309" s="196"/>
      <c r="J7309" s="196"/>
    </row>
    <row r="7310" spans="2:10" ht="15">
      <c r="B7310" s="303" t="s">
        <v>1122</v>
      </c>
      <c r="C7310"/>
      <c r="D7310"/>
      <c r="E7310"/>
      <c r="F7310"/>
      <c r="G7310" s="196"/>
      <c r="H7310" s="449"/>
      <c r="I7310" s="928"/>
      <c r="J7310" s="196"/>
    </row>
    <row r="7311" spans="2:10" ht="18">
      <c r="B7311" s="992" t="s">
        <v>1123</v>
      </c>
      <c r="C7311" s="172"/>
      <c r="D7311" s="173"/>
      <c r="E7311" s="397">
        <f>C7303*H7303</f>
        <v>105.35545202730363</v>
      </c>
      <c r="F7311" s="390" t="s">
        <v>1124</v>
      </c>
      <c r="G7311" s="196"/>
      <c r="H7311" s="928"/>
      <c r="I7311" s="928"/>
      <c r="J7311" s="928"/>
    </row>
    <row r="7312" spans="2:10" ht="18">
      <c r="B7312" s="992" t="s">
        <v>1125</v>
      </c>
      <c r="C7312" s="172"/>
      <c r="D7312" s="173"/>
      <c r="E7312" s="400">
        <f>C7303*(H7303-H7304)</f>
        <v>75.255452027303633</v>
      </c>
      <c r="F7312" s="390" t="s">
        <v>1124</v>
      </c>
      <c r="G7312" s="196"/>
      <c r="H7312" s="449"/>
      <c r="I7312" s="196"/>
      <c r="J7312" s="196"/>
    </row>
    <row r="7313" spans="2:10" ht="15">
      <c r="B7313" s="992" t="s">
        <v>1126</v>
      </c>
      <c r="C7313" s="172"/>
      <c r="D7313" s="173"/>
      <c r="E7313" s="400">
        <f>C7303*H7305</f>
        <v>27.040000000000003</v>
      </c>
      <c r="F7313" s="390" t="s">
        <v>13</v>
      </c>
      <c r="G7313"/>
      <c r="H7313"/>
      <c r="I7313"/>
      <c r="J7313"/>
    </row>
    <row r="7316" spans="2:10" ht="16.5" thickBot="1"/>
    <row r="7317" spans="2:10">
      <c r="B7317" s="702" t="s">
        <v>1189</v>
      </c>
      <c r="C7317" s="282"/>
      <c r="D7317" s="282"/>
      <c r="E7317" s="282"/>
      <c r="F7317" s="283"/>
    </row>
    <row r="7318" spans="2:10">
      <c r="B7318" s="693"/>
      <c r="C7318" s="196"/>
      <c r="D7318" s="196"/>
      <c r="E7318" s="196"/>
      <c r="F7318" s="284"/>
      <c r="H7318" s="196" t="s">
        <v>1131</v>
      </c>
    </row>
    <row r="7319" spans="2:10">
      <c r="B7319" s="879" t="s">
        <v>1122</v>
      </c>
      <c r="C7319" s="410"/>
      <c r="D7319" s="991"/>
      <c r="E7319" s="991"/>
      <c r="F7319" s="424"/>
    </row>
    <row r="7320" spans="2:10" ht="18">
      <c r="B7320" s="994" t="s">
        <v>1123</v>
      </c>
      <c r="C7320" s="172"/>
      <c r="D7320" s="173"/>
      <c r="E7320" s="880">
        <f>E7311</f>
        <v>105.35545202730363</v>
      </c>
      <c r="F7320" s="139" t="s">
        <v>1124</v>
      </c>
    </row>
    <row r="7321" spans="2:10" ht="18">
      <c r="B7321" s="994" t="s">
        <v>1125</v>
      </c>
      <c r="C7321" s="172"/>
      <c r="D7321" s="173"/>
      <c r="E7321" s="291">
        <f>E7312</f>
        <v>75.255452027303633</v>
      </c>
      <c r="F7321" s="139" t="s">
        <v>1124</v>
      </c>
    </row>
    <row r="7322" spans="2:10" ht="16.5" thickBot="1">
      <c r="B7322" s="995" t="s">
        <v>1126</v>
      </c>
      <c r="C7322" s="174"/>
      <c r="D7322" s="176"/>
      <c r="E7322" s="428">
        <f>E7313</f>
        <v>27.040000000000003</v>
      </c>
      <c r="F7322" s="440" t="s">
        <v>13</v>
      </c>
    </row>
    <row r="7325" spans="2:10" ht="15" customHeight="1">
      <c r="B7325" s="1179" t="s">
        <v>2336</v>
      </c>
      <c r="C7325" s="1179"/>
      <c r="D7325" s="1179"/>
      <c r="E7325" s="1179"/>
      <c r="F7325" s="1179"/>
      <c r="G7325" s="1179"/>
      <c r="H7325" s="1179"/>
      <c r="I7325" s="1179"/>
      <c r="J7325" s="1179"/>
    </row>
    <row r="7328" spans="2:10">
      <c r="B7328" s="385"/>
      <c r="C7328" s="196"/>
      <c r="D7328" s="196"/>
      <c r="E7328" s="196"/>
      <c r="F7328" s="196"/>
      <c r="H7328" s="196"/>
      <c r="I7328" s="196"/>
      <c r="J7328" s="196"/>
    </row>
    <row r="7329" spans="2:10">
      <c r="B7329"/>
      <c r="C7329"/>
      <c r="D7329"/>
      <c r="E7329"/>
      <c r="F7329" s="877"/>
      <c r="G7329" s="385" t="s">
        <v>2186</v>
      </c>
      <c r="H7329" s="877"/>
      <c r="I7329" s="877"/>
      <c r="J7329" s="877"/>
    </row>
    <row r="7330" spans="2:10" ht="15">
      <c r="B7330" s="873" t="s">
        <v>1110</v>
      </c>
      <c r="C7330" s="685">
        <v>1.1000000000000001</v>
      </c>
      <c r="D7330" s="390" t="s">
        <v>10</v>
      </c>
      <c r="E7330" s="196"/>
      <c r="F7330" s="405"/>
      <c r="G7330" s="392" t="s">
        <v>2179</v>
      </c>
      <c r="H7330" s="929">
        <f>C7330+2*C7341</f>
        <v>2.2999999999999998</v>
      </c>
      <c r="I7330" s="196"/>
      <c r="J7330" s="196"/>
    </row>
    <row r="7331" spans="2:10" ht="15">
      <c r="B7331" s="873" t="s">
        <v>1111</v>
      </c>
      <c r="C7331" s="685">
        <v>1.1000000000000001</v>
      </c>
      <c r="D7331" s="390" t="s">
        <v>10</v>
      </c>
      <c r="E7331" s="196"/>
      <c r="F7331" s="405"/>
      <c r="G7331" s="392" t="s">
        <v>2180</v>
      </c>
      <c r="H7331" s="929">
        <f>C7331+2*C7341</f>
        <v>2.2999999999999998</v>
      </c>
      <c r="I7331" s="196"/>
      <c r="J7331" s="196"/>
    </row>
    <row r="7332" spans="2:10" ht="15">
      <c r="B7332" s="873" t="s">
        <v>1141</v>
      </c>
      <c r="C7332" s="685">
        <v>1.1000000000000001</v>
      </c>
      <c r="D7332" s="390" t="s">
        <v>10</v>
      </c>
      <c r="E7332" s="196"/>
      <c r="F7332" s="405"/>
      <c r="G7332" s="392" t="s">
        <v>2178</v>
      </c>
      <c r="H7332" s="929">
        <f>H7330*H7331</f>
        <v>5.2899999999999991</v>
      </c>
      <c r="I7332" s="196"/>
      <c r="J7332" s="196"/>
    </row>
    <row r="7333" spans="2:10" ht="15">
      <c r="B7333" s="873" t="s">
        <v>1144</v>
      </c>
      <c r="C7333" s="403">
        <v>1.1000000000000001</v>
      </c>
      <c r="D7333" s="390" t="s">
        <v>10</v>
      </c>
      <c r="E7333" s="196"/>
      <c r="F7333" s="405"/>
      <c r="G7333" s="392" t="s">
        <v>2184</v>
      </c>
      <c r="H7333" s="929">
        <f>TAN(RADIANS(C7339))</f>
        <v>1.7320508075688767</v>
      </c>
      <c r="I7333" s="196"/>
      <c r="J7333" s="196"/>
    </row>
    <row r="7334" spans="2:10" ht="15">
      <c r="B7334" s="873" t="s">
        <v>1112</v>
      </c>
      <c r="C7334" s="403">
        <v>1.67</v>
      </c>
      <c r="D7334" s="390" t="s">
        <v>10</v>
      </c>
      <c r="E7334" s="196"/>
      <c r="F7334" s="405"/>
      <c r="G7334" s="392" t="s">
        <v>2181</v>
      </c>
      <c r="H7334" s="929">
        <f>H7330+2*(C7334-C7335+0.05)/H7333</f>
        <v>3.9743157806499152</v>
      </c>
      <c r="I7334" s="196"/>
      <c r="J7334" s="196"/>
    </row>
    <row r="7335" spans="2:10" ht="15">
      <c r="B7335" s="873" t="s">
        <v>1113</v>
      </c>
      <c r="C7335" s="685">
        <v>0.27</v>
      </c>
      <c r="D7335" s="390" t="s">
        <v>10</v>
      </c>
      <c r="E7335" s="196"/>
      <c r="F7335" s="405"/>
      <c r="G7335" s="392" t="s">
        <v>2182</v>
      </c>
      <c r="H7335" s="929">
        <f>H7331+2*(C7334-C7335+0.05)/H7333</f>
        <v>3.9743157806499152</v>
      </c>
      <c r="I7335" s="196"/>
      <c r="J7335" s="196"/>
    </row>
    <row r="7336" spans="2:10" ht="15">
      <c r="B7336" s="873" t="s">
        <v>1115</v>
      </c>
      <c r="C7336" s="403">
        <v>1.25</v>
      </c>
      <c r="D7336" s="390" t="s">
        <v>10</v>
      </c>
      <c r="E7336" s="196"/>
      <c r="F7336" s="405"/>
      <c r="G7336" s="392" t="s">
        <v>2183</v>
      </c>
      <c r="H7336" s="929">
        <f>H7334*H7335</f>
        <v>15.795185924322945</v>
      </c>
      <c r="I7336" s="196"/>
      <c r="J7336" s="196"/>
    </row>
    <row r="7337" spans="2:10">
      <c r="B7337" s="873" t="s">
        <v>1117</v>
      </c>
      <c r="C7337" s="391">
        <v>1</v>
      </c>
      <c r="D7337" s="390" t="s">
        <v>1118</v>
      </c>
      <c r="E7337" s="196"/>
      <c r="F7337" s="405"/>
      <c r="G7337" s="930" t="s">
        <v>2185</v>
      </c>
      <c r="H7337" s="929">
        <f>((H7332+H7336)/2)*(C7334-C7335+0.05)</f>
        <v>15.286759795134133</v>
      </c>
      <c r="I7337" s="196"/>
      <c r="J7337" s="196"/>
    </row>
    <row r="7338" spans="2:10">
      <c r="B7338" s="196" t="s">
        <v>1148</v>
      </c>
      <c r="C7338" s="993"/>
      <c r="D7338" s="196"/>
      <c r="E7338" s="196"/>
      <c r="F7338" s="405"/>
      <c r="G7338" s="930" t="s">
        <v>2187</v>
      </c>
      <c r="H7338" s="929">
        <f>(C7330*C7331*(C7334-C7335+0.05))-(C7330*C7331-C7332*C7333)*C7336</f>
        <v>1.7545000000000002</v>
      </c>
      <c r="I7338" s="196"/>
      <c r="J7338" s="196"/>
    </row>
    <row r="7339" spans="2:10">
      <c r="B7339" s="873" t="s">
        <v>1149</v>
      </c>
      <c r="C7339" s="389">
        <v>60</v>
      </c>
      <c r="D7339" s="390" t="s">
        <v>1150</v>
      </c>
      <c r="E7339" s="196"/>
      <c r="F7339" s="196"/>
      <c r="G7339" s="930" t="s">
        <v>2188</v>
      </c>
      <c r="H7339" s="929">
        <f>(C7330+2*C7342)*(C7331+2*C7342)</f>
        <v>5.2899999999999991</v>
      </c>
      <c r="I7339" s="196"/>
      <c r="J7339" s="196"/>
    </row>
    <row r="7340" spans="2:10" ht="15">
      <c r="B7340" s="918"/>
      <c r="C7340" s="196"/>
      <c r="D7340" s="196"/>
      <c r="E7340" s="196"/>
      <c r="F7340" s="196"/>
      <c r="G7340" s="928"/>
      <c r="H7340" s="928"/>
      <c r="I7340" s="928"/>
      <c r="J7340" s="196"/>
    </row>
    <row r="7341" spans="2:10" ht="15">
      <c r="B7341" s="873" t="s">
        <v>1114</v>
      </c>
      <c r="C7341" s="685">
        <v>0.6</v>
      </c>
      <c r="D7341" s="390" t="s">
        <v>10</v>
      </c>
      <c r="E7341" s="288" t="s">
        <v>1120</v>
      </c>
      <c r="F7341" s="196"/>
      <c r="G7341" s="928"/>
      <c r="H7341" s="928"/>
      <c r="I7341" s="928"/>
      <c r="J7341" s="196"/>
    </row>
    <row r="7342" spans="2:10" ht="15">
      <c r="B7342" s="873" t="s">
        <v>1114</v>
      </c>
      <c r="C7342" s="685">
        <v>0.6</v>
      </c>
      <c r="D7342" s="390" t="s">
        <v>10</v>
      </c>
      <c r="E7342" s="288" t="s">
        <v>1121</v>
      </c>
      <c r="F7342" s="196"/>
      <c r="G7342" s="196"/>
      <c r="H7342" s="196"/>
      <c r="I7342" s="196"/>
      <c r="J7342" s="196"/>
    </row>
    <row r="7343" spans="2:10">
      <c r="B7343"/>
      <c r="C7343"/>
      <c r="D7343"/>
      <c r="E7343"/>
      <c r="F7343"/>
      <c r="I7343" s="196"/>
      <c r="J7343" s="196"/>
    </row>
    <row r="7344" spans="2:10" ht="15">
      <c r="B7344" s="303" t="s">
        <v>1122</v>
      </c>
      <c r="C7344"/>
      <c r="D7344"/>
      <c r="E7344"/>
      <c r="F7344"/>
      <c r="G7344" s="196"/>
      <c r="H7344" s="449"/>
      <c r="I7344" s="928"/>
      <c r="J7344" s="196"/>
    </row>
    <row r="7345" spans="2:10" ht="18">
      <c r="B7345" s="992" t="s">
        <v>1123</v>
      </c>
      <c r="C7345" s="172"/>
      <c r="D7345" s="173"/>
      <c r="E7345" s="397">
        <f>C7337*H7337</f>
        <v>15.286759795134133</v>
      </c>
      <c r="F7345" s="390" t="s">
        <v>1124</v>
      </c>
      <c r="G7345" s="196"/>
      <c r="H7345" s="928"/>
      <c r="I7345" s="928"/>
      <c r="J7345" s="928"/>
    </row>
    <row r="7346" spans="2:10" ht="18">
      <c r="B7346" s="992" t="s">
        <v>1125</v>
      </c>
      <c r="C7346" s="172"/>
      <c r="D7346" s="173"/>
      <c r="E7346" s="400">
        <f>C7337*(H7337-H7338)</f>
        <v>13.532259795134133</v>
      </c>
      <c r="F7346" s="390" t="s">
        <v>1124</v>
      </c>
      <c r="G7346" s="196"/>
      <c r="H7346" s="449"/>
      <c r="I7346" s="196"/>
      <c r="J7346" s="196"/>
    </row>
    <row r="7347" spans="2:10" ht="15">
      <c r="B7347" s="992" t="s">
        <v>1126</v>
      </c>
      <c r="C7347" s="172"/>
      <c r="D7347" s="173"/>
      <c r="E7347" s="400">
        <f>C7337*H7339</f>
        <v>5.2899999999999991</v>
      </c>
      <c r="F7347" s="390" t="s">
        <v>13</v>
      </c>
      <c r="G7347"/>
      <c r="H7347"/>
      <c r="I7347"/>
      <c r="J7347"/>
    </row>
    <row r="7350" spans="2:10" ht="16.5" thickBot="1"/>
    <row r="7351" spans="2:10">
      <c r="B7351" s="702" t="s">
        <v>1189</v>
      </c>
      <c r="C7351" s="282"/>
      <c r="D7351" s="282"/>
      <c r="E7351" s="282"/>
      <c r="F7351" s="283"/>
    </row>
    <row r="7352" spans="2:10">
      <c r="B7352" s="693"/>
      <c r="C7352" s="196"/>
      <c r="D7352" s="196"/>
      <c r="E7352" s="196"/>
      <c r="F7352" s="284"/>
      <c r="H7352" s="196" t="s">
        <v>1131</v>
      </c>
    </row>
    <row r="7353" spans="2:10">
      <c r="B7353" s="879" t="s">
        <v>1122</v>
      </c>
      <c r="C7353" s="410"/>
      <c r="D7353" s="991"/>
      <c r="E7353" s="991"/>
      <c r="F7353" s="424"/>
    </row>
    <row r="7354" spans="2:10" ht="18">
      <c r="B7354" s="994" t="s">
        <v>1123</v>
      </c>
      <c r="C7354" s="172"/>
      <c r="D7354" s="173"/>
      <c r="E7354" s="880">
        <f>E7345</f>
        <v>15.286759795134133</v>
      </c>
      <c r="F7354" s="139" t="s">
        <v>1124</v>
      </c>
    </row>
    <row r="7355" spans="2:10" ht="18">
      <c r="B7355" s="994" t="s">
        <v>1125</v>
      </c>
      <c r="C7355" s="172"/>
      <c r="D7355" s="173"/>
      <c r="E7355" s="291">
        <f>E7346</f>
        <v>13.532259795134133</v>
      </c>
      <c r="F7355" s="139" t="s">
        <v>1124</v>
      </c>
    </row>
    <row r="7356" spans="2:10" ht="16.5" thickBot="1">
      <c r="B7356" s="995" t="s">
        <v>1126</v>
      </c>
      <c r="C7356" s="174"/>
      <c r="D7356" s="176"/>
      <c r="E7356" s="428">
        <f>E7347</f>
        <v>5.2899999999999991</v>
      </c>
      <c r="F7356" s="440" t="s">
        <v>13</v>
      </c>
    </row>
    <row r="7359" spans="2:10" ht="15">
      <c r="B7359" s="1179" t="s">
        <v>2337</v>
      </c>
      <c r="C7359" s="1179"/>
      <c r="D7359" s="1179"/>
      <c r="E7359" s="1179"/>
      <c r="F7359" s="1179"/>
      <c r="G7359" s="1179"/>
      <c r="H7359" s="1179"/>
      <c r="I7359" s="1179"/>
      <c r="J7359" s="1179"/>
    </row>
    <row r="7362" spans="2:10">
      <c r="B7362" s="385"/>
      <c r="C7362" s="196"/>
      <c r="D7362" s="196"/>
      <c r="E7362" s="196"/>
      <c r="F7362" s="196"/>
      <c r="H7362" s="196"/>
      <c r="I7362" s="196"/>
      <c r="J7362" s="196"/>
    </row>
    <row r="7363" spans="2:10">
      <c r="B7363"/>
      <c r="C7363"/>
      <c r="D7363"/>
      <c r="E7363"/>
      <c r="F7363" s="877"/>
      <c r="G7363" s="385" t="s">
        <v>2186</v>
      </c>
      <c r="H7363" s="877"/>
      <c r="I7363" s="877"/>
      <c r="J7363" s="877"/>
    </row>
    <row r="7364" spans="2:10" ht="15">
      <c r="B7364" s="873" t="s">
        <v>1110</v>
      </c>
      <c r="C7364" s="685">
        <v>1.9</v>
      </c>
      <c r="D7364" s="390" t="s">
        <v>10</v>
      </c>
      <c r="E7364" s="196"/>
      <c r="F7364" s="405"/>
      <c r="G7364" s="392" t="s">
        <v>2179</v>
      </c>
      <c r="H7364" s="929">
        <f>C7364+2*C7375</f>
        <v>3.0999999999999996</v>
      </c>
      <c r="I7364" s="196"/>
      <c r="J7364" s="196"/>
    </row>
    <row r="7365" spans="2:10" ht="15">
      <c r="B7365" s="873" t="s">
        <v>1111</v>
      </c>
      <c r="C7365" s="685">
        <v>2.0499999999999998</v>
      </c>
      <c r="D7365" s="390" t="s">
        <v>10</v>
      </c>
      <c r="E7365" s="196"/>
      <c r="F7365" s="405"/>
      <c r="G7365" s="392" t="s">
        <v>2180</v>
      </c>
      <c r="H7365" s="929">
        <f>C7365+2*C7375</f>
        <v>3.25</v>
      </c>
      <c r="I7365" s="196"/>
      <c r="J7365" s="196"/>
    </row>
    <row r="7366" spans="2:10" ht="15">
      <c r="B7366" s="873" t="s">
        <v>1141</v>
      </c>
      <c r="C7366" s="685">
        <v>1.9</v>
      </c>
      <c r="D7366" s="390" t="s">
        <v>10</v>
      </c>
      <c r="E7366" s="196"/>
      <c r="F7366" s="405"/>
      <c r="G7366" s="392" t="s">
        <v>2178</v>
      </c>
      <c r="H7366" s="929">
        <f>H7364*H7365</f>
        <v>10.074999999999999</v>
      </c>
      <c r="I7366" s="196"/>
      <c r="J7366" s="196"/>
    </row>
    <row r="7367" spans="2:10" ht="15">
      <c r="B7367" s="873" t="s">
        <v>1144</v>
      </c>
      <c r="C7367" s="403">
        <v>2.0499999999999998</v>
      </c>
      <c r="D7367" s="390" t="s">
        <v>10</v>
      </c>
      <c r="E7367" s="196"/>
      <c r="F7367" s="405"/>
      <c r="G7367" s="392" t="s">
        <v>2184</v>
      </c>
      <c r="H7367" s="929">
        <f>TAN(RADIANS(C7373))</f>
        <v>1.7320508075688767</v>
      </c>
      <c r="I7367" s="196"/>
      <c r="J7367" s="196"/>
    </row>
    <row r="7368" spans="2:10" ht="15">
      <c r="B7368" s="873" t="s">
        <v>1112</v>
      </c>
      <c r="C7368" s="403">
        <v>2.87</v>
      </c>
      <c r="D7368" s="390" t="s">
        <v>10</v>
      </c>
      <c r="E7368" s="196"/>
      <c r="F7368" s="405"/>
      <c r="G7368" s="392" t="s">
        <v>2181</v>
      </c>
      <c r="H7368" s="929">
        <f>H7364+2*(C7368-C7369+0.05)/H7367</f>
        <v>6.4717255720674149</v>
      </c>
      <c r="I7368" s="196"/>
      <c r="J7368" s="196"/>
    </row>
    <row r="7369" spans="2:10" ht="15">
      <c r="B7369" s="873" t="s">
        <v>1113</v>
      </c>
      <c r="C7369" s="685">
        <v>0</v>
      </c>
      <c r="D7369" s="390" t="s">
        <v>10</v>
      </c>
      <c r="E7369" s="196"/>
      <c r="F7369" s="405"/>
      <c r="G7369" s="392" t="s">
        <v>2182</v>
      </c>
      <c r="H7369" s="929">
        <f>H7365+2*(C7368-C7369+0.05)/H7367</f>
        <v>6.6217255720674153</v>
      </c>
      <c r="I7369" s="196"/>
      <c r="J7369" s="196"/>
    </row>
    <row r="7370" spans="2:10" ht="15">
      <c r="B7370" s="873" t="s">
        <v>1115</v>
      </c>
      <c r="C7370" s="403">
        <v>2.67</v>
      </c>
      <c r="D7370" s="390" t="s">
        <v>10</v>
      </c>
      <c r="E7370" s="196"/>
      <c r="F7370" s="405"/>
      <c r="G7370" s="392" t="s">
        <v>2183</v>
      </c>
      <c r="H7370" s="929">
        <f>H7368*H7369</f>
        <v>42.853990715961423</v>
      </c>
      <c r="I7370" s="196"/>
      <c r="J7370" s="196"/>
    </row>
    <row r="7371" spans="2:10">
      <c r="B7371" s="873" t="s">
        <v>1117</v>
      </c>
      <c r="C7371" s="391">
        <v>1</v>
      </c>
      <c r="D7371" s="390" t="s">
        <v>1118</v>
      </c>
      <c r="E7371" s="196"/>
      <c r="F7371" s="405"/>
      <c r="G7371" s="930" t="s">
        <v>2185</v>
      </c>
      <c r="H7371" s="929">
        <f>((H7366+H7370)/2)*(C7368-C7369+0.05)</f>
        <v>77.276326445303667</v>
      </c>
      <c r="I7371" s="196"/>
      <c r="J7371" s="196"/>
    </row>
    <row r="7372" spans="2:10">
      <c r="B7372" s="196" t="s">
        <v>1148</v>
      </c>
      <c r="C7372" s="993"/>
      <c r="D7372" s="196"/>
      <c r="E7372" s="196"/>
      <c r="F7372" s="405"/>
      <c r="G7372" s="930" t="s">
        <v>2187</v>
      </c>
      <c r="H7372" s="929">
        <f>(C7364*C7365*(C7368-C7369+0.05))-(C7364*C7365-C7366*C7367)*C7370</f>
        <v>11.373399999999998</v>
      </c>
      <c r="I7372" s="196"/>
      <c r="J7372" s="196"/>
    </row>
    <row r="7373" spans="2:10">
      <c r="B7373" s="873" t="s">
        <v>1149</v>
      </c>
      <c r="C7373" s="389">
        <v>60</v>
      </c>
      <c r="D7373" s="390" t="s">
        <v>1150</v>
      </c>
      <c r="E7373" s="196"/>
      <c r="F7373" s="196"/>
      <c r="G7373" s="930" t="s">
        <v>2188</v>
      </c>
      <c r="H7373" s="929">
        <f>(C7364+2*C7376)*(C7365+2*C7376)</f>
        <v>10.074999999999999</v>
      </c>
      <c r="I7373" s="196"/>
      <c r="J7373" s="196"/>
    </row>
    <row r="7374" spans="2:10" ht="15">
      <c r="B7374" s="918"/>
      <c r="C7374" s="196"/>
      <c r="D7374" s="196"/>
      <c r="E7374" s="196"/>
      <c r="F7374" s="196"/>
      <c r="G7374" s="928"/>
      <c r="H7374" s="928"/>
      <c r="I7374" s="928"/>
      <c r="J7374" s="196"/>
    </row>
    <row r="7375" spans="2:10" ht="15">
      <c r="B7375" s="873" t="s">
        <v>1114</v>
      </c>
      <c r="C7375" s="685">
        <v>0.6</v>
      </c>
      <c r="D7375" s="390" t="s">
        <v>10</v>
      </c>
      <c r="E7375" s="288" t="s">
        <v>1120</v>
      </c>
      <c r="F7375" s="196"/>
      <c r="G7375" s="928"/>
      <c r="H7375" s="928"/>
      <c r="I7375" s="928"/>
      <c r="J7375" s="196"/>
    </row>
    <row r="7376" spans="2:10" ht="15">
      <c r="B7376" s="873" t="s">
        <v>1114</v>
      </c>
      <c r="C7376" s="685">
        <v>0.6</v>
      </c>
      <c r="D7376" s="390" t="s">
        <v>10</v>
      </c>
      <c r="E7376" s="288" t="s">
        <v>1121</v>
      </c>
      <c r="F7376" s="196"/>
      <c r="G7376" s="196"/>
      <c r="H7376" s="196"/>
      <c r="I7376" s="196"/>
      <c r="J7376" s="196"/>
    </row>
    <row r="7377" spans="2:10">
      <c r="B7377"/>
      <c r="C7377"/>
      <c r="D7377"/>
      <c r="E7377"/>
      <c r="F7377"/>
      <c r="I7377" s="196"/>
      <c r="J7377" s="196"/>
    </row>
    <row r="7378" spans="2:10" ht="15">
      <c r="B7378" s="303" t="s">
        <v>1122</v>
      </c>
      <c r="C7378"/>
      <c r="D7378"/>
      <c r="E7378"/>
      <c r="F7378"/>
      <c r="G7378" s="196"/>
      <c r="H7378" s="449"/>
      <c r="I7378" s="928"/>
      <c r="J7378" s="196"/>
    </row>
    <row r="7379" spans="2:10" ht="18">
      <c r="B7379" s="992" t="s">
        <v>1123</v>
      </c>
      <c r="C7379" s="172"/>
      <c r="D7379" s="173"/>
      <c r="E7379" s="397">
        <f>C7371*H7371</f>
        <v>77.276326445303667</v>
      </c>
      <c r="F7379" s="390" t="s">
        <v>1124</v>
      </c>
      <c r="G7379" s="196"/>
      <c r="H7379" s="928"/>
      <c r="I7379" s="928"/>
      <c r="J7379" s="928"/>
    </row>
    <row r="7380" spans="2:10" ht="18">
      <c r="B7380" s="992" t="s">
        <v>1125</v>
      </c>
      <c r="C7380" s="172"/>
      <c r="D7380" s="173"/>
      <c r="E7380" s="400">
        <f>C7371*(H7371-H7372)</f>
        <v>65.902926445303663</v>
      </c>
      <c r="F7380" s="390" t="s">
        <v>1124</v>
      </c>
      <c r="G7380" s="196"/>
      <c r="H7380" s="449"/>
      <c r="I7380" s="196"/>
      <c r="J7380" s="196"/>
    </row>
    <row r="7381" spans="2:10" ht="15">
      <c r="B7381" s="992" t="s">
        <v>1126</v>
      </c>
      <c r="C7381" s="172"/>
      <c r="D7381" s="173"/>
      <c r="E7381" s="400">
        <f>C7371*H7373</f>
        <v>10.074999999999999</v>
      </c>
      <c r="F7381" s="390" t="s">
        <v>13</v>
      </c>
      <c r="G7381"/>
      <c r="H7381"/>
      <c r="I7381"/>
      <c r="J7381"/>
    </row>
    <row r="7384" spans="2:10" ht="16.5" thickBot="1"/>
    <row r="7385" spans="2:10">
      <c r="B7385" s="702" t="s">
        <v>1189</v>
      </c>
      <c r="C7385" s="282"/>
      <c r="D7385" s="282"/>
      <c r="E7385" s="282"/>
      <c r="F7385" s="283"/>
    </row>
    <row r="7386" spans="2:10">
      <c r="B7386" s="693"/>
      <c r="C7386" s="196"/>
      <c r="D7386" s="196"/>
      <c r="E7386" s="196"/>
      <c r="F7386" s="284"/>
      <c r="H7386" s="196" t="s">
        <v>1131</v>
      </c>
    </row>
    <row r="7387" spans="2:10">
      <c r="B7387" s="879" t="s">
        <v>1122</v>
      </c>
      <c r="C7387" s="410"/>
      <c r="D7387" s="991"/>
      <c r="E7387" s="991"/>
      <c r="F7387" s="424"/>
    </row>
    <row r="7388" spans="2:10" ht="18">
      <c r="B7388" s="994" t="s">
        <v>1123</v>
      </c>
      <c r="C7388" s="172"/>
      <c r="D7388" s="173"/>
      <c r="E7388" s="880">
        <f>E7379</f>
        <v>77.276326445303667</v>
      </c>
      <c r="F7388" s="139" t="s">
        <v>1124</v>
      </c>
    </row>
    <row r="7389" spans="2:10" ht="18">
      <c r="B7389" s="994" t="s">
        <v>1125</v>
      </c>
      <c r="C7389" s="172"/>
      <c r="D7389" s="173"/>
      <c r="E7389" s="291">
        <f>E7380</f>
        <v>65.902926445303663</v>
      </c>
      <c r="F7389" s="139" t="s">
        <v>1124</v>
      </c>
    </row>
    <row r="7390" spans="2:10" ht="16.5" thickBot="1">
      <c r="B7390" s="995" t="s">
        <v>1126</v>
      </c>
      <c r="C7390" s="174"/>
      <c r="D7390" s="176"/>
      <c r="E7390" s="428">
        <f>E7381</f>
        <v>10.074999999999999</v>
      </c>
      <c r="F7390" s="440" t="s">
        <v>13</v>
      </c>
    </row>
    <row r="7394" spans="2:6" ht="16.5" thickBot="1"/>
    <row r="7395" spans="2:6">
      <c r="B7395" s="702" t="s">
        <v>1189</v>
      </c>
      <c r="C7395" s="282"/>
      <c r="D7395" s="282"/>
      <c r="E7395" s="282"/>
      <c r="F7395" s="283"/>
    </row>
    <row r="7396" spans="2:6">
      <c r="B7396" s="693"/>
      <c r="C7396" s="196"/>
      <c r="D7396" s="196"/>
      <c r="E7396" s="196"/>
      <c r="F7396" s="284"/>
    </row>
    <row r="7397" spans="2:6">
      <c r="B7397" s="879" t="s">
        <v>1122</v>
      </c>
      <c r="C7397" s="410"/>
      <c r="D7397" s="996"/>
      <c r="E7397" s="996"/>
      <c r="F7397" s="424"/>
    </row>
    <row r="7398" spans="2:6" ht="18">
      <c r="B7398" s="999" t="s">
        <v>1123</v>
      </c>
      <c r="C7398" s="172"/>
      <c r="D7398" s="173"/>
      <c r="E7398" s="880">
        <f>E7277+E7311+E7345+E7379</f>
        <v>269.49178133447174</v>
      </c>
      <c r="F7398" s="139" t="s">
        <v>1124</v>
      </c>
    </row>
    <row r="7399" spans="2:6" ht="18">
      <c r="B7399" s="999" t="s">
        <v>1125</v>
      </c>
      <c r="C7399" s="172"/>
      <c r="D7399" s="173"/>
      <c r="E7399" s="291">
        <f>E7278++E7312+E7346+E7380</f>
        <v>210.85388133447174</v>
      </c>
      <c r="F7399" s="139" t="s">
        <v>1124</v>
      </c>
    </row>
    <row r="7400" spans="2:6" ht="16.5" thickBot="1">
      <c r="B7400" s="1000" t="s">
        <v>1126</v>
      </c>
      <c r="C7400" s="174"/>
      <c r="D7400" s="176"/>
      <c r="E7400" s="428">
        <f>E7279+E7313++E7347+E7381</f>
        <v>60.465000000000003</v>
      </c>
      <c r="F7400" s="440" t="s">
        <v>13</v>
      </c>
    </row>
  </sheetData>
  <mergeCells count="1041">
    <mergeCell ref="J737:J738"/>
    <mergeCell ref="J801:J802"/>
    <mergeCell ref="J817:J818"/>
    <mergeCell ref="J833:J834"/>
    <mergeCell ref="J865:J866"/>
    <mergeCell ref="B1065:I1065"/>
    <mergeCell ref="B1071:I1071"/>
    <mergeCell ref="B1125:I1125"/>
    <mergeCell ref="B1107:I1107"/>
    <mergeCell ref="B6872:C6872"/>
    <mergeCell ref="B6873:C6873"/>
    <mergeCell ref="D777:G777"/>
    <mergeCell ref="H777:I777"/>
    <mergeCell ref="B778:C778"/>
    <mergeCell ref="D778:G778"/>
    <mergeCell ref="B769:I769"/>
    <mergeCell ref="B770:I770"/>
    <mergeCell ref="E6605:F6606"/>
    <mergeCell ref="B1109:I1109"/>
    <mergeCell ref="B1116:J1116"/>
    <mergeCell ref="B1117:I1117"/>
    <mergeCell ref="D1119:G1119"/>
    <mergeCell ref="H1119:I1119"/>
    <mergeCell ref="B1070:I1070"/>
    <mergeCell ref="B1072:I1072"/>
    <mergeCell ref="B1073:I1073"/>
    <mergeCell ref="B1108:I1108"/>
    <mergeCell ref="B1120:I1120"/>
    <mergeCell ref="H1118:I1118"/>
    <mergeCell ref="B1119:C1119"/>
    <mergeCell ref="B1076:I1076"/>
    <mergeCell ref="B1097:J1097"/>
    <mergeCell ref="B704:I704"/>
    <mergeCell ref="B705:I705"/>
    <mergeCell ref="B706:I706"/>
    <mergeCell ref="B707:I707"/>
    <mergeCell ref="B708:I708"/>
    <mergeCell ref="B711:J711"/>
    <mergeCell ref="B712:I712"/>
    <mergeCell ref="B713:C713"/>
    <mergeCell ref="D713:G713"/>
    <mergeCell ref="H713:I713"/>
    <mergeCell ref="B1061:J1061"/>
    <mergeCell ref="B1062:I1062"/>
    <mergeCell ref="B1063:C1063"/>
    <mergeCell ref="D1063:G1063"/>
    <mergeCell ref="H1063:I1063"/>
    <mergeCell ref="B1064:C1064"/>
    <mergeCell ref="D1064:G1064"/>
    <mergeCell ref="H1064:I1064"/>
    <mergeCell ref="H1046:I1046"/>
    <mergeCell ref="B1038:I1038"/>
    <mergeCell ref="B1014:C1014"/>
    <mergeCell ref="D1014:G1014"/>
    <mergeCell ref="H1014:I1014"/>
    <mergeCell ref="B1015:I1015"/>
    <mergeCell ref="B1020:I1020"/>
    <mergeCell ref="B1023:I1023"/>
    <mergeCell ref="B1024:I1024"/>
    <mergeCell ref="B1025:I1025"/>
    <mergeCell ref="B1021:I1021"/>
    <mergeCell ref="B1022:I1022"/>
    <mergeCell ref="B1003:I1003"/>
    <mergeCell ref="B1006:I1006"/>
    <mergeCell ref="B7291:J7291"/>
    <mergeCell ref="B7325:J7325"/>
    <mergeCell ref="B7359:J7359"/>
    <mergeCell ref="B895:I895"/>
    <mergeCell ref="B896:I896"/>
    <mergeCell ref="B924:I924"/>
    <mergeCell ref="B925:I925"/>
    <mergeCell ref="B953:I953"/>
    <mergeCell ref="B954:I954"/>
    <mergeCell ref="B955:I955"/>
    <mergeCell ref="B761:C761"/>
    <mergeCell ref="D761:G761"/>
    <mergeCell ref="H761:I761"/>
    <mergeCell ref="B762:C762"/>
    <mergeCell ref="D762:G762"/>
    <mergeCell ref="H762:I762"/>
    <mergeCell ref="B763:I763"/>
    <mergeCell ref="B771:I771"/>
    <mergeCell ref="B772:I772"/>
    <mergeCell ref="B775:J775"/>
    <mergeCell ref="B776:I776"/>
    <mergeCell ref="B777:C777"/>
    <mergeCell ref="E4540:F4540"/>
    <mergeCell ref="B6411:B6412"/>
    <mergeCell ref="E6596:F6599"/>
    <mergeCell ref="E6671:F6672"/>
    <mergeCell ref="B1126:I1126"/>
    <mergeCell ref="B1127:I1127"/>
    <mergeCell ref="B1044:J1044"/>
    <mergeCell ref="B1045:I1045"/>
    <mergeCell ref="B1046:C1046"/>
    <mergeCell ref="D1046:G1046"/>
    <mergeCell ref="B1098:I1098"/>
    <mergeCell ref="B1099:C1099"/>
    <mergeCell ref="D1099:G1099"/>
    <mergeCell ref="H1099:I1099"/>
    <mergeCell ref="B1100:C1100"/>
    <mergeCell ref="D1100:G1100"/>
    <mergeCell ref="H1100:I1100"/>
    <mergeCell ref="B1089:I1089"/>
    <mergeCell ref="B1090:I1090"/>
    <mergeCell ref="B1091:I1091"/>
    <mergeCell ref="B1092:I1092"/>
    <mergeCell ref="B1093:I1093"/>
    <mergeCell ref="B1094:I1094"/>
    <mergeCell ref="B1080:I1080"/>
    <mergeCell ref="B1081:C1081"/>
    <mergeCell ref="D1081:G1081"/>
    <mergeCell ref="H1081:I1081"/>
    <mergeCell ref="B1082:C1082"/>
    <mergeCell ref="D1082:G1082"/>
    <mergeCell ref="B1075:I1075"/>
    <mergeCell ref="B1079:J1079"/>
    <mergeCell ref="B1106:I1106"/>
    <mergeCell ref="B1111:I1111"/>
    <mergeCell ref="B1112:I1112"/>
    <mergeCell ref="B1113:I1113"/>
    <mergeCell ref="B1118:C1118"/>
    <mergeCell ref="D1118:G1118"/>
    <mergeCell ref="B1028:J1028"/>
    <mergeCell ref="B1029:I1029"/>
    <mergeCell ref="B1030:C1030"/>
    <mergeCell ref="D1030:G1030"/>
    <mergeCell ref="H1030:I1030"/>
    <mergeCell ref="B1031:C1031"/>
    <mergeCell ref="D1031:G1031"/>
    <mergeCell ref="H1031:I1031"/>
    <mergeCell ref="B1032:I1032"/>
    <mergeCell ref="B1074:I1074"/>
    <mergeCell ref="B1047:C1047"/>
    <mergeCell ref="D1047:G1047"/>
    <mergeCell ref="H1047:I1047"/>
    <mergeCell ref="B1048:I1048"/>
    <mergeCell ref="B1053:I1053"/>
    <mergeCell ref="B1056:I1056"/>
    <mergeCell ref="B1057:I1057"/>
    <mergeCell ref="B1058:I1058"/>
    <mergeCell ref="B1054:I1054"/>
    <mergeCell ref="B1055:I1055"/>
    <mergeCell ref="B1037:I1037"/>
    <mergeCell ref="B1039:I1039"/>
    <mergeCell ref="B1040:I1040"/>
    <mergeCell ref="B1041:I1041"/>
    <mergeCell ref="B1012:I1012"/>
    <mergeCell ref="B1013:C1013"/>
    <mergeCell ref="D1013:G1013"/>
    <mergeCell ref="H1013:I1013"/>
    <mergeCell ref="B1004:I1004"/>
    <mergeCell ref="B1005:I1005"/>
    <mergeCell ref="B998:I998"/>
    <mergeCell ref="H980:I980"/>
    <mergeCell ref="B988:I988"/>
    <mergeCell ref="B982:I982"/>
    <mergeCell ref="B987:I987"/>
    <mergeCell ref="B936:I936"/>
    <mergeCell ref="B941:I941"/>
    <mergeCell ref="B956:I956"/>
    <mergeCell ref="B957:I957"/>
    <mergeCell ref="B958:I958"/>
    <mergeCell ref="B961:J961"/>
    <mergeCell ref="B962:I962"/>
    <mergeCell ref="B981:C981"/>
    <mergeCell ref="D981:G981"/>
    <mergeCell ref="H981:I981"/>
    <mergeCell ref="B964:C964"/>
    <mergeCell ref="D964:G964"/>
    <mergeCell ref="H964:I964"/>
    <mergeCell ref="B965:I965"/>
    <mergeCell ref="B972:I972"/>
    <mergeCell ref="B950:I950"/>
    <mergeCell ref="B951:I951"/>
    <mergeCell ref="B952:I952"/>
    <mergeCell ref="B997:C997"/>
    <mergeCell ref="D997:G997"/>
    <mergeCell ref="H997:I997"/>
    <mergeCell ref="E2716:F2717"/>
    <mergeCell ref="E3373:F3374"/>
    <mergeCell ref="E4148:F4150"/>
    <mergeCell ref="B874:J874"/>
    <mergeCell ref="B875:I875"/>
    <mergeCell ref="B876:C876"/>
    <mergeCell ref="D876:G876"/>
    <mergeCell ref="H876:I876"/>
    <mergeCell ref="B877:C877"/>
    <mergeCell ref="D877:G877"/>
    <mergeCell ref="H877:I877"/>
    <mergeCell ref="B878:I878"/>
    <mergeCell ref="B883:I883"/>
    <mergeCell ref="B886:I886"/>
    <mergeCell ref="B898:I898"/>
    <mergeCell ref="H963:I963"/>
    <mergeCell ref="D963:G963"/>
    <mergeCell ref="B963:C963"/>
    <mergeCell ref="B971:I971"/>
    <mergeCell ref="B989:I989"/>
    <mergeCell ref="B990:I990"/>
    <mergeCell ref="B991:I991"/>
    <mergeCell ref="B979:I979"/>
    <mergeCell ref="B980:C980"/>
    <mergeCell ref="B994:J994"/>
    <mergeCell ref="B995:I995"/>
    <mergeCell ref="B996:C996"/>
    <mergeCell ref="D996:G996"/>
    <mergeCell ref="H996:I996"/>
    <mergeCell ref="B1007:I1007"/>
    <mergeCell ref="B1008:I1008"/>
    <mergeCell ref="B1011:J1011"/>
    <mergeCell ref="D934:G934"/>
    <mergeCell ref="B903:J903"/>
    <mergeCell ref="B904:I904"/>
    <mergeCell ref="B905:C905"/>
    <mergeCell ref="D905:G905"/>
    <mergeCell ref="H905:I905"/>
    <mergeCell ref="B906:C906"/>
    <mergeCell ref="D906:G906"/>
    <mergeCell ref="H906:I906"/>
    <mergeCell ref="B907:I907"/>
    <mergeCell ref="B912:I912"/>
    <mergeCell ref="B927:I927"/>
    <mergeCell ref="H934:I934"/>
    <mergeCell ref="D935:G935"/>
    <mergeCell ref="H935:I935"/>
    <mergeCell ref="B948:I948"/>
    <mergeCell ref="D980:G980"/>
    <mergeCell ref="B949:I949"/>
    <mergeCell ref="B866:I866"/>
    <mergeCell ref="B867:I867"/>
    <mergeCell ref="B868:I868"/>
    <mergeCell ref="B935:C935"/>
    <mergeCell ref="B900:I900"/>
    <mergeCell ref="B842:C842"/>
    <mergeCell ref="D842:G842"/>
    <mergeCell ref="H842:I842"/>
    <mergeCell ref="B843:I843"/>
    <mergeCell ref="B848:I848"/>
    <mergeCell ref="B849:I849"/>
    <mergeCell ref="B884:I884"/>
    <mergeCell ref="B885:I885"/>
    <mergeCell ref="B834:I834"/>
    <mergeCell ref="B835:I835"/>
    <mergeCell ref="B836:I836"/>
    <mergeCell ref="B839:J839"/>
    <mergeCell ref="B840:I840"/>
    <mergeCell ref="B841:C841"/>
    <mergeCell ref="D841:G841"/>
    <mergeCell ref="H841:I841"/>
    <mergeCell ref="B899:I899"/>
    <mergeCell ref="B858:C858"/>
    <mergeCell ref="D858:G858"/>
    <mergeCell ref="H858:I858"/>
    <mergeCell ref="B859:I859"/>
    <mergeCell ref="B864:I864"/>
    <mergeCell ref="B865:I865"/>
    <mergeCell ref="B850:I850"/>
    <mergeCell ref="B851:I851"/>
    <mergeCell ref="B852:I852"/>
    <mergeCell ref="B855:J855"/>
    <mergeCell ref="B856:I856"/>
    <mergeCell ref="B857:C857"/>
    <mergeCell ref="D857:G857"/>
    <mergeCell ref="H857:I857"/>
    <mergeCell ref="B826:C826"/>
    <mergeCell ref="D826:G826"/>
    <mergeCell ref="H826:I826"/>
    <mergeCell ref="B827:I827"/>
    <mergeCell ref="B832:I832"/>
    <mergeCell ref="B833:I833"/>
    <mergeCell ref="B818:I818"/>
    <mergeCell ref="B819:I819"/>
    <mergeCell ref="B820:I820"/>
    <mergeCell ref="B823:J823"/>
    <mergeCell ref="B824:I824"/>
    <mergeCell ref="B825:C825"/>
    <mergeCell ref="D825:G825"/>
    <mergeCell ref="H825:I825"/>
    <mergeCell ref="B810:C810"/>
    <mergeCell ref="D810:G810"/>
    <mergeCell ref="H810:I810"/>
    <mergeCell ref="B811:I811"/>
    <mergeCell ref="B816:I816"/>
    <mergeCell ref="B817:I817"/>
    <mergeCell ref="B802:I802"/>
    <mergeCell ref="B803:I803"/>
    <mergeCell ref="B804:I804"/>
    <mergeCell ref="B807:J807"/>
    <mergeCell ref="B808:I808"/>
    <mergeCell ref="B809:C809"/>
    <mergeCell ref="D809:G809"/>
    <mergeCell ref="H809:I809"/>
    <mergeCell ref="B794:C794"/>
    <mergeCell ref="D794:G794"/>
    <mergeCell ref="H794:I794"/>
    <mergeCell ref="B795:I795"/>
    <mergeCell ref="B800:I800"/>
    <mergeCell ref="B801:I801"/>
    <mergeCell ref="B754:I754"/>
    <mergeCell ref="B755:I755"/>
    <mergeCell ref="B756:I756"/>
    <mergeCell ref="B791:J791"/>
    <mergeCell ref="B792:I792"/>
    <mergeCell ref="B793:C793"/>
    <mergeCell ref="D793:G793"/>
    <mergeCell ref="H793:I793"/>
    <mergeCell ref="B768:I768"/>
    <mergeCell ref="B788:I788"/>
    <mergeCell ref="B746:C746"/>
    <mergeCell ref="D746:G746"/>
    <mergeCell ref="H746:I746"/>
    <mergeCell ref="B747:I747"/>
    <mergeCell ref="B752:I752"/>
    <mergeCell ref="B753:I753"/>
    <mergeCell ref="B738:I738"/>
    <mergeCell ref="B739:I739"/>
    <mergeCell ref="B740:I740"/>
    <mergeCell ref="B743:J743"/>
    <mergeCell ref="B744:I744"/>
    <mergeCell ref="B745:C745"/>
    <mergeCell ref="D745:G745"/>
    <mergeCell ref="H745:I745"/>
    <mergeCell ref="H778:I778"/>
    <mergeCell ref="B779:I779"/>
    <mergeCell ref="B787:I787"/>
    <mergeCell ref="B784:I784"/>
    <mergeCell ref="B785:I785"/>
    <mergeCell ref="B786:I786"/>
    <mergeCell ref="B759:J759"/>
    <mergeCell ref="B760:I760"/>
    <mergeCell ref="B730:C730"/>
    <mergeCell ref="D730:G730"/>
    <mergeCell ref="H730:I730"/>
    <mergeCell ref="B731:I731"/>
    <mergeCell ref="B736:I736"/>
    <mergeCell ref="B737:I737"/>
    <mergeCell ref="B690:I690"/>
    <mergeCell ref="B691:I691"/>
    <mergeCell ref="B692:I692"/>
    <mergeCell ref="B727:J727"/>
    <mergeCell ref="B728:I728"/>
    <mergeCell ref="B729:C729"/>
    <mergeCell ref="D729:G729"/>
    <mergeCell ref="H729:I729"/>
    <mergeCell ref="B715:I715"/>
    <mergeCell ref="B720:I720"/>
    <mergeCell ref="B721:I721"/>
    <mergeCell ref="B722:I722"/>
    <mergeCell ref="B723:I723"/>
    <mergeCell ref="B724:I724"/>
    <mergeCell ref="B714:C714"/>
    <mergeCell ref="D714:G714"/>
    <mergeCell ref="H714:I714"/>
    <mergeCell ref="B695:J695"/>
    <mergeCell ref="B696:I696"/>
    <mergeCell ref="B697:C697"/>
    <mergeCell ref="D697:G697"/>
    <mergeCell ref="H697:I697"/>
    <mergeCell ref="B698:C698"/>
    <mergeCell ref="D698:G698"/>
    <mergeCell ref="H698:I698"/>
    <mergeCell ref="B699:I699"/>
    <mergeCell ref="B682:C682"/>
    <mergeCell ref="D682:G682"/>
    <mergeCell ref="H682:I682"/>
    <mergeCell ref="B683:I683"/>
    <mergeCell ref="B688:I688"/>
    <mergeCell ref="B689:I689"/>
    <mergeCell ref="B674:I674"/>
    <mergeCell ref="B675:I675"/>
    <mergeCell ref="B676:I676"/>
    <mergeCell ref="B679:J679"/>
    <mergeCell ref="B680:I680"/>
    <mergeCell ref="B681:C681"/>
    <mergeCell ref="D681:G681"/>
    <mergeCell ref="H681:I681"/>
    <mergeCell ref="B666:C666"/>
    <mergeCell ref="D666:G666"/>
    <mergeCell ref="H666:I666"/>
    <mergeCell ref="B667:I667"/>
    <mergeCell ref="B672:I672"/>
    <mergeCell ref="B673:I673"/>
    <mergeCell ref="J673:J674"/>
    <mergeCell ref="B658:I658"/>
    <mergeCell ref="B659:I659"/>
    <mergeCell ref="B660:I660"/>
    <mergeCell ref="B663:J663"/>
    <mergeCell ref="B664:I664"/>
    <mergeCell ref="B665:C665"/>
    <mergeCell ref="D665:G665"/>
    <mergeCell ref="H665:I665"/>
    <mergeCell ref="B650:C650"/>
    <mergeCell ref="D650:G650"/>
    <mergeCell ref="H650:I650"/>
    <mergeCell ref="B651:I651"/>
    <mergeCell ref="B656:I656"/>
    <mergeCell ref="B657:I657"/>
    <mergeCell ref="B642:I642"/>
    <mergeCell ref="B643:I643"/>
    <mergeCell ref="B644:I644"/>
    <mergeCell ref="B647:J647"/>
    <mergeCell ref="B648:I648"/>
    <mergeCell ref="B649:C649"/>
    <mergeCell ref="D649:G649"/>
    <mergeCell ref="H649:I649"/>
    <mergeCell ref="J641:J642"/>
    <mergeCell ref="J657:J658"/>
    <mergeCell ref="B634:C634"/>
    <mergeCell ref="D634:G634"/>
    <mergeCell ref="H634:I634"/>
    <mergeCell ref="B635:I635"/>
    <mergeCell ref="B640:I640"/>
    <mergeCell ref="B641:I641"/>
    <mergeCell ref="B626:I626"/>
    <mergeCell ref="B627:I627"/>
    <mergeCell ref="B628:I628"/>
    <mergeCell ref="B631:J631"/>
    <mergeCell ref="B632:I632"/>
    <mergeCell ref="B633:C633"/>
    <mergeCell ref="D633:G633"/>
    <mergeCell ref="H633:I633"/>
    <mergeCell ref="B618:C618"/>
    <mergeCell ref="D618:G618"/>
    <mergeCell ref="H618:I618"/>
    <mergeCell ref="B619:I619"/>
    <mergeCell ref="B624:I624"/>
    <mergeCell ref="B625:I625"/>
    <mergeCell ref="J625:J626"/>
    <mergeCell ref="B607:I607"/>
    <mergeCell ref="B608:I608"/>
    <mergeCell ref="B609:I609"/>
    <mergeCell ref="B615:J615"/>
    <mergeCell ref="B616:I616"/>
    <mergeCell ref="B617:C617"/>
    <mergeCell ref="D617:G617"/>
    <mergeCell ref="H617:I617"/>
    <mergeCell ref="B600:I600"/>
    <mergeCell ref="B601:I601"/>
    <mergeCell ref="B602:I602"/>
    <mergeCell ref="B603:I603"/>
    <mergeCell ref="B604:I604"/>
    <mergeCell ref="B606:I606"/>
    <mergeCell ref="B590:I590"/>
    <mergeCell ref="B595:I595"/>
    <mergeCell ref="B596:I596"/>
    <mergeCell ref="B597:I597"/>
    <mergeCell ref="B598:I598"/>
    <mergeCell ref="B599:I599"/>
    <mergeCell ref="B605:I605"/>
    <mergeCell ref="B586:J586"/>
    <mergeCell ref="B587:I587"/>
    <mergeCell ref="B588:C588"/>
    <mergeCell ref="D588:G588"/>
    <mergeCell ref="H588:I588"/>
    <mergeCell ref="B589:C589"/>
    <mergeCell ref="D589:G589"/>
    <mergeCell ref="H589:I589"/>
    <mergeCell ref="B573:I573"/>
    <mergeCell ref="B578:I578"/>
    <mergeCell ref="B579:I579"/>
    <mergeCell ref="B581:I581"/>
    <mergeCell ref="B582:I582"/>
    <mergeCell ref="B583:I583"/>
    <mergeCell ref="B570:I570"/>
    <mergeCell ref="B571:C571"/>
    <mergeCell ref="D571:G571"/>
    <mergeCell ref="H571:I571"/>
    <mergeCell ref="B572:C572"/>
    <mergeCell ref="D572:G572"/>
    <mergeCell ref="H572:I572"/>
    <mergeCell ref="B580:I580"/>
    <mergeCell ref="B561:I561"/>
    <mergeCell ref="B563:I563"/>
    <mergeCell ref="B564:I564"/>
    <mergeCell ref="B565:I565"/>
    <mergeCell ref="B566:I566"/>
    <mergeCell ref="B569:J569"/>
    <mergeCell ref="B555:I555"/>
    <mergeCell ref="B556:I556"/>
    <mergeCell ref="B557:I557"/>
    <mergeCell ref="B558:I558"/>
    <mergeCell ref="B559:I559"/>
    <mergeCell ref="B560:I560"/>
    <mergeCell ref="B547:C547"/>
    <mergeCell ref="D547:G547"/>
    <mergeCell ref="H547:I547"/>
    <mergeCell ref="B548:I548"/>
    <mergeCell ref="B553:I553"/>
    <mergeCell ref="B554:I554"/>
    <mergeCell ref="B562:I562"/>
    <mergeCell ref="B539:I539"/>
    <mergeCell ref="B540:I540"/>
    <mergeCell ref="B541:I541"/>
    <mergeCell ref="B544:J544"/>
    <mergeCell ref="B545:I545"/>
    <mergeCell ref="B546:C546"/>
    <mergeCell ref="D546:G546"/>
    <mergeCell ref="H546:I546"/>
    <mergeCell ref="B532:I532"/>
    <mergeCell ref="B533:I533"/>
    <mergeCell ref="B534:I534"/>
    <mergeCell ref="B535:I535"/>
    <mergeCell ref="B536:I536"/>
    <mergeCell ref="B538:I538"/>
    <mergeCell ref="B522:I522"/>
    <mergeCell ref="B527:I527"/>
    <mergeCell ref="B528:I528"/>
    <mergeCell ref="B529:I529"/>
    <mergeCell ref="B530:I530"/>
    <mergeCell ref="B531:I531"/>
    <mergeCell ref="B537:I537"/>
    <mergeCell ref="B518:J518"/>
    <mergeCell ref="B519:I519"/>
    <mergeCell ref="B520:C520"/>
    <mergeCell ref="D520:G520"/>
    <mergeCell ref="H520:I520"/>
    <mergeCell ref="B521:C521"/>
    <mergeCell ref="D521:G521"/>
    <mergeCell ref="H521:I521"/>
    <mergeCell ref="B509:I509"/>
    <mergeCell ref="B510:I510"/>
    <mergeCell ref="B512:I512"/>
    <mergeCell ref="B513:I513"/>
    <mergeCell ref="B514:I514"/>
    <mergeCell ref="B515:I515"/>
    <mergeCell ref="B503:I503"/>
    <mergeCell ref="B504:I504"/>
    <mergeCell ref="B505:I505"/>
    <mergeCell ref="B506:I506"/>
    <mergeCell ref="B507:I507"/>
    <mergeCell ref="B508:I508"/>
    <mergeCell ref="B511:I511"/>
    <mergeCell ref="B495:C495"/>
    <mergeCell ref="D495:G495"/>
    <mergeCell ref="H495:I495"/>
    <mergeCell ref="B496:I496"/>
    <mergeCell ref="B501:I501"/>
    <mergeCell ref="B502:I502"/>
    <mergeCell ref="B487:I487"/>
    <mergeCell ref="B488:I488"/>
    <mergeCell ref="B489:I489"/>
    <mergeCell ref="B492:J492"/>
    <mergeCell ref="B493:I493"/>
    <mergeCell ref="B494:C494"/>
    <mergeCell ref="D494:G494"/>
    <mergeCell ref="H494:I494"/>
    <mergeCell ref="B479:C479"/>
    <mergeCell ref="D479:G479"/>
    <mergeCell ref="H479:I479"/>
    <mergeCell ref="B480:I480"/>
    <mergeCell ref="B485:I485"/>
    <mergeCell ref="B486:I486"/>
    <mergeCell ref="B471:I471"/>
    <mergeCell ref="B472:I472"/>
    <mergeCell ref="B473:I473"/>
    <mergeCell ref="B476:J476"/>
    <mergeCell ref="B477:I477"/>
    <mergeCell ref="B478:C478"/>
    <mergeCell ref="D478:G478"/>
    <mergeCell ref="H478:I478"/>
    <mergeCell ref="B463:C463"/>
    <mergeCell ref="D463:G463"/>
    <mergeCell ref="H463:I463"/>
    <mergeCell ref="B464:I464"/>
    <mergeCell ref="B469:I469"/>
    <mergeCell ref="B470:I470"/>
    <mergeCell ref="B457:I457"/>
    <mergeCell ref="B460:J460"/>
    <mergeCell ref="B461:I461"/>
    <mergeCell ref="B462:C462"/>
    <mergeCell ref="D462:G462"/>
    <mergeCell ref="H462:I462"/>
    <mergeCell ref="B447:I447"/>
    <mergeCell ref="B452:I452"/>
    <mergeCell ref="B453:I453"/>
    <mergeCell ref="B454:I454"/>
    <mergeCell ref="B455:I455"/>
    <mergeCell ref="B456:I456"/>
    <mergeCell ref="B445:C445"/>
    <mergeCell ref="D445:G445"/>
    <mergeCell ref="H445:I445"/>
    <mergeCell ref="B446:C446"/>
    <mergeCell ref="D446:G446"/>
    <mergeCell ref="H446:I446"/>
    <mergeCell ref="B437:I437"/>
    <mergeCell ref="B438:I438"/>
    <mergeCell ref="B439:I439"/>
    <mergeCell ref="B440:I440"/>
    <mergeCell ref="B443:J443"/>
    <mergeCell ref="B444:I444"/>
    <mergeCell ref="B429:C429"/>
    <mergeCell ref="D429:G429"/>
    <mergeCell ref="H429:I429"/>
    <mergeCell ref="B430:I430"/>
    <mergeCell ref="B435:I435"/>
    <mergeCell ref="B436:I436"/>
    <mergeCell ref="B422:I422"/>
    <mergeCell ref="B423:I423"/>
    <mergeCell ref="B426:J426"/>
    <mergeCell ref="B427:I427"/>
    <mergeCell ref="B428:C428"/>
    <mergeCell ref="D428:G428"/>
    <mergeCell ref="H428:I428"/>
    <mergeCell ref="B415:I415"/>
    <mergeCell ref="B416:I416"/>
    <mergeCell ref="B417:I417"/>
    <mergeCell ref="B418:I418"/>
    <mergeCell ref="B420:I420"/>
    <mergeCell ref="B421:I421"/>
    <mergeCell ref="B419:I419"/>
    <mergeCell ref="B407:C407"/>
    <mergeCell ref="D407:G407"/>
    <mergeCell ref="H407:I407"/>
    <mergeCell ref="B408:I408"/>
    <mergeCell ref="B413:I413"/>
    <mergeCell ref="B414:I414"/>
    <mergeCell ref="B399:I399"/>
    <mergeCell ref="B400:I400"/>
    <mergeCell ref="B401:I401"/>
    <mergeCell ref="B404:J404"/>
    <mergeCell ref="B405:I405"/>
    <mergeCell ref="B406:C406"/>
    <mergeCell ref="D406:G406"/>
    <mergeCell ref="H406:I406"/>
    <mergeCell ref="B391:C391"/>
    <mergeCell ref="D391:G391"/>
    <mergeCell ref="H391:I391"/>
    <mergeCell ref="B392:I392"/>
    <mergeCell ref="B397:I397"/>
    <mergeCell ref="B398:I398"/>
    <mergeCell ref="B383:I383"/>
    <mergeCell ref="B384:I384"/>
    <mergeCell ref="B385:I385"/>
    <mergeCell ref="B388:J388"/>
    <mergeCell ref="B389:I389"/>
    <mergeCell ref="B390:C390"/>
    <mergeCell ref="D390:G390"/>
    <mergeCell ref="H390:I390"/>
    <mergeCell ref="B375:C375"/>
    <mergeCell ref="D375:G375"/>
    <mergeCell ref="H375:I375"/>
    <mergeCell ref="B376:I376"/>
    <mergeCell ref="B381:I381"/>
    <mergeCell ref="B382:I382"/>
    <mergeCell ref="B369:I369"/>
    <mergeCell ref="B372:J372"/>
    <mergeCell ref="B373:I373"/>
    <mergeCell ref="B374:C374"/>
    <mergeCell ref="D374:G374"/>
    <mergeCell ref="H374:I374"/>
    <mergeCell ref="B359:I359"/>
    <mergeCell ref="B364:I364"/>
    <mergeCell ref="B365:I365"/>
    <mergeCell ref="B366:I366"/>
    <mergeCell ref="B367:I367"/>
    <mergeCell ref="B368:I368"/>
    <mergeCell ref="B357:C357"/>
    <mergeCell ref="D357:G357"/>
    <mergeCell ref="H357:I357"/>
    <mergeCell ref="B358:C358"/>
    <mergeCell ref="D358:G358"/>
    <mergeCell ref="H358:I358"/>
    <mergeCell ref="B349:I349"/>
    <mergeCell ref="B350:I350"/>
    <mergeCell ref="B351:I351"/>
    <mergeCell ref="B352:I352"/>
    <mergeCell ref="B355:J355"/>
    <mergeCell ref="B356:I356"/>
    <mergeCell ref="B341:C341"/>
    <mergeCell ref="D341:G341"/>
    <mergeCell ref="H341:I341"/>
    <mergeCell ref="B342:I342"/>
    <mergeCell ref="B347:I347"/>
    <mergeCell ref="B348:I348"/>
    <mergeCell ref="B334:I334"/>
    <mergeCell ref="B335:I335"/>
    <mergeCell ref="B338:J338"/>
    <mergeCell ref="B339:I339"/>
    <mergeCell ref="B340:C340"/>
    <mergeCell ref="D340:G340"/>
    <mergeCell ref="H340:I340"/>
    <mergeCell ref="B327:I327"/>
    <mergeCell ref="B328:I328"/>
    <mergeCell ref="B329:I329"/>
    <mergeCell ref="B330:I330"/>
    <mergeCell ref="B332:I332"/>
    <mergeCell ref="B333:I333"/>
    <mergeCell ref="B331:I331"/>
    <mergeCell ref="B319:C319"/>
    <mergeCell ref="D319:G319"/>
    <mergeCell ref="H319:I319"/>
    <mergeCell ref="B320:I320"/>
    <mergeCell ref="B325:I325"/>
    <mergeCell ref="B326:I326"/>
    <mergeCell ref="B311:I311"/>
    <mergeCell ref="B312:I312"/>
    <mergeCell ref="B313:I313"/>
    <mergeCell ref="B316:J316"/>
    <mergeCell ref="B317:I317"/>
    <mergeCell ref="B318:C318"/>
    <mergeCell ref="D318:G318"/>
    <mergeCell ref="H318:I318"/>
    <mergeCell ref="B304:I304"/>
    <mergeCell ref="B305:I305"/>
    <mergeCell ref="B306:I306"/>
    <mergeCell ref="B307:I307"/>
    <mergeCell ref="B308:I308"/>
    <mergeCell ref="B310:I310"/>
    <mergeCell ref="B309:I309"/>
    <mergeCell ref="B294:I294"/>
    <mergeCell ref="B299:I299"/>
    <mergeCell ref="B300:I300"/>
    <mergeCell ref="B301:I301"/>
    <mergeCell ref="B302:I302"/>
    <mergeCell ref="B303:I303"/>
    <mergeCell ref="B290:J290"/>
    <mergeCell ref="B291:I291"/>
    <mergeCell ref="B292:C292"/>
    <mergeCell ref="D292:G292"/>
    <mergeCell ref="H292:I292"/>
    <mergeCell ref="B293:C293"/>
    <mergeCell ref="D293:G293"/>
    <mergeCell ref="H293:I293"/>
    <mergeCell ref="B281:I281"/>
    <mergeCell ref="B282:I282"/>
    <mergeCell ref="B284:I284"/>
    <mergeCell ref="B285:I285"/>
    <mergeCell ref="B286:I286"/>
    <mergeCell ref="B287:I287"/>
    <mergeCell ref="B283:I283"/>
    <mergeCell ref="B275:I275"/>
    <mergeCell ref="B276:I276"/>
    <mergeCell ref="B277:I277"/>
    <mergeCell ref="B278:I278"/>
    <mergeCell ref="B279:I279"/>
    <mergeCell ref="B280:I280"/>
    <mergeCell ref="B267:C267"/>
    <mergeCell ref="D267:G267"/>
    <mergeCell ref="H267:I267"/>
    <mergeCell ref="B268:I268"/>
    <mergeCell ref="B273:I273"/>
    <mergeCell ref="B274:I274"/>
    <mergeCell ref="B259:I259"/>
    <mergeCell ref="B260:I260"/>
    <mergeCell ref="B261:I261"/>
    <mergeCell ref="B264:J264"/>
    <mergeCell ref="B265:I265"/>
    <mergeCell ref="B266:C266"/>
    <mergeCell ref="D266:G266"/>
    <mergeCell ref="H266:I266"/>
    <mergeCell ref="B252:I252"/>
    <mergeCell ref="B253:I253"/>
    <mergeCell ref="B254:I254"/>
    <mergeCell ref="B255:I255"/>
    <mergeCell ref="B256:I256"/>
    <mergeCell ref="B258:I258"/>
    <mergeCell ref="B242:I242"/>
    <mergeCell ref="B247:I247"/>
    <mergeCell ref="B248:I248"/>
    <mergeCell ref="B249:I249"/>
    <mergeCell ref="B250:I250"/>
    <mergeCell ref="B251:I251"/>
    <mergeCell ref="B238:J238"/>
    <mergeCell ref="B239:I239"/>
    <mergeCell ref="B240:C240"/>
    <mergeCell ref="D240:G240"/>
    <mergeCell ref="H240:I240"/>
    <mergeCell ref="B241:C241"/>
    <mergeCell ref="D241:G241"/>
    <mergeCell ref="H241:I241"/>
    <mergeCell ref="B257:I257"/>
    <mergeCell ref="B223:I223"/>
    <mergeCell ref="B228:I228"/>
    <mergeCell ref="B229:I229"/>
    <mergeCell ref="B230:I230"/>
    <mergeCell ref="B231:I231"/>
    <mergeCell ref="B232:I232"/>
    <mergeCell ref="B219:J219"/>
    <mergeCell ref="B220:I220"/>
    <mergeCell ref="B221:C221"/>
    <mergeCell ref="D221:G221"/>
    <mergeCell ref="H221:I221"/>
    <mergeCell ref="B222:C222"/>
    <mergeCell ref="D222:G222"/>
    <mergeCell ref="H222:I222"/>
    <mergeCell ref="B207:I207"/>
    <mergeCell ref="B212:I212"/>
    <mergeCell ref="B213:I213"/>
    <mergeCell ref="B214:I214"/>
    <mergeCell ref="B215:I215"/>
    <mergeCell ref="B216:I216"/>
    <mergeCell ref="B203:J203"/>
    <mergeCell ref="B204:I204"/>
    <mergeCell ref="B205:C205"/>
    <mergeCell ref="D205:G205"/>
    <mergeCell ref="H205:I205"/>
    <mergeCell ref="B206:C206"/>
    <mergeCell ref="D206:G206"/>
    <mergeCell ref="H206:I206"/>
    <mergeCell ref="B191:I191"/>
    <mergeCell ref="B196:I196"/>
    <mergeCell ref="B197:I197"/>
    <mergeCell ref="B198:I198"/>
    <mergeCell ref="B199:I199"/>
    <mergeCell ref="B200:I200"/>
    <mergeCell ref="B187:J187"/>
    <mergeCell ref="B188:I188"/>
    <mergeCell ref="B189:C189"/>
    <mergeCell ref="D189:G189"/>
    <mergeCell ref="H189:I189"/>
    <mergeCell ref="B190:C190"/>
    <mergeCell ref="D190:G190"/>
    <mergeCell ref="H190:I190"/>
    <mergeCell ref="B175:I175"/>
    <mergeCell ref="B180:I180"/>
    <mergeCell ref="B181:I181"/>
    <mergeCell ref="B182:I182"/>
    <mergeCell ref="B183:I183"/>
    <mergeCell ref="B184:I184"/>
    <mergeCell ref="B171:J171"/>
    <mergeCell ref="B172:I172"/>
    <mergeCell ref="B173:C173"/>
    <mergeCell ref="D173:G173"/>
    <mergeCell ref="H173:I173"/>
    <mergeCell ref="B174:C174"/>
    <mergeCell ref="D174:G174"/>
    <mergeCell ref="H174:I174"/>
    <mergeCell ref="B159:I159"/>
    <mergeCell ref="B164:I164"/>
    <mergeCell ref="B165:I165"/>
    <mergeCell ref="B166:I166"/>
    <mergeCell ref="B167:I167"/>
    <mergeCell ref="B168:I168"/>
    <mergeCell ref="B155:J155"/>
    <mergeCell ref="B156:I156"/>
    <mergeCell ref="B157:C157"/>
    <mergeCell ref="D157:G157"/>
    <mergeCell ref="H157:I157"/>
    <mergeCell ref="B158:C158"/>
    <mergeCell ref="D158:G158"/>
    <mergeCell ref="H158:I158"/>
    <mergeCell ref="B143:I143"/>
    <mergeCell ref="B148:I148"/>
    <mergeCell ref="B149:I149"/>
    <mergeCell ref="B150:I150"/>
    <mergeCell ref="B151:I151"/>
    <mergeCell ref="B152:I152"/>
    <mergeCell ref="B139:J139"/>
    <mergeCell ref="B140:I140"/>
    <mergeCell ref="B141:C141"/>
    <mergeCell ref="D141:G141"/>
    <mergeCell ref="H141:I141"/>
    <mergeCell ref="B142:C142"/>
    <mergeCell ref="D142:G142"/>
    <mergeCell ref="H142:I142"/>
    <mergeCell ref="B127:I127"/>
    <mergeCell ref="B132:I132"/>
    <mergeCell ref="B133:I133"/>
    <mergeCell ref="B134:I134"/>
    <mergeCell ref="B135:I135"/>
    <mergeCell ref="B136:I136"/>
    <mergeCell ref="B123:J123"/>
    <mergeCell ref="B124:I124"/>
    <mergeCell ref="B125:C125"/>
    <mergeCell ref="D125:G125"/>
    <mergeCell ref="H125:I125"/>
    <mergeCell ref="B126:C126"/>
    <mergeCell ref="D126:G126"/>
    <mergeCell ref="H126:I126"/>
    <mergeCell ref="B111:I111"/>
    <mergeCell ref="B116:I116"/>
    <mergeCell ref="B117:I117"/>
    <mergeCell ref="B118:I118"/>
    <mergeCell ref="B119:I119"/>
    <mergeCell ref="B120:I120"/>
    <mergeCell ref="B109:C109"/>
    <mergeCell ref="D109:G109"/>
    <mergeCell ref="H109:I109"/>
    <mergeCell ref="B110:C110"/>
    <mergeCell ref="D110:G110"/>
    <mergeCell ref="H110:I110"/>
    <mergeCell ref="B95:I95"/>
    <mergeCell ref="B100:I100"/>
    <mergeCell ref="B101:I101"/>
    <mergeCell ref="B102:I102"/>
    <mergeCell ref="B103:I103"/>
    <mergeCell ref="B104:I104"/>
    <mergeCell ref="B91:J91"/>
    <mergeCell ref="B92:I92"/>
    <mergeCell ref="B93:C93"/>
    <mergeCell ref="D93:G93"/>
    <mergeCell ref="H93:I93"/>
    <mergeCell ref="B94:C94"/>
    <mergeCell ref="D94:G94"/>
    <mergeCell ref="H94:I94"/>
    <mergeCell ref="B75:J75"/>
    <mergeCell ref="B76:I76"/>
    <mergeCell ref="B77:C77"/>
    <mergeCell ref="D77:G77"/>
    <mergeCell ref="H77:I77"/>
    <mergeCell ref="B78:C78"/>
    <mergeCell ref="D78:G78"/>
    <mergeCell ref="H78:I78"/>
    <mergeCell ref="B63:I63"/>
    <mergeCell ref="B68:I68"/>
    <mergeCell ref="B69:I69"/>
    <mergeCell ref="B70:I70"/>
    <mergeCell ref="B71:I71"/>
    <mergeCell ref="B72:I72"/>
    <mergeCell ref="B55:I55"/>
    <mergeCell ref="B107:J107"/>
    <mergeCell ref="B108:I108"/>
    <mergeCell ref="F2:G2"/>
    <mergeCell ref="B3:G5"/>
    <mergeCell ref="H3:I3"/>
    <mergeCell ref="H4:I4"/>
    <mergeCell ref="H5:I5"/>
    <mergeCell ref="B6:J6"/>
    <mergeCell ref="B15:I15"/>
    <mergeCell ref="B20:I20"/>
    <mergeCell ref="B21:I21"/>
    <mergeCell ref="B31:I31"/>
    <mergeCell ref="B36:I36"/>
    <mergeCell ref="B37:I37"/>
    <mergeCell ref="B38:I38"/>
    <mergeCell ref="B39:I39"/>
    <mergeCell ref="B40:I40"/>
    <mergeCell ref="B27:J27"/>
    <mergeCell ref="B28:I28"/>
    <mergeCell ref="B29:C29"/>
    <mergeCell ref="D29:G29"/>
    <mergeCell ref="H29:I29"/>
    <mergeCell ref="B30:C30"/>
    <mergeCell ref="D30:G30"/>
    <mergeCell ref="H30:I30"/>
    <mergeCell ref="B22:I22"/>
    <mergeCell ref="B23:I23"/>
    <mergeCell ref="B24:I24"/>
    <mergeCell ref="B11:J11"/>
    <mergeCell ref="B12:I12"/>
    <mergeCell ref="B13:C13"/>
    <mergeCell ref="D13:G13"/>
    <mergeCell ref="H13:I13"/>
    <mergeCell ref="B14:C14"/>
    <mergeCell ref="D14:G14"/>
    <mergeCell ref="H14:I14"/>
    <mergeCell ref="B59:J59"/>
    <mergeCell ref="B60:I60"/>
    <mergeCell ref="B61:C61"/>
    <mergeCell ref="D61:G61"/>
    <mergeCell ref="H61:I61"/>
    <mergeCell ref="B62:C62"/>
    <mergeCell ref="D62:G62"/>
    <mergeCell ref="H62:I62"/>
    <mergeCell ref="B47:I47"/>
    <mergeCell ref="B52:I52"/>
    <mergeCell ref="B53:I53"/>
    <mergeCell ref="B54:I54"/>
    <mergeCell ref="E6891:F6891"/>
    <mergeCell ref="E6944:F6944"/>
    <mergeCell ref="B6954:J6954"/>
    <mergeCell ref="B56:I56"/>
    <mergeCell ref="B43:J43"/>
    <mergeCell ref="B44:I44"/>
    <mergeCell ref="B45:C45"/>
    <mergeCell ref="D45:G45"/>
    <mergeCell ref="H45:I45"/>
    <mergeCell ref="B46:C46"/>
    <mergeCell ref="D46:G46"/>
    <mergeCell ref="H46:I46"/>
    <mergeCell ref="B79:I79"/>
    <mergeCell ref="B84:I84"/>
    <mergeCell ref="B85:I85"/>
    <mergeCell ref="B86:I86"/>
    <mergeCell ref="B87:I87"/>
    <mergeCell ref="B88:I88"/>
    <mergeCell ref="H6975:J6975"/>
    <mergeCell ref="E7029:F7029"/>
    <mergeCell ref="B1110:I1110"/>
    <mergeCell ref="B1101:I1101"/>
    <mergeCell ref="B1128:I1128"/>
    <mergeCell ref="B1129:I1129"/>
    <mergeCell ref="B1130:I1130"/>
    <mergeCell ref="B1131:I1131"/>
    <mergeCell ref="E6771:F6771"/>
    <mergeCell ref="E6602:F6602"/>
    <mergeCell ref="E4158:F4159"/>
    <mergeCell ref="B4158:B4159"/>
    <mergeCell ref="E4452:F4453"/>
    <mergeCell ref="B913:I913"/>
    <mergeCell ref="B914:I914"/>
    <mergeCell ref="B915:I915"/>
    <mergeCell ref="B942:I942"/>
    <mergeCell ref="B943:I943"/>
    <mergeCell ref="B944:I944"/>
    <mergeCell ref="B978:J978"/>
    <mergeCell ref="B975:I975"/>
    <mergeCell ref="B974:I974"/>
    <mergeCell ref="B973:I973"/>
    <mergeCell ref="B970:I970"/>
    <mergeCell ref="B928:I928"/>
    <mergeCell ref="B929:I929"/>
    <mergeCell ref="B932:J932"/>
    <mergeCell ref="B933:I933"/>
    <mergeCell ref="B934:C934"/>
    <mergeCell ref="E6686:F6686"/>
    <mergeCell ref="E6685:F6685"/>
    <mergeCell ref="E6684:F6684"/>
    <mergeCell ref="B7258:J7258"/>
    <mergeCell ref="B7256:J7256"/>
    <mergeCell ref="B926:I926"/>
    <mergeCell ref="B897:I897"/>
    <mergeCell ref="B887:I887"/>
    <mergeCell ref="B888:I888"/>
    <mergeCell ref="B889:I889"/>
    <mergeCell ref="B890:I890"/>
    <mergeCell ref="B891:I891"/>
    <mergeCell ref="B892:I892"/>
    <mergeCell ref="B893:I893"/>
    <mergeCell ref="B894:I894"/>
    <mergeCell ref="B916:I916"/>
    <mergeCell ref="B917:I917"/>
    <mergeCell ref="B918:I918"/>
    <mergeCell ref="B919:I919"/>
    <mergeCell ref="B920:I920"/>
    <mergeCell ref="B921:I921"/>
    <mergeCell ref="B922:I922"/>
    <mergeCell ref="B923:I923"/>
    <mergeCell ref="B945:I945"/>
    <mergeCell ref="B946:I946"/>
    <mergeCell ref="B947:I947"/>
    <mergeCell ref="B7040:J7040"/>
    <mergeCell ref="B7071:J7071"/>
    <mergeCell ref="B7101:J7101"/>
    <mergeCell ref="B7134:J7134"/>
    <mergeCell ref="B7187:J7187"/>
    <mergeCell ref="B7220:J7220"/>
    <mergeCell ref="H1082:I1082"/>
    <mergeCell ref="B1083:I1083"/>
    <mergeCell ref="B1088:I1088"/>
  </mergeCells>
  <printOptions horizontalCentered="1"/>
  <pageMargins left="0.59055118110236227" right="0.39370078740157483" top="0.39370078740157483" bottom="0.39370078740157483" header="0.47244094488188981" footer="0.31496062992125984"/>
  <pageSetup paperSize="9" scale="50" fitToHeight="9" orientation="portrait" r:id="rId1"/>
  <headerFooter alignWithMargins="0">
    <oddHeader xml:space="preserve">&amp;L&amp;G&amp;C&amp;"Arial,Negrito"&amp;12AEROPORTO INTERNACIONAL DE 
FLORIANÓPOLIS HERCÍLIO LUZ&amp;R&amp;G             &amp;12&amp;P / &amp;N   </oddHeader>
  </headerFooter>
  <rowBreaks count="12" manualBreakCount="12">
    <brk id="1133" max="16383" man="1"/>
    <brk id="2212" max="16383" man="1"/>
    <brk id="2287" max="16383" man="1"/>
    <brk id="2348" max="16383" man="1"/>
    <brk id="2526" max="16383" man="1"/>
    <brk id="2723" max="16383" man="1"/>
    <brk id="3266" max="16383" man="1"/>
    <brk id="3381" max="16383" man="1"/>
    <brk id="3591" max="16383" man="1"/>
    <brk id="3674" max="16383" man="1"/>
    <brk id="4163" max="16383" man="1"/>
    <brk id="4549" max="16383" man="1"/>
  </rowBreaks>
  <drawing r:id="rId2"/>
  <legacyDrawing r:id="rId3"/>
  <legacyDrawingHF r:id="rId4"/>
  <oleObjects>
    <oleObject progId="AutoCAD.Drawing.16" shapeId="3235" r:id="rId5"/>
    <oleObject progId="AutoCAD.Drawing.16" shapeId="3073" r:id="rId6"/>
    <oleObject progId="AutoCAD.Drawing.16" shapeId="3074" r:id="rId7"/>
    <oleObject progId="AutoCAD.Drawing.16" shapeId="3075" r:id="rId8"/>
    <oleObject progId="AutoCAD.Drawing.16" shapeId="3076" r:id="rId9"/>
    <oleObject progId="AutoCAD.Drawing.16" shapeId="3077" r:id="rId10"/>
    <oleObject progId="AutoCAD.Drawing.16" shapeId="3078" r:id="rId11"/>
    <oleObject progId="AutoCAD.Drawing.16" shapeId="3079" r:id="rId12"/>
    <oleObject progId="AutoCAD.Drawing.16" shapeId="3080" r:id="rId13"/>
    <oleObject progId="AutoCAD.Drawing.16" shapeId="3081" r:id="rId14"/>
    <oleObject progId="AutoCAD.Drawing.16" shapeId="3082" r:id="rId15"/>
    <oleObject progId="AutoCAD.Drawing.16" shapeId="3083" r:id="rId16"/>
    <oleObject progId="AutoCAD.Drawing.16" shapeId="3084" r:id="rId17"/>
    <oleObject progId="AutoCAD.Drawing.16" shapeId="3085" r:id="rId18"/>
    <oleObject progId="AutoCAD.Drawing.16" shapeId="3086" r:id="rId19"/>
    <oleObject progId="AutoCAD.Drawing.16" shapeId="3087" r:id="rId20"/>
    <oleObject progId="AutoCAD.Drawing.16" shapeId="3088" r:id="rId21"/>
    <oleObject progId="AutoCAD.Drawing.16" shapeId="3089" r:id="rId22"/>
    <oleObject progId="AutoCAD.Drawing.16" shapeId="3090" r:id="rId23"/>
    <oleObject progId="AutoCAD.Drawing.16" shapeId="3091" r:id="rId24"/>
    <oleObject progId="AutoCAD.Drawing.16" shapeId="3092" r:id="rId25"/>
    <oleObject progId="AutoCAD.Drawing.16" shapeId="3093" r:id="rId26"/>
    <oleObject progId="AutoCAD.Drawing.16" shapeId="3094" r:id="rId27"/>
    <oleObject progId="AutoCAD.Drawing.16" shapeId="3095" r:id="rId28"/>
    <oleObject progId="AutoCAD.Drawing.16" shapeId="3096" r:id="rId29"/>
    <oleObject progId="AutoCAD.Drawing.16" shapeId="3097" r:id="rId30"/>
    <oleObject progId="AutoCAD.Drawing.16" shapeId="3098" r:id="rId31"/>
    <oleObject progId="AutoCAD.Drawing.16" shapeId="3099" r:id="rId32"/>
    <oleObject progId="AutoCAD.Drawing.16" shapeId="3100" r:id="rId33"/>
    <oleObject progId="AutoCAD.Drawing.16" shapeId="3101" r:id="rId34"/>
    <oleObject progId="AutoCAD.Drawing.16" shapeId="3102" r:id="rId35"/>
    <oleObject progId="AutoCAD.Drawing.16" shapeId="3103" r:id="rId36"/>
    <oleObject progId="AutoCAD.Drawing.16" shapeId="3104" r:id="rId37"/>
    <oleObject progId="AutoCAD.Drawing.16" shapeId="3105" r:id="rId38"/>
    <oleObject progId="AutoCAD.Drawing.16" shapeId="3106" r:id="rId39"/>
    <oleObject progId="AutoCAD.Drawing.16" shapeId="3107" r:id="rId40"/>
    <oleObject progId="AutoCAD.Drawing.16" shapeId="3108" r:id="rId41"/>
    <oleObject progId="AutoCAD.Drawing.16" shapeId="3109" r:id="rId42"/>
    <oleObject progId="AutoCAD.Drawing.16" shapeId="3110" r:id="rId43"/>
    <oleObject progId="AutoCAD.Drawing.16" shapeId="3111" r:id="rId44"/>
    <oleObject progId="AutoCAD.Drawing.16" shapeId="3112" r:id="rId45"/>
    <oleObject progId="AutoCAD.Drawing.16" shapeId="3113" r:id="rId46"/>
    <oleObject progId="AutoCAD.Drawing.16" shapeId="3114" r:id="rId47"/>
    <oleObject progId="AutoCAD.Drawing.16" shapeId="3115" r:id="rId48"/>
    <oleObject progId="AutoCAD.Drawing.16" shapeId="3116" r:id="rId49"/>
    <oleObject progId="AutoCAD.Drawing.16" shapeId="3117" r:id="rId50"/>
    <oleObject progId="AutoCAD.Drawing.16" shapeId="3118" r:id="rId51"/>
    <oleObject progId="AutoCAD.Drawing.16" shapeId="3119" r:id="rId52"/>
    <oleObject progId="AutoCAD.Drawing.16" shapeId="3120" r:id="rId53"/>
    <oleObject progId="AutoCAD.Drawing.16" shapeId="3121" r:id="rId54"/>
    <oleObject progId="AutoCAD.Drawing.16" shapeId="3122" r:id="rId55"/>
    <oleObject progId="AutoCAD.Drawing.16" shapeId="3123" r:id="rId56"/>
    <oleObject progId="AutoCAD.Drawing.16" shapeId="3124" r:id="rId57"/>
    <oleObject progId="AutoCAD.Drawing.16" shapeId="3125" r:id="rId58"/>
    <oleObject progId="AutoCAD.Drawing.16" shapeId="3126" r:id="rId59"/>
    <oleObject progId="AutoCAD.Drawing.16" shapeId="3127" r:id="rId60"/>
    <oleObject progId="AutoCAD.Drawing.16" shapeId="3128" r:id="rId61"/>
    <oleObject progId="AutoCAD.Drawing.16" shapeId="3129" r:id="rId62"/>
    <oleObject progId="AutoCAD.Drawing.16" shapeId="3130" r:id="rId63"/>
    <oleObject progId="AutoCAD.Drawing.16" shapeId="3131" r:id="rId64"/>
    <oleObject progId="AutoCAD.Drawing.16" shapeId="3132" r:id="rId65"/>
    <oleObject progId="AutoCAD.Drawing.16" shapeId="3133" r:id="rId66"/>
    <oleObject progId="AutoCAD.Drawing.16" shapeId="3134" r:id="rId67"/>
    <oleObject progId="AutoCAD.Drawing.16" shapeId="3135" r:id="rId68"/>
    <oleObject progId="AutoCAD.Drawing.16" shapeId="3136" r:id="rId69"/>
    <oleObject progId="AutoCAD.Drawing.16" shapeId="3137" r:id="rId70"/>
    <oleObject progId="AutoCAD.Drawing.16" shapeId="3138" r:id="rId71"/>
    <oleObject progId="AutoCAD.Drawing.18" shapeId="3139" r:id="rId72"/>
    <oleObject progId="AutoCAD.Drawing.16" shapeId="3140" r:id="rId73"/>
    <oleObject progId="AutoCAD.Drawing.16" shapeId="3141" r:id="rId74"/>
    <oleObject progId="AutoCAD.Drawing.18" shapeId="3142" r:id="rId75"/>
    <oleObject progId="AutoCAD.Drawing.18" shapeId="3143" r:id="rId76"/>
    <oleObject progId="AutoCAD.Drawing.16" shapeId="3144" r:id="rId77"/>
    <oleObject progId="AutoCAD.Drawing.16" shapeId="3145" r:id="rId78"/>
    <oleObject progId="AutoCAD.Drawing.16" shapeId="3146" r:id="rId79"/>
    <oleObject progId="AutoCAD.Drawing.16" shapeId="3147" r:id="rId80"/>
    <oleObject progId="AutoCAD.Drawing.16" shapeId="3148" r:id="rId81"/>
    <oleObject progId="AutoCAD.Drawing.16" shapeId="3149" r:id="rId82"/>
    <oleObject progId="AutoCAD.Drawing.16" shapeId="3150" r:id="rId83"/>
    <oleObject progId="AutoCAD.Drawing.16" shapeId="3151" r:id="rId84"/>
    <oleObject progId="AutoCAD.Drawing.16" shapeId="3152" r:id="rId85"/>
    <oleObject progId="AutoCAD.Drawing.16" shapeId="3153" r:id="rId86"/>
    <oleObject progId="AutoCAD.Drawing.16" shapeId="3154" r:id="rId87"/>
    <oleObject progId="AutoCAD.Drawing.16" shapeId="3155" r:id="rId88"/>
    <oleObject progId="AutoCAD.Drawing.16" shapeId="3156" r:id="rId89"/>
    <oleObject progId="AutoCAD.Drawing.16" shapeId="3157" r:id="rId90"/>
    <oleObject progId="AutoCAD.Drawing.16" shapeId="3158" r:id="rId91"/>
    <oleObject progId="AutoCAD.Drawing.16" shapeId="3159" r:id="rId92"/>
    <oleObject progId="AutoCAD.Drawing.16" shapeId="3160" r:id="rId93"/>
    <oleObject progId="AutoCAD.Drawing.16" shapeId="3161" r:id="rId94"/>
    <oleObject progId="AutoCAD.Drawing.16" shapeId="3162" r:id="rId95"/>
    <oleObject progId="AutoCAD.Drawing.16" shapeId="3163" r:id="rId96"/>
    <oleObject progId="AutoCAD.Drawing.16" shapeId="3164" r:id="rId97"/>
    <oleObject progId="AutoCAD.Drawing.16" shapeId="3165" r:id="rId98"/>
    <oleObject progId="AutoCAD.Drawing.16" shapeId="3166" r:id="rId99"/>
    <oleObject progId="AutoCAD.Drawing.16" shapeId="3167" r:id="rId100"/>
    <oleObject progId="AutoCAD.Drawing.16" shapeId="3168" r:id="rId101"/>
    <oleObject progId="AutoCAD.Drawing.16" shapeId="3169" r:id="rId102"/>
    <oleObject progId="AutoCAD.Drawing.16" shapeId="3170" r:id="rId103"/>
    <oleObject progId="AutoCAD.Drawing.16" shapeId="3171" r:id="rId104"/>
    <oleObject progId="AutoCAD.Drawing.16" shapeId="3172" r:id="rId105"/>
    <oleObject progId="AutoCAD.Drawing.16" shapeId="3173" r:id="rId106"/>
    <oleObject progId="AutoCAD.Drawing.16" shapeId="3174" r:id="rId107"/>
    <oleObject progId="AutoCAD.Drawing.16" shapeId="3175" r:id="rId108"/>
    <oleObject progId="AutoCAD.Drawing.16" shapeId="3176" r:id="rId109"/>
    <oleObject progId="AutoCAD.Drawing.16" shapeId="3177" r:id="rId110"/>
    <oleObject progId="AutoCAD.Drawing.16" shapeId="3178" r:id="rId111"/>
    <oleObject progId="AutoCAD.Drawing.16" shapeId="3179" r:id="rId112"/>
    <oleObject progId="AutoCAD.Drawing.16" shapeId="3180" r:id="rId113"/>
    <oleObject progId="AutoCAD.Drawing.16" shapeId="3181" r:id="rId114"/>
    <oleObject progId="AutoCAD.Drawing.16" shapeId="3182" r:id="rId115"/>
    <oleObject progId="AutoCAD.Drawing.16" shapeId="3183" r:id="rId116"/>
    <oleObject progId="AutoCAD.Drawing.16" shapeId="3185" r:id="rId117"/>
    <oleObject progId="AutoCAD.Drawing.16" shapeId="3186" r:id="rId118"/>
    <oleObject progId="AutoCAD.Drawing.16" shapeId="3187" r:id="rId119"/>
    <oleObject progId="AutoCAD.Drawing.18" shapeId="3188" r:id="rId120"/>
    <oleObject progId="AutoCAD.Drawing.16" shapeId="3189" r:id="rId121"/>
    <oleObject progId="AutoCAD.Drawing.16" shapeId="3190" r:id="rId122"/>
    <oleObject progId="AutoCAD.Drawing.16" shapeId="3191" r:id="rId123"/>
    <oleObject progId="AutoCAD.Drawing.16" shapeId="3192" r:id="rId124"/>
    <oleObject progId="AutoCAD.Drawing.16" shapeId="3193" r:id="rId125"/>
    <oleObject progId="AutoCAD.Drawing.16" shapeId="3194" r:id="rId126"/>
    <oleObject progId="AutoCAD.Drawing.16" shapeId="3195" r:id="rId127"/>
    <oleObject progId="AutoCAD.Drawing.16" shapeId="3196" r:id="rId128"/>
    <oleObject progId="AutoCAD.Drawing.16" shapeId="3197" r:id="rId129"/>
    <oleObject progId="AutoCAD.Drawing.16" shapeId="3198" r:id="rId130"/>
    <oleObject progId="AutoCAD.Drawing.16" shapeId="3199" r:id="rId131"/>
    <oleObject progId="AutoCAD.Drawing.16" shapeId="3200" r:id="rId132"/>
    <oleObject progId="AutoCAD.Drawing.16" shapeId="3201" r:id="rId133"/>
    <oleObject progId="AutoCAD.Drawing.16" shapeId="3202" r:id="rId134"/>
    <oleObject progId="AutoCAD.Drawing.16" shapeId="3203" r:id="rId135"/>
    <oleObject progId="AutoCAD.Drawing.16" shapeId="3204" r:id="rId136"/>
    <oleObject progId="AutoCAD.Drawing.16" shapeId="3205" r:id="rId137"/>
    <oleObject progId="AutoCAD.Drawing.16" shapeId="3206" r:id="rId138"/>
    <oleObject progId="AutoCAD.Drawing.16" shapeId="3207" r:id="rId139"/>
    <oleObject progId="AutoCAD.Drawing.16" shapeId="3208" r:id="rId140"/>
    <oleObject progId="AutoCAD.Drawing.16" shapeId="3209" r:id="rId141"/>
    <oleObject progId="AutoCAD.Drawing.16" shapeId="3210" r:id="rId142"/>
    <oleObject progId="AutoCAD.Drawing.16" shapeId="3211" r:id="rId143"/>
    <oleObject progId="AutoCAD.Drawing.16" shapeId="3212" r:id="rId144"/>
    <oleObject progId="AutoCAD.Drawing.16" shapeId="3213" r:id="rId145"/>
    <oleObject progId="AutoCAD.Drawing.16" shapeId="3214" r:id="rId146"/>
    <oleObject progId="AutoCAD.Drawing.16" shapeId="3215" r:id="rId147"/>
    <oleObject progId="AutoCAD.Drawing.16" shapeId="3216" r:id="rId148"/>
    <oleObject progId="AutoCAD.Drawing.16" shapeId="3217" r:id="rId149"/>
    <oleObject progId="AutoCAD.Drawing.16" shapeId="3218" r:id="rId150"/>
    <oleObject progId="AutoCAD.Drawing.16" shapeId="3219" r:id="rId151"/>
    <oleObject progId="AutoCAD.Drawing.16" shapeId="3220" r:id="rId152"/>
    <oleObject progId="AutoCAD.Drawing.16" shapeId="3221" r:id="rId153"/>
    <oleObject progId="AutoCAD.Drawing.16" shapeId="3222" r:id="rId154"/>
    <oleObject progId="AutoCAD.Drawing.16" shapeId="3223" r:id="rId155"/>
    <oleObject progId="AutoCAD.Drawing.16" shapeId="3224" r:id="rId156"/>
    <oleObject progId="AutoCAD.Drawing.16" shapeId="3225" r:id="rId157"/>
    <oleObject progId="AutoCAD.Drawing.16" shapeId="3226" r:id="rId158"/>
    <oleObject progId="AutoCAD.Drawing.16" shapeId="3227" r:id="rId159"/>
    <oleObject progId="AutoCAD.Drawing.16" shapeId="3228" r:id="rId160"/>
    <oleObject progId="AutoCAD.Drawing.16" shapeId="3229" r:id="rId161"/>
    <oleObject progId="AutoCAD.Drawing.16" shapeId="3230" r:id="rId162"/>
    <oleObject progId="AutoCAD.Drawing.16" shapeId="3231" r:id="rId163"/>
    <oleObject progId="AutoCAD.Drawing.16" shapeId="3232" r:id="rId164"/>
    <oleObject progId="AutoCAD.Drawing.16" shapeId="3233" r:id="rId165"/>
    <oleObject progId="AutoCAD.Drawing.16" shapeId="3234" r:id="rId166"/>
    <oleObject progId="AutoCAD.Drawing.16" shapeId="3236" r:id="rId167"/>
    <oleObject progId="AutoCAD.Drawing.16" shapeId="3237" r:id="rId168"/>
    <oleObject progId="AutoCAD.Drawing.16" shapeId="3238" r:id="rId169"/>
    <oleObject progId="AutoCAD.Drawing.16" shapeId="3241" r:id="rId170"/>
    <oleObject progId="AutoCAD.Drawing.16" shapeId="3242" r:id="rId171"/>
    <oleObject progId="AutoCAD.Drawing.16" shapeId="3245" r:id="rId172"/>
    <oleObject progId="AutoCAD.Drawing.16" shapeId="3246" r:id="rId173"/>
    <oleObject progId="AutoCAD.Drawing.16" shapeId="3247" r:id="rId174"/>
    <oleObject progId="AutoCAD.Drawing.16" shapeId="3248" r:id="rId175"/>
    <oleObject progId="AutoCAD.Drawing.16" shapeId="3249" r:id="rId176"/>
    <oleObject progId="AutoCAD.Drawing.16" shapeId="3250" r:id="rId177"/>
    <oleObject progId="AutoCAD.Drawing.16" shapeId="3251" r:id="rId178"/>
    <oleObject progId="AutoCAD.Drawing.16" shapeId="3252" r:id="rId179"/>
    <oleObject progId="AutoCAD.Drawing.16" shapeId="3253" r:id="rId180"/>
    <oleObject progId="AutoCAD.Drawing.16" shapeId="3254" r:id="rId181"/>
    <oleObject progId="AutoCAD.Drawing.16" shapeId="3255" r:id="rId182"/>
    <oleObject progId="AutoCAD.Drawing.16" shapeId="3256" r:id="rId183"/>
    <oleObject progId="AutoCAD.Drawing.16" shapeId="3257" r:id="rId184"/>
    <oleObject progId="AutoCAD.Drawing.16" shapeId="3258" r:id="rId185"/>
    <oleObject progId="AutoCAD.Drawing.16" shapeId="3259" r:id="rId186"/>
    <oleObject progId="AutoCAD.Drawing.16" shapeId="3260" r:id="rId187"/>
    <oleObject progId="AutoCAD.Drawing.16" shapeId="3261" r:id="rId188"/>
    <oleObject progId="AutoCAD.Drawing.16" shapeId="3262" r:id="rId189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BD3786"/>
  <sheetViews>
    <sheetView view="pageBreakPreview" zoomScale="80" zoomScaleNormal="100" zoomScaleSheetLayoutView="80" workbookViewId="0">
      <selection activeCell="B2" sqref="B2"/>
    </sheetView>
  </sheetViews>
  <sheetFormatPr defaultRowHeight="15.75"/>
  <cols>
    <col min="1" max="1" width="3.5703125" style="118" customWidth="1"/>
    <col min="2" max="2" width="31.140625" style="119" customWidth="1"/>
    <col min="3" max="3" width="20.7109375" style="119" customWidth="1"/>
    <col min="4" max="4" width="24.7109375" style="119" customWidth="1"/>
    <col min="5" max="5" width="20.7109375" style="119" customWidth="1"/>
    <col min="6" max="6" width="16.7109375" style="119" customWidth="1"/>
    <col min="7" max="7" width="20.7109375" style="119" customWidth="1"/>
    <col min="8" max="8" width="13.28515625" style="119" customWidth="1"/>
    <col min="9" max="9" width="16.28515625" style="119" customWidth="1"/>
    <col min="10" max="10" width="28.28515625" style="119" customWidth="1"/>
    <col min="11" max="56" width="9.140625" style="114"/>
    <col min="57" max="16384" width="9.140625" style="117"/>
  </cols>
  <sheetData>
    <row r="1" spans="1:56" s="116" customFormat="1" ht="13.5" customHeight="1">
      <c r="A1" s="114"/>
      <c r="B1" s="115"/>
      <c r="C1" s="115"/>
      <c r="D1" s="115"/>
      <c r="E1" s="115"/>
      <c r="F1" s="115"/>
      <c r="G1" s="115"/>
      <c r="H1" s="115"/>
      <c r="I1" s="115"/>
      <c r="J1" s="115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</row>
    <row r="2" spans="1:56" ht="55.5" customHeight="1" thickBot="1">
      <c r="A2" s="114"/>
      <c r="B2" s="532"/>
      <c r="C2" s="532"/>
      <c r="D2" s="532"/>
      <c r="E2" s="532"/>
      <c r="F2" s="1227"/>
      <c r="G2" s="1228"/>
      <c r="H2" s="532"/>
      <c r="I2" s="532"/>
      <c r="J2" s="532"/>
    </row>
    <row r="3" spans="1:56" ht="18.75" customHeight="1" thickTop="1">
      <c r="A3" s="114"/>
      <c r="B3" s="1158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319"/>
      <c r="D3" s="1319"/>
      <c r="E3" s="1319"/>
      <c r="F3" s="1319"/>
      <c r="G3" s="1320"/>
      <c r="H3" s="1235" t="s">
        <v>0</v>
      </c>
      <c r="I3" s="1236"/>
      <c r="J3" s="533" t="str">
        <f>CAPA!C34</f>
        <v>1210/00-IF-PQ-3001</v>
      </c>
    </row>
    <row r="4" spans="1:56" ht="22.5" customHeight="1">
      <c r="A4" s="114"/>
      <c r="B4" s="1321"/>
      <c r="C4" s="1321"/>
      <c r="D4" s="1321"/>
      <c r="E4" s="1321"/>
      <c r="F4" s="1321"/>
      <c r="G4" s="1322"/>
      <c r="H4" s="1237" t="s">
        <v>1</v>
      </c>
      <c r="I4" s="1238"/>
      <c r="J4" s="534" t="str">
        <f>CAPA!J55</f>
        <v>FL.01/302.88/04539/02</v>
      </c>
    </row>
    <row r="5" spans="1:56" ht="16.5" customHeight="1" thickBot="1">
      <c r="A5" s="114"/>
      <c r="B5" s="1323"/>
      <c r="C5" s="1323"/>
      <c r="D5" s="1323"/>
      <c r="E5" s="1323"/>
      <c r="F5" s="1323"/>
      <c r="G5" s="1324"/>
      <c r="H5" s="1239" t="s">
        <v>2</v>
      </c>
      <c r="I5" s="1240"/>
      <c r="J5" s="535">
        <f>CAPA!K19</f>
        <v>40992</v>
      </c>
    </row>
    <row r="6" spans="1:56" ht="42" customHeight="1" thickTop="1" thickBot="1">
      <c r="A6" s="114"/>
      <c r="B6" s="1154" t="s">
        <v>1993</v>
      </c>
      <c r="C6" s="1154"/>
      <c r="D6" s="1154"/>
      <c r="E6" s="1154"/>
      <c r="F6" s="1154"/>
      <c r="G6" s="1154"/>
      <c r="H6" s="1154"/>
      <c r="I6" s="1154"/>
      <c r="J6" s="1154"/>
    </row>
    <row r="7" spans="1:56" s="86" customFormat="1" ht="42" customHeight="1" thickTop="1" thickBot="1">
      <c r="B7" s="568" t="s">
        <v>1421</v>
      </c>
      <c r="C7" s="187"/>
      <c r="D7" s="188"/>
      <c r="E7" s="188"/>
      <c r="F7" s="187"/>
      <c r="G7" s="189"/>
      <c r="H7" s="189"/>
      <c r="I7" s="189"/>
      <c r="J7" s="569"/>
    </row>
    <row r="8" spans="1:56" s="86" customFormat="1" ht="21" customHeight="1" thickTop="1">
      <c r="B8" s="110"/>
      <c r="C8" s="104"/>
      <c r="D8" s="191"/>
      <c r="E8" s="191"/>
      <c r="F8" s="104"/>
      <c r="J8" s="570"/>
    </row>
    <row r="9" spans="1:56" s="86" customFormat="1" ht="21" customHeight="1">
      <c r="B9" s="571" t="s">
        <v>1798</v>
      </c>
      <c r="C9" s="104"/>
      <c r="D9" s="191"/>
      <c r="E9" s="191"/>
      <c r="F9" s="104"/>
      <c r="J9" s="570"/>
    </row>
    <row r="10" spans="1:56" s="86" customFormat="1" ht="21" customHeight="1" thickBot="1">
      <c r="B10" s="110"/>
      <c r="C10" s="104"/>
      <c r="D10" s="191"/>
      <c r="E10" s="191"/>
      <c r="F10" s="104"/>
      <c r="J10" s="570"/>
    </row>
    <row r="11" spans="1:56" thickTop="1">
      <c r="A11" s="114"/>
      <c r="B11" s="1211" t="s">
        <v>57</v>
      </c>
      <c r="C11" s="1211"/>
      <c r="D11" s="1211"/>
      <c r="E11" s="1211"/>
      <c r="F11" s="1211"/>
      <c r="G11" s="1211"/>
      <c r="H11" s="1211"/>
      <c r="I11" s="1211"/>
      <c r="J11" s="1211"/>
    </row>
    <row r="12" spans="1:56" ht="44.25" customHeight="1">
      <c r="A12" s="114"/>
      <c r="B12" s="1213" t="str">
        <f>'PSQ-SUPER'!C18</f>
        <v>Forma plana para estruturas de concreto, fornecimento e aplicação</v>
      </c>
      <c r="C12" s="1213"/>
      <c r="D12" s="1213"/>
      <c r="E12" s="1213"/>
      <c r="F12" s="1213"/>
      <c r="G12" s="1213"/>
      <c r="H12" s="1213"/>
      <c r="I12" s="1213"/>
      <c r="J12" s="541"/>
    </row>
    <row r="13" spans="1:56" ht="15">
      <c r="A13" s="114"/>
      <c r="B13" s="1214" t="s">
        <v>7</v>
      </c>
      <c r="C13" s="1215"/>
      <c r="D13" s="1220" t="s">
        <v>70</v>
      </c>
      <c r="E13" s="1221"/>
      <c r="F13" s="1221"/>
      <c r="G13" s="1222"/>
      <c r="H13" s="1223" t="s">
        <v>4</v>
      </c>
      <c r="I13" s="1224"/>
      <c r="J13" s="365" t="s">
        <v>71</v>
      </c>
    </row>
    <row r="14" spans="1:56" ht="56.25" customHeight="1" thickBot="1">
      <c r="A14" s="114"/>
      <c r="B14" s="1278" t="str">
        <f>'PSQ-SUPER'!B18</f>
        <v>04.03.110.01</v>
      </c>
      <c r="C14" s="1279"/>
      <c r="D14" s="1218" t="str">
        <f>B12</f>
        <v>Forma plana para estruturas de concreto, fornecimento e aplicação</v>
      </c>
      <c r="E14" s="1219"/>
      <c r="F14" s="1219"/>
      <c r="G14" s="1195"/>
      <c r="H14" s="1184" t="str">
        <f>'PSQ-SUPER'!D18</f>
        <v>m²</v>
      </c>
      <c r="I14" s="1185"/>
      <c r="J14" s="542">
        <f>J23</f>
        <v>4275.1147999999994</v>
      </c>
    </row>
    <row r="15" spans="1:56" ht="15">
      <c r="A15" s="114"/>
      <c r="B15" s="1186" t="s">
        <v>72</v>
      </c>
      <c r="C15" s="1186"/>
      <c r="D15" s="1186"/>
      <c r="E15" s="1186"/>
      <c r="F15" s="1186"/>
      <c r="G15" s="1186"/>
      <c r="H15" s="1186"/>
      <c r="I15" s="1186"/>
      <c r="J15" s="572"/>
    </row>
    <row r="16" spans="1:56" ht="15" customHeight="1">
      <c r="A16" s="114"/>
      <c r="B16" s="162" t="str">
        <f>'Pág 2'!$C$23</f>
        <v xml:space="preserve">A especificação propriamente dita, a forma de execução, se for o caso e o critério de medição são descritas no(s) seguinte(s) documento(s): </v>
      </c>
      <c r="C16" s="168"/>
      <c r="D16" s="168"/>
      <c r="E16" s="168"/>
      <c r="F16" s="168"/>
      <c r="G16" s="168"/>
      <c r="H16" s="162" t="str">
        <f>'Pág 2'!$C$24</f>
        <v>FL.01/302.92/04538 - Especificação Técnica</v>
      </c>
      <c r="I16" s="168"/>
      <c r="J16" s="168"/>
    </row>
    <row r="17" spans="1:10" ht="15" customHeight="1">
      <c r="A17" s="114"/>
      <c r="B17" s="163" t="str">
        <f>'Pág 2'!$C$15</f>
        <v xml:space="preserve">Foram utilizadas as premissas descritas no(s) seguinte(s)  documento(s):  </v>
      </c>
      <c r="C17" s="164"/>
      <c r="D17" s="164"/>
      <c r="E17" s="163" t="str">
        <f>'Pág 2'!$C$17</f>
        <v xml:space="preserve">FL.01/302.76/04537 - Memorial de Cálculo e Dimensionamento </v>
      </c>
      <c r="F17" s="114"/>
      <c r="G17" s="164"/>
      <c r="H17" s="164"/>
      <c r="I17" s="164"/>
      <c r="J17" s="164"/>
    </row>
    <row r="18" spans="1:10" ht="15" customHeight="1">
      <c r="A18" s="114"/>
      <c r="B18" s="163" t="s">
        <v>73</v>
      </c>
      <c r="C18" s="153"/>
      <c r="D18" s="153"/>
      <c r="E18" s="163"/>
      <c r="F18" s="114"/>
      <c r="G18" s="164"/>
      <c r="H18" s="164"/>
      <c r="I18" s="164"/>
      <c r="J18" s="544"/>
    </row>
    <row r="19" spans="1:10" thickBot="1">
      <c r="A19" s="114"/>
      <c r="B19" s="165"/>
      <c r="C19" s="165"/>
      <c r="D19" s="165"/>
      <c r="E19" s="153"/>
      <c r="F19" s="153"/>
      <c r="G19" s="153"/>
      <c r="H19" s="153"/>
      <c r="I19" s="153"/>
      <c r="J19" s="278"/>
    </row>
    <row r="20" spans="1:10" ht="15">
      <c r="A20" s="114"/>
      <c r="B20" s="1187" t="s">
        <v>74</v>
      </c>
      <c r="C20" s="1187"/>
      <c r="D20" s="1187"/>
      <c r="E20" s="1187"/>
      <c r="F20" s="1187"/>
      <c r="G20" s="1187"/>
      <c r="H20" s="1188"/>
      <c r="I20" s="1189"/>
      <c r="J20" s="546" t="s">
        <v>75</v>
      </c>
    </row>
    <row r="21" spans="1:10" ht="15">
      <c r="A21" s="114"/>
      <c r="B21" s="1181" t="str">
        <f>TIT.101</f>
        <v xml:space="preserve">FL.17/304.13/04693- EDIFICAÇÕES DE APOIO </v>
      </c>
      <c r="C21" s="1181"/>
      <c r="D21" s="1181"/>
      <c r="E21" s="1181"/>
      <c r="F21" s="1181"/>
      <c r="G21" s="1181"/>
      <c r="H21" s="1182"/>
      <c r="I21" s="1183"/>
      <c r="J21" s="547">
        <f>F.101</f>
        <v>4275.1147999999994</v>
      </c>
    </row>
    <row r="22" spans="1:10" ht="15" customHeight="1">
      <c r="A22" s="114"/>
      <c r="B22" s="1181"/>
      <c r="C22" s="1181"/>
      <c r="D22" s="1181"/>
      <c r="E22" s="1181"/>
      <c r="F22" s="1181"/>
      <c r="G22" s="1181"/>
      <c r="H22" s="1182"/>
      <c r="I22" s="1183"/>
      <c r="J22" s="548"/>
    </row>
    <row r="23" spans="1:10" ht="15" customHeight="1" thickBot="1">
      <c r="A23" s="114"/>
      <c r="B23" s="1193" t="s">
        <v>76</v>
      </c>
      <c r="C23" s="1193"/>
      <c r="D23" s="1193"/>
      <c r="E23" s="1193"/>
      <c r="F23" s="1193"/>
      <c r="G23" s="1193"/>
      <c r="H23" s="1194"/>
      <c r="I23" s="1195"/>
      <c r="J23" s="549">
        <f>SUM(J21:J21)</f>
        <v>4275.1147999999994</v>
      </c>
    </row>
    <row r="24" spans="1:10" thickBot="1">
      <c r="A24" s="114"/>
      <c r="B24" s="1196" t="s">
        <v>77</v>
      </c>
      <c r="C24" s="1196"/>
      <c r="D24" s="1196"/>
      <c r="E24" s="1196"/>
      <c r="F24" s="1196"/>
      <c r="G24" s="1196"/>
      <c r="H24" s="1196"/>
      <c r="I24" s="1196"/>
      <c r="J24" s="573"/>
    </row>
    <row r="25" spans="1:10" ht="15">
      <c r="A25" s="114"/>
      <c r="B25" s="551" t="s">
        <v>78</v>
      </c>
      <c r="C25" s="154"/>
      <c r="D25" s="154"/>
      <c r="E25" s="154"/>
      <c r="F25" s="154"/>
      <c r="G25" s="154"/>
      <c r="H25" s="154"/>
      <c r="I25" s="154"/>
      <c r="J25" s="278"/>
    </row>
    <row r="26" spans="1:10" thickBot="1">
      <c r="A26" s="114"/>
      <c r="B26" s="155"/>
      <c r="C26" s="155"/>
      <c r="D26" s="155"/>
      <c r="E26" s="155"/>
      <c r="F26" s="155"/>
      <c r="G26" s="155"/>
      <c r="H26" s="155"/>
      <c r="I26" s="155"/>
      <c r="J26" s="574"/>
    </row>
    <row r="27" spans="1:10" thickTop="1">
      <c r="A27" s="114"/>
      <c r="B27" s="1211" t="s">
        <v>57</v>
      </c>
      <c r="C27" s="1211"/>
      <c r="D27" s="1211"/>
      <c r="E27" s="1211"/>
      <c r="F27" s="1211"/>
      <c r="G27" s="1211"/>
      <c r="H27" s="1211"/>
      <c r="I27" s="1211"/>
      <c r="J27" s="1211"/>
    </row>
    <row r="28" spans="1:10" ht="44.25" customHeight="1">
      <c r="A28" s="114"/>
      <c r="B28" s="1213" t="str">
        <f>'PSQ-SUPER'!C24</f>
        <v>Fornecimento, Dobra e Montagem de Aço CA-50</v>
      </c>
      <c r="C28" s="1213"/>
      <c r="D28" s="1213"/>
      <c r="E28" s="1213"/>
      <c r="F28" s="1213"/>
      <c r="G28" s="1213"/>
      <c r="H28" s="1213"/>
      <c r="I28" s="1213"/>
      <c r="J28" s="541"/>
    </row>
    <row r="29" spans="1:10" ht="15">
      <c r="A29" s="114"/>
      <c r="B29" s="1214" t="s">
        <v>7</v>
      </c>
      <c r="C29" s="1215"/>
      <c r="D29" s="1220" t="s">
        <v>70</v>
      </c>
      <c r="E29" s="1221"/>
      <c r="F29" s="1221"/>
      <c r="G29" s="1222"/>
      <c r="H29" s="1223" t="s">
        <v>4</v>
      </c>
      <c r="I29" s="1224"/>
      <c r="J29" s="365" t="s">
        <v>71</v>
      </c>
    </row>
    <row r="30" spans="1:10" ht="56.25" customHeight="1" thickBot="1">
      <c r="A30" s="114"/>
      <c r="B30" s="1278" t="str">
        <f>'PSQ-SUPER'!B24</f>
        <v>04.03.120.01</v>
      </c>
      <c r="C30" s="1279"/>
      <c r="D30" s="1218" t="str">
        <f>B28</f>
        <v>Fornecimento, Dobra e Montagem de Aço CA-50</v>
      </c>
      <c r="E30" s="1219"/>
      <c r="F30" s="1219"/>
      <c r="G30" s="1195"/>
      <c r="H30" s="1184" t="str">
        <f>'PSQ-SUPER'!D24</f>
        <v>kg</v>
      </c>
      <c r="I30" s="1185"/>
      <c r="J30" s="542">
        <f>J39</f>
        <v>55070</v>
      </c>
    </row>
    <row r="31" spans="1:10" ht="15">
      <c r="A31" s="114"/>
      <c r="B31" s="1186" t="s">
        <v>72</v>
      </c>
      <c r="C31" s="1186"/>
      <c r="D31" s="1186"/>
      <c r="E31" s="1186"/>
      <c r="F31" s="1186"/>
      <c r="G31" s="1186"/>
      <c r="H31" s="1186"/>
      <c r="I31" s="1186"/>
      <c r="J31" s="572"/>
    </row>
    <row r="32" spans="1:10" ht="15" customHeight="1">
      <c r="A32" s="114"/>
      <c r="B32" s="162" t="str">
        <f>'Pág 2'!$C$23</f>
        <v xml:space="preserve">A especificação propriamente dita, a forma de execução, se for o caso e o critério de medição são descritas no(s) seguinte(s) documento(s): </v>
      </c>
      <c r="C32" s="168"/>
      <c r="D32" s="168"/>
      <c r="E32" s="168"/>
      <c r="F32" s="168"/>
      <c r="G32" s="168"/>
      <c r="H32" s="162" t="str">
        <f>'Pág 2'!$C$24</f>
        <v>FL.01/302.92/04538 - Especificação Técnica</v>
      </c>
      <c r="I32" s="168"/>
      <c r="J32" s="168"/>
    </row>
    <row r="33" spans="1:10" ht="15" customHeight="1">
      <c r="A33" s="114"/>
      <c r="B33" s="163" t="str">
        <f>'Pág 2'!$C$15</f>
        <v xml:space="preserve">Foram utilizadas as premissas descritas no(s) seguinte(s)  documento(s):  </v>
      </c>
      <c r="C33" s="164"/>
      <c r="D33" s="164"/>
      <c r="E33" s="163" t="str">
        <f>'Pág 2'!$C$17</f>
        <v xml:space="preserve">FL.01/302.76/04537 - Memorial de Cálculo e Dimensionamento </v>
      </c>
      <c r="F33" s="114"/>
      <c r="G33" s="164"/>
      <c r="H33" s="164"/>
      <c r="I33" s="164"/>
      <c r="J33" s="164"/>
    </row>
    <row r="34" spans="1:10" ht="15" customHeight="1">
      <c r="A34" s="114"/>
      <c r="B34" s="163" t="s">
        <v>1803</v>
      </c>
      <c r="C34" s="153"/>
      <c r="D34" s="153"/>
      <c r="E34" s="163"/>
      <c r="F34" s="114"/>
      <c r="G34" s="164"/>
      <c r="H34" s="164"/>
      <c r="I34" s="164"/>
      <c r="J34" s="544"/>
    </row>
    <row r="35" spans="1:10" thickBot="1">
      <c r="A35" s="114"/>
      <c r="B35" s="721"/>
      <c r="C35" s="165"/>
      <c r="D35" s="165"/>
      <c r="E35" s="153"/>
      <c r="F35" s="153"/>
      <c r="G35" s="153"/>
      <c r="H35" s="153"/>
      <c r="I35" s="153"/>
      <c r="J35" s="278"/>
    </row>
    <row r="36" spans="1:10" ht="15">
      <c r="A36" s="114"/>
      <c r="B36" s="1187" t="s">
        <v>74</v>
      </c>
      <c r="C36" s="1187"/>
      <c r="D36" s="1187"/>
      <c r="E36" s="1187"/>
      <c r="F36" s="1187"/>
      <c r="G36" s="1187"/>
      <c r="H36" s="1188"/>
      <c r="I36" s="1189"/>
      <c r="J36" s="546" t="s">
        <v>75</v>
      </c>
    </row>
    <row r="37" spans="1:10" ht="15" customHeight="1">
      <c r="A37" s="114"/>
      <c r="B37" s="1181" t="str">
        <f>TIT.101</f>
        <v xml:space="preserve">FL.17/304.13/04693- EDIFICAÇÕES DE APOIO </v>
      </c>
      <c r="C37" s="1181"/>
      <c r="D37" s="1181"/>
      <c r="E37" s="1181"/>
      <c r="F37" s="1181"/>
      <c r="G37" s="1181"/>
      <c r="H37" s="1182"/>
      <c r="I37" s="1183"/>
      <c r="J37" s="553">
        <f>A50.101</f>
        <v>55070</v>
      </c>
    </row>
    <row r="38" spans="1:10" ht="15" customHeight="1">
      <c r="A38" s="114"/>
      <c r="B38" s="1181"/>
      <c r="C38" s="1181"/>
      <c r="D38" s="1181"/>
      <c r="E38" s="1181"/>
      <c r="F38" s="1181"/>
      <c r="G38" s="1181"/>
      <c r="H38" s="1181"/>
      <c r="I38" s="1209"/>
      <c r="J38" s="548"/>
    </row>
    <row r="39" spans="1:10" ht="15" customHeight="1" thickBot="1">
      <c r="A39" s="114"/>
      <c r="B39" s="1193" t="s">
        <v>76</v>
      </c>
      <c r="C39" s="1193"/>
      <c r="D39" s="1193"/>
      <c r="E39" s="1193"/>
      <c r="F39" s="1193"/>
      <c r="G39" s="1193"/>
      <c r="H39" s="1193"/>
      <c r="I39" s="1208"/>
      <c r="J39" s="549">
        <f>SUM(J37:J37)</f>
        <v>55070</v>
      </c>
    </row>
    <row r="40" spans="1:10" ht="15" customHeight="1" thickBot="1">
      <c r="A40" s="114"/>
      <c r="B40" s="1196" t="s">
        <v>77</v>
      </c>
      <c r="C40" s="1196"/>
      <c r="D40" s="1196"/>
      <c r="E40" s="1196"/>
      <c r="F40" s="1196"/>
      <c r="G40" s="1196"/>
      <c r="H40" s="1196"/>
      <c r="I40" s="1196"/>
      <c r="J40" s="573"/>
    </row>
    <row r="41" spans="1:10" ht="15" customHeight="1">
      <c r="A41" s="114"/>
      <c r="B41" s="551" t="s">
        <v>78</v>
      </c>
      <c r="C41" s="154"/>
      <c r="D41" s="154"/>
      <c r="E41" s="154"/>
      <c r="F41" s="154"/>
      <c r="G41" s="154"/>
      <c r="H41" s="154"/>
      <c r="I41" s="154"/>
      <c r="J41" s="278"/>
    </row>
    <row r="42" spans="1:10" ht="15" customHeight="1" thickBot="1">
      <c r="A42" s="114"/>
      <c r="B42" s="155"/>
      <c r="C42" s="155"/>
      <c r="D42" s="155"/>
      <c r="E42" s="155"/>
      <c r="F42" s="155"/>
      <c r="G42" s="155"/>
      <c r="H42" s="155"/>
      <c r="I42" s="155"/>
      <c r="J42" s="574"/>
    </row>
    <row r="43" spans="1:10" thickTop="1">
      <c r="A43" s="114"/>
      <c r="B43" s="1290" t="s">
        <v>57</v>
      </c>
      <c r="C43" s="1290"/>
      <c r="D43" s="1290"/>
      <c r="E43" s="1290"/>
      <c r="F43" s="1290"/>
      <c r="G43" s="1290"/>
      <c r="H43" s="1290"/>
      <c r="I43" s="1290"/>
      <c r="J43" s="1290"/>
    </row>
    <row r="44" spans="1:10" ht="44.25" customHeight="1">
      <c r="A44" s="114"/>
      <c r="B44" s="1213" t="str">
        <f>'PSQ-SUPER'!C26</f>
        <v>Fornecimento, Dobra e Montagem de Aço CA-60</v>
      </c>
      <c r="C44" s="1213"/>
      <c r="D44" s="1213"/>
      <c r="E44" s="1213"/>
      <c r="F44" s="1213"/>
      <c r="G44" s="1213"/>
      <c r="H44" s="1213"/>
      <c r="I44" s="1213"/>
      <c r="J44" s="541"/>
    </row>
    <row r="45" spans="1:10" ht="15">
      <c r="A45" s="114"/>
      <c r="B45" s="1214" t="s">
        <v>7</v>
      </c>
      <c r="C45" s="1215"/>
      <c r="D45" s="1220" t="s">
        <v>70</v>
      </c>
      <c r="E45" s="1221"/>
      <c r="F45" s="1221"/>
      <c r="G45" s="1222"/>
      <c r="H45" s="1223" t="s">
        <v>4</v>
      </c>
      <c r="I45" s="1224"/>
      <c r="J45" s="365" t="s">
        <v>71</v>
      </c>
    </row>
    <row r="46" spans="1:10" ht="56.25" customHeight="1" thickBot="1">
      <c r="A46" s="114"/>
      <c r="B46" s="1278" t="str">
        <f>'PSQ-SUPER'!B26</f>
        <v>04.03.120.02</v>
      </c>
      <c r="C46" s="1279"/>
      <c r="D46" s="1218" t="str">
        <f>B44</f>
        <v>Fornecimento, Dobra e Montagem de Aço CA-60</v>
      </c>
      <c r="E46" s="1219"/>
      <c r="F46" s="1219"/>
      <c r="G46" s="1195"/>
      <c r="H46" s="1184" t="str">
        <f>'PSQ-SUPER'!D26</f>
        <v>kg</v>
      </c>
      <c r="I46" s="1185"/>
      <c r="J46" s="542">
        <f>J55</f>
        <v>3203</v>
      </c>
    </row>
    <row r="47" spans="1:10" ht="15">
      <c r="A47" s="114"/>
      <c r="B47" s="1186" t="s">
        <v>72</v>
      </c>
      <c r="C47" s="1186"/>
      <c r="D47" s="1186"/>
      <c r="E47" s="1186"/>
      <c r="F47" s="1186"/>
      <c r="G47" s="1186"/>
      <c r="H47" s="1186"/>
      <c r="I47" s="1186"/>
      <c r="J47" s="572"/>
    </row>
    <row r="48" spans="1:10" ht="15" customHeight="1">
      <c r="A48" s="114"/>
      <c r="B48" s="162" t="str">
        <f>'Pág 2'!$C$23</f>
        <v xml:space="preserve">A especificação propriamente dita, a forma de execução, se for o caso e o critério de medição são descritas no(s) seguinte(s) documento(s): </v>
      </c>
      <c r="C48" s="168"/>
      <c r="D48" s="168"/>
      <c r="E48" s="168"/>
      <c r="F48" s="168"/>
      <c r="G48" s="168"/>
      <c r="H48" s="162" t="str">
        <f>'Pág 2'!$C$24</f>
        <v>FL.01/302.92/04538 - Especificação Técnica</v>
      </c>
      <c r="I48" s="168"/>
      <c r="J48" s="168"/>
    </row>
    <row r="49" spans="1:10" ht="15" customHeight="1">
      <c r="A49" s="114"/>
      <c r="B49" s="163" t="str">
        <f>'Pág 2'!$C$15</f>
        <v xml:space="preserve">Foram utilizadas as premissas descritas no(s) seguinte(s)  documento(s):  </v>
      </c>
      <c r="C49" s="164"/>
      <c r="D49" s="164"/>
      <c r="E49" s="163" t="str">
        <f>'Pág 2'!$C$17</f>
        <v xml:space="preserve">FL.01/302.76/04537 - Memorial de Cálculo e Dimensionamento </v>
      </c>
      <c r="F49" s="114"/>
      <c r="G49" s="164"/>
      <c r="H49" s="164"/>
      <c r="I49" s="164"/>
      <c r="J49" s="164"/>
    </row>
    <row r="50" spans="1:10" ht="15" customHeight="1">
      <c r="A50" s="114"/>
      <c r="B50" s="163" t="s">
        <v>1803</v>
      </c>
      <c r="C50" s="153"/>
      <c r="D50" s="153"/>
      <c r="E50" s="163"/>
      <c r="F50" s="114"/>
      <c r="G50" s="164"/>
      <c r="H50" s="164"/>
      <c r="I50" s="164"/>
      <c r="J50" s="544"/>
    </row>
    <row r="51" spans="1:10" thickBot="1">
      <c r="A51" s="114"/>
      <c r="B51" s="165"/>
      <c r="C51" s="165"/>
      <c r="D51" s="165"/>
      <c r="E51" s="153"/>
      <c r="F51" s="153"/>
      <c r="G51" s="153"/>
      <c r="H51" s="153"/>
      <c r="I51" s="153"/>
      <c r="J51" s="278"/>
    </row>
    <row r="52" spans="1:10" ht="15">
      <c r="A52" s="114"/>
      <c r="B52" s="1187" t="s">
        <v>74</v>
      </c>
      <c r="C52" s="1187"/>
      <c r="D52" s="1187"/>
      <c r="E52" s="1187"/>
      <c r="F52" s="1187"/>
      <c r="G52" s="1187"/>
      <c r="H52" s="1188"/>
      <c r="I52" s="1189"/>
      <c r="J52" s="546" t="s">
        <v>75</v>
      </c>
    </row>
    <row r="53" spans="1:10" ht="15" customHeight="1">
      <c r="A53" s="114"/>
      <c r="B53" s="1181" t="str">
        <f>TIT.101</f>
        <v xml:space="preserve">FL.17/304.13/04693- EDIFICAÇÕES DE APOIO </v>
      </c>
      <c r="C53" s="1181"/>
      <c r="D53" s="1181"/>
      <c r="E53" s="1181"/>
      <c r="F53" s="1181"/>
      <c r="G53" s="1181"/>
      <c r="H53" s="1182"/>
      <c r="I53" s="1183"/>
      <c r="J53" s="553">
        <f>A60.101</f>
        <v>3203</v>
      </c>
    </row>
    <row r="54" spans="1:10" ht="15" customHeight="1">
      <c r="A54" s="114"/>
      <c r="B54" s="1181"/>
      <c r="C54" s="1181"/>
      <c r="D54" s="1181"/>
      <c r="E54" s="1181"/>
      <c r="F54" s="1181"/>
      <c r="G54" s="1181"/>
      <c r="H54" s="1181"/>
      <c r="I54" s="1209"/>
      <c r="J54" s="548"/>
    </row>
    <row r="55" spans="1:10" ht="15" customHeight="1" thickBot="1">
      <c r="A55" s="114"/>
      <c r="B55" s="1193" t="s">
        <v>76</v>
      </c>
      <c r="C55" s="1193"/>
      <c r="D55" s="1193"/>
      <c r="E55" s="1193"/>
      <c r="F55" s="1193"/>
      <c r="G55" s="1193"/>
      <c r="H55" s="1193"/>
      <c r="I55" s="1208"/>
      <c r="J55" s="549">
        <f>SUM(J53:J53)</f>
        <v>3203</v>
      </c>
    </row>
    <row r="56" spans="1:10" ht="15" customHeight="1" thickBot="1">
      <c r="A56" s="114"/>
      <c r="B56" s="1196" t="s">
        <v>77</v>
      </c>
      <c r="C56" s="1196"/>
      <c r="D56" s="1196"/>
      <c r="E56" s="1196"/>
      <c r="F56" s="1196"/>
      <c r="G56" s="1196"/>
      <c r="H56" s="1196"/>
      <c r="I56" s="1196"/>
      <c r="J56" s="573"/>
    </row>
    <row r="57" spans="1:10" ht="15" customHeight="1">
      <c r="A57" s="114"/>
      <c r="B57" s="551" t="s">
        <v>78</v>
      </c>
      <c r="C57" s="154"/>
      <c r="D57" s="154"/>
      <c r="E57" s="154"/>
      <c r="F57" s="154"/>
      <c r="G57" s="154"/>
      <c r="H57" s="154"/>
      <c r="I57" s="154"/>
      <c r="J57" s="278"/>
    </row>
    <row r="58" spans="1:10" ht="15" customHeight="1" thickBot="1">
      <c r="A58" s="114"/>
      <c r="B58" s="155"/>
      <c r="C58" s="155"/>
      <c r="D58" s="155"/>
      <c r="E58" s="155"/>
      <c r="F58" s="155"/>
      <c r="G58" s="155"/>
      <c r="H58" s="155"/>
      <c r="I58" s="155"/>
      <c r="J58" s="574"/>
    </row>
    <row r="59" spans="1:10" ht="15" customHeight="1" thickTop="1">
      <c r="A59" s="114"/>
      <c r="B59" s="1211" t="s">
        <v>57</v>
      </c>
      <c r="C59" s="1211"/>
      <c r="D59" s="1211"/>
      <c r="E59" s="1211"/>
      <c r="F59" s="1211"/>
      <c r="G59" s="1211"/>
      <c r="H59" s="1211"/>
      <c r="I59" s="1211"/>
      <c r="J59" s="1211"/>
    </row>
    <row r="60" spans="1:10" ht="44.25" customHeight="1">
      <c r="A60" s="114"/>
      <c r="B60" s="1213" t="str">
        <f>'PSQ-SUPER'!C30</f>
        <v>Fornecimento e Aplicação de Concreto (fck=30MPa)</v>
      </c>
      <c r="C60" s="1213"/>
      <c r="D60" s="1213"/>
      <c r="E60" s="1213"/>
      <c r="F60" s="1213"/>
      <c r="G60" s="1213"/>
      <c r="H60" s="1213"/>
      <c r="I60" s="1213"/>
      <c r="J60" s="541"/>
    </row>
    <row r="61" spans="1:10" ht="15" customHeight="1">
      <c r="A61" s="114"/>
      <c r="B61" s="1267" t="s">
        <v>7</v>
      </c>
      <c r="C61" s="1266"/>
      <c r="D61" s="1262" t="s">
        <v>70</v>
      </c>
      <c r="E61" s="1263"/>
      <c r="F61" s="1263"/>
      <c r="G61" s="1264"/>
      <c r="H61" s="1265" t="s">
        <v>4</v>
      </c>
      <c r="I61" s="1266"/>
      <c r="J61" s="365" t="s">
        <v>71</v>
      </c>
    </row>
    <row r="62" spans="1:10" ht="56.25" customHeight="1" thickBot="1">
      <c r="A62" s="114"/>
      <c r="B62" s="1278" t="str">
        <f>'PSQ-SUPER'!B30</f>
        <v>04.03.130.01</v>
      </c>
      <c r="C62" s="1279"/>
      <c r="D62" s="1218" t="str">
        <f>B60</f>
        <v>Fornecimento e Aplicação de Concreto (fck=30MPa)</v>
      </c>
      <c r="E62" s="1219"/>
      <c r="F62" s="1219"/>
      <c r="G62" s="1195"/>
      <c r="H62" s="1184" t="str">
        <f>'PSQ-SUPER'!D30</f>
        <v>m³</v>
      </c>
      <c r="I62" s="1185"/>
      <c r="J62" s="542">
        <f>J71</f>
        <v>550.07357999999999</v>
      </c>
    </row>
    <row r="63" spans="1:10" ht="15">
      <c r="A63" s="114"/>
      <c r="B63" s="1186" t="s">
        <v>72</v>
      </c>
      <c r="C63" s="1186"/>
      <c r="D63" s="1186"/>
      <c r="E63" s="1186"/>
      <c r="F63" s="1186"/>
      <c r="G63" s="1186"/>
      <c r="H63" s="1186"/>
      <c r="I63" s="1186"/>
      <c r="J63" s="572"/>
    </row>
    <row r="64" spans="1:10" ht="15" customHeight="1">
      <c r="A64" s="114"/>
      <c r="B64" s="162" t="str">
        <f>'Pág 2'!$C$23</f>
        <v xml:space="preserve">A especificação propriamente dita, a forma de execução, se for o caso e o critério de medição são descritas no(s) seguinte(s) documento(s): </v>
      </c>
      <c r="C64" s="168"/>
      <c r="D64" s="168"/>
      <c r="E64" s="168"/>
      <c r="F64" s="168"/>
      <c r="G64" s="168"/>
      <c r="H64" s="162" t="str">
        <f>'Pág 2'!$C$24</f>
        <v>FL.01/302.92/04538 - Especificação Técnica</v>
      </c>
      <c r="I64" s="168"/>
      <c r="J64" s="168"/>
    </row>
    <row r="65" spans="1:10" ht="15" customHeight="1">
      <c r="A65" s="114"/>
      <c r="B65" s="163" t="str">
        <f>'Pág 2'!$C$15</f>
        <v xml:space="preserve">Foram utilizadas as premissas descritas no(s) seguinte(s)  documento(s):  </v>
      </c>
      <c r="C65" s="164"/>
      <c r="D65" s="164"/>
      <c r="E65" s="163" t="str">
        <f>'Pág 2'!$C$17</f>
        <v xml:space="preserve">FL.01/302.76/04537 - Memorial de Cálculo e Dimensionamento </v>
      </c>
      <c r="F65" s="114"/>
      <c r="G65" s="164"/>
      <c r="H65" s="164"/>
      <c r="I65" s="164"/>
      <c r="J65" s="164"/>
    </row>
    <row r="66" spans="1:10" ht="15" customHeight="1">
      <c r="A66" s="114"/>
      <c r="B66" s="163" t="s">
        <v>73</v>
      </c>
      <c r="C66" s="153"/>
      <c r="D66" s="153"/>
      <c r="E66" s="163"/>
      <c r="F66" s="114"/>
      <c r="G66" s="164"/>
      <c r="H66" s="164"/>
      <c r="I66" s="164"/>
      <c r="J66" s="544"/>
    </row>
    <row r="67" spans="1:10" thickBot="1">
      <c r="A67" s="114"/>
      <c r="B67" s="165"/>
      <c r="C67" s="165"/>
      <c r="D67" s="165"/>
      <c r="E67" s="153"/>
      <c r="F67" s="153"/>
      <c r="G67" s="153"/>
      <c r="H67" s="153"/>
      <c r="I67" s="153"/>
      <c r="J67" s="278"/>
    </row>
    <row r="68" spans="1:10" ht="15">
      <c r="A68" s="114"/>
      <c r="B68" s="1187" t="s">
        <v>74</v>
      </c>
      <c r="C68" s="1187"/>
      <c r="D68" s="1187"/>
      <c r="E68" s="1187"/>
      <c r="F68" s="1187"/>
      <c r="G68" s="1187"/>
      <c r="H68" s="1188"/>
      <c r="I68" s="1189"/>
      <c r="J68" s="546" t="s">
        <v>75</v>
      </c>
    </row>
    <row r="69" spans="1:10" ht="15" customHeight="1">
      <c r="A69" s="114"/>
      <c r="B69" s="1181" t="str">
        <f>TIT.101</f>
        <v xml:space="preserve">FL.17/304.13/04693- EDIFICAÇÕES DE APOIO </v>
      </c>
      <c r="C69" s="1181"/>
      <c r="D69" s="1181"/>
      <c r="E69" s="1181"/>
      <c r="F69" s="1181"/>
      <c r="G69" s="1181"/>
      <c r="H69" s="1182"/>
      <c r="I69" s="1183"/>
      <c r="J69" s="547">
        <f>C.101</f>
        <v>550.07357999999999</v>
      </c>
    </row>
    <row r="70" spans="1:10" ht="15">
      <c r="A70" s="114"/>
      <c r="B70" s="1181"/>
      <c r="C70" s="1181"/>
      <c r="D70" s="1181"/>
      <c r="E70" s="1181"/>
      <c r="F70" s="1181"/>
      <c r="G70" s="1181"/>
      <c r="H70" s="1182"/>
      <c r="I70" s="1183"/>
      <c r="J70" s="548"/>
    </row>
    <row r="71" spans="1:10" thickBot="1">
      <c r="A71" s="114"/>
      <c r="B71" s="1193" t="s">
        <v>76</v>
      </c>
      <c r="C71" s="1193"/>
      <c r="D71" s="1193"/>
      <c r="E71" s="1193"/>
      <c r="F71" s="1193"/>
      <c r="G71" s="1193"/>
      <c r="H71" s="1194"/>
      <c r="I71" s="1195"/>
      <c r="J71" s="549">
        <f>SUM(J69:J69)</f>
        <v>550.07357999999999</v>
      </c>
    </row>
    <row r="72" spans="1:10" thickBot="1">
      <c r="A72" s="114"/>
      <c r="B72" s="1196" t="s">
        <v>77</v>
      </c>
      <c r="C72" s="1196"/>
      <c r="D72" s="1196"/>
      <c r="E72" s="1196"/>
      <c r="F72" s="1196"/>
      <c r="G72" s="1196"/>
      <c r="H72" s="1196"/>
      <c r="I72" s="1196"/>
      <c r="J72" s="573"/>
    </row>
    <row r="73" spans="1:10" ht="15">
      <c r="A73" s="114"/>
      <c r="B73" s="551" t="s">
        <v>78</v>
      </c>
      <c r="C73" s="154"/>
      <c r="D73" s="154"/>
      <c r="E73" s="154"/>
      <c r="F73" s="154"/>
      <c r="G73" s="154"/>
      <c r="H73" s="154"/>
      <c r="I73" s="154"/>
      <c r="J73" s="278"/>
    </row>
    <row r="74" spans="1:10" thickBot="1">
      <c r="A74" s="114"/>
      <c r="B74" s="155"/>
      <c r="C74" s="155"/>
      <c r="D74" s="155"/>
      <c r="E74" s="155"/>
      <c r="F74" s="155"/>
      <c r="G74" s="155"/>
      <c r="H74" s="155"/>
      <c r="I74" s="155"/>
      <c r="J74" s="574"/>
    </row>
    <row r="75" spans="1:10" thickTop="1">
      <c r="A75" s="114"/>
      <c r="B75" s="1211" t="s">
        <v>57</v>
      </c>
      <c r="C75" s="1211"/>
      <c r="D75" s="1211"/>
      <c r="E75" s="1211"/>
      <c r="F75" s="1211"/>
      <c r="G75" s="1211"/>
      <c r="H75" s="1211"/>
      <c r="I75" s="1211"/>
      <c r="J75" s="1211"/>
    </row>
    <row r="76" spans="1:10" ht="44.25" customHeight="1">
      <c r="A76" s="114"/>
      <c r="B76" s="1213" t="str">
        <f>'PSQ-SUPER'!C36</f>
        <v>Fornecimento e Aplicação de Junta de Encontro</v>
      </c>
      <c r="C76" s="1213"/>
      <c r="D76" s="1213"/>
      <c r="E76" s="1213"/>
      <c r="F76" s="1213"/>
      <c r="G76" s="1213"/>
      <c r="H76" s="1213"/>
      <c r="I76" s="1213"/>
      <c r="J76" s="541"/>
    </row>
    <row r="77" spans="1:10" ht="15">
      <c r="A77" s="114"/>
      <c r="B77" s="1267" t="s">
        <v>7</v>
      </c>
      <c r="C77" s="1266"/>
      <c r="D77" s="1262" t="s">
        <v>70</v>
      </c>
      <c r="E77" s="1263"/>
      <c r="F77" s="1263"/>
      <c r="G77" s="1264"/>
      <c r="H77" s="1265" t="s">
        <v>4</v>
      </c>
      <c r="I77" s="1266"/>
      <c r="J77" s="365" t="s">
        <v>71</v>
      </c>
    </row>
    <row r="78" spans="1:10" ht="56.25" customHeight="1" thickBot="1">
      <c r="A78" s="114"/>
      <c r="B78" s="1278" t="str">
        <f>'PSQ-SUPER'!B36</f>
        <v>04.03.310.02</v>
      </c>
      <c r="C78" s="1279"/>
      <c r="D78" s="1218" t="str">
        <f>B76</f>
        <v>Fornecimento e Aplicação de Junta de Encontro</v>
      </c>
      <c r="E78" s="1219"/>
      <c r="F78" s="1219"/>
      <c r="G78" s="1195"/>
      <c r="H78" s="1184" t="str">
        <f>'PSQ-SUPER'!D36</f>
        <v>m</v>
      </c>
      <c r="I78" s="1185"/>
      <c r="J78" s="542">
        <f>J87</f>
        <v>579.20000000000005</v>
      </c>
    </row>
    <row r="79" spans="1:10" ht="15">
      <c r="A79" s="114"/>
      <c r="B79" s="1186" t="s">
        <v>72</v>
      </c>
      <c r="C79" s="1186"/>
      <c r="D79" s="1186"/>
      <c r="E79" s="1186"/>
      <c r="F79" s="1186"/>
      <c r="G79" s="1186"/>
      <c r="H79" s="1186"/>
      <c r="I79" s="1186"/>
      <c r="J79" s="572"/>
    </row>
    <row r="80" spans="1:10" ht="15">
      <c r="A80" s="114"/>
      <c r="B80" s="162" t="str">
        <f>'Pág 2'!$C$23</f>
        <v xml:space="preserve">A especificação propriamente dita, a forma de execução, se for o caso e o critério de medição são descritas no(s) seguinte(s) documento(s): </v>
      </c>
      <c r="C80" s="168"/>
      <c r="D80" s="168"/>
      <c r="E80" s="168"/>
      <c r="F80" s="168"/>
      <c r="G80" s="168"/>
      <c r="H80" s="162" t="str">
        <f>'Pág 2'!$C$24</f>
        <v>FL.01/302.92/04538 - Especificação Técnica</v>
      </c>
      <c r="I80" s="168"/>
      <c r="J80" s="168"/>
    </row>
    <row r="81" spans="1:10" ht="15">
      <c r="A81" s="114"/>
      <c r="B81" s="163" t="str">
        <f>'Pág 2'!$C$15</f>
        <v xml:space="preserve">Foram utilizadas as premissas descritas no(s) seguinte(s)  documento(s):  </v>
      </c>
      <c r="C81" s="164"/>
      <c r="D81" s="164"/>
      <c r="E81" s="163" t="str">
        <f>'Pág 2'!$C$17</f>
        <v xml:space="preserve">FL.01/302.76/04537 - Memorial de Cálculo e Dimensionamento </v>
      </c>
      <c r="F81" s="114"/>
      <c r="G81" s="164"/>
      <c r="H81" s="164"/>
      <c r="I81" s="164"/>
      <c r="J81" s="164"/>
    </row>
    <row r="82" spans="1:10" ht="15">
      <c r="A82" s="114"/>
      <c r="B82" s="163" t="s">
        <v>73</v>
      </c>
      <c r="C82" s="153"/>
      <c r="D82" s="153"/>
      <c r="E82" s="163"/>
      <c r="F82" s="114"/>
      <c r="G82" s="164"/>
      <c r="H82" s="164"/>
      <c r="I82" s="164"/>
      <c r="J82" s="544"/>
    </row>
    <row r="83" spans="1:10" thickBot="1">
      <c r="A83" s="114"/>
      <c r="B83" s="165"/>
      <c r="C83" s="165"/>
      <c r="D83" s="165"/>
      <c r="E83" s="153"/>
      <c r="F83" s="153"/>
      <c r="G83" s="153"/>
      <c r="H83" s="153"/>
      <c r="I83" s="153"/>
      <c r="J83" s="278"/>
    </row>
    <row r="84" spans="1:10" ht="15">
      <c r="A84" s="114"/>
      <c r="B84" s="1187" t="s">
        <v>74</v>
      </c>
      <c r="C84" s="1187"/>
      <c r="D84" s="1187"/>
      <c r="E84" s="1187"/>
      <c r="F84" s="1187"/>
      <c r="G84" s="1187"/>
      <c r="H84" s="1188"/>
      <c r="I84" s="1189"/>
      <c r="J84" s="546" t="s">
        <v>75</v>
      </c>
    </row>
    <row r="85" spans="1:10" ht="15">
      <c r="A85" s="114"/>
      <c r="B85" s="1181" t="str">
        <f>TIT.101</f>
        <v xml:space="preserve">FL.17/304.13/04693- EDIFICAÇÕES DE APOIO </v>
      </c>
      <c r="C85" s="1181"/>
      <c r="D85" s="1181"/>
      <c r="E85" s="1181"/>
      <c r="F85" s="1181"/>
      <c r="G85" s="1181"/>
      <c r="H85" s="1182"/>
      <c r="I85" s="1183"/>
      <c r="J85" s="547">
        <f>JE.101</f>
        <v>579.20000000000005</v>
      </c>
    </row>
    <row r="86" spans="1:10" ht="15">
      <c r="A86" s="114"/>
      <c r="B86" s="1181"/>
      <c r="C86" s="1181"/>
      <c r="D86" s="1181"/>
      <c r="E86" s="1181"/>
      <c r="F86" s="1181"/>
      <c r="G86" s="1181"/>
      <c r="H86" s="1182"/>
      <c r="I86" s="1183"/>
      <c r="J86" s="548"/>
    </row>
    <row r="87" spans="1:10" thickBot="1">
      <c r="A87" s="114"/>
      <c r="B87" s="1193" t="s">
        <v>76</v>
      </c>
      <c r="C87" s="1193"/>
      <c r="D87" s="1193"/>
      <c r="E87" s="1193"/>
      <c r="F87" s="1193"/>
      <c r="G87" s="1193"/>
      <c r="H87" s="1194"/>
      <c r="I87" s="1195"/>
      <c r="J87" s="549">
        <f>SUM(J85:J85)</f>
        <v>579.20000000000005</v>
      </c>
    </row>
    <row r="88" spans="1:10" thickBot="1">
      <c r="A88" s="114"/>
      <c r="B88" s="1196" t="s">
        <v>77</v>
      </c>
      <c r="C88" s="1196"/>
      <c r="D88" s="1196"/>
      <c r="E88" s="1196"/>
      <c r="F88" s="1196"/>
      <c r="G88" s="1196"/>
      <c r="H88" s="1196"/>
      <c r="I88" s="1196"/>
      <c r="J88" s="573"/>
    </row>
    <row r="89" spans="1:10" ht="15">
      <c r="A89" s="114"/>
      <c r="B89" s="551" t="s">
        <v>78</v>
      </c>
      <c r="C89" s="154"/>
      <c r="D89" s="154"/>
      <c r="E89" s="154"/>
      <c r="F89" s="154"/>
      <c r="G89" s="154"/>
      <c r="H89" s="154"/>
      <c r="I89" s="154"/>
      <c r="J89" s="278"/>
    </row>
    <row r="90" spans="1:10" thickBot="1">
      <c r="A90" s="114"/>
      <c r="B90" s="155"/>
      <c r="C90" s="155"/>
      <c r="D90" s="155"/>
      <c r="E90" s="155"/>
      <c r="F90" s="155"/>
      <c r="G90" s="155"/>
      <c r="H90" s="155"/>
      <c r="I90" s="155"/>
      <c r="J90" s="574"/>
    </row>
    <row r="91" spans="1:10" thickTop="1">
      <c r="A91" s="114"/>
      <c r="B91" s="1211" t="s">
        <v>57</v>
      </c>
      <c r="C91" s="1211"/>
      <c r="D91" s="1211"/>
      <c r="E91" s="1211"/>
      <c r="F91" s="1211"/>
      <c r="G91" s="1211"/>
      <c r="H91" s="1211"/>
      <c r="I91" s="1211"/>
      <c r="J91" s="1211"/>
    </row>
    <row r="92" spans="1:10" ht="44.25" customHeight="1">
      <c r="A92" s="114"/>
      <c r="B92" s="1213" t="str">
        <f>'PSQ-SUPER'!C38</f>
        <v>Fornecimento e Aplicação de Junta Serrada</v>
      </c>
      <c r="C92" s="1213"/>
      <c r="D92" s="1213"/>
      <c r="E92" s="1213"/>
      <c r="F92" s="1213"/>
      <c r="G92" s="1213"/>
      <c r="H92" s="1213"/>
      <c r="I92" s="1213"/>
      <c r="J92" s="541"/>
    </row>
    <row r="93" spans="1:10" ht="15">
      <c r="A93" s="114"/>
      <c r="B93" s="1267" t="s">
        <v>7</v>
      </c>
      <c r="C93" s="1266"/>
      <c r="D93" s="1262" t="s">
        <v>70</v>
      </c>
      <c r="E93" s="1263"/>
      <c r="F93" s="1263"/>
      <c r="G93" s="1264"/>
      <c r="H93" s="1265" t="s">
        <v>4</v>
      </c>
      <c r="I93" s="1266"/>
      <c r="J93" s="365" t="s">
        <v>71</v>
      </c>
    </row>
    <row r="94" spans="1:10" ht="56.25" customHeight="1" thickBot="1">
      <c r="A94" s="114"/>
      <c r="B94" s="1278" t="str">
        <f>'PSQ-SUPER'!B38</f>
        <v>04.03.310.04</v>
      </c>
      <c r="C94" s="1279"/>
      <c r="D94" s="1218" t="str">
        <f>B92</f>
        <v>Fornecimento e Aplicação de Junta Serrada</v>
      </c>
      <c r="E94" s="1219"/>
      <c r="F94" s="1219"/>
      <c r="G94" s="1195"/>
      <c r="H94" s="1184" t="str">
        <f>'PSQ-SUPER'!D38</f>
        <v>m</v>
      </c>
      <c r="I94" s="1185"/>
      <c r="J94" s="542">
        <f>J103</f>
        <v>28.85</v>
      </c>
    </row>
    <row r="95" spans="1:10" ht="15">
      <c r="A95" s="114"/>
      <c r="B95" s="1186" t="s">
        <v>72</v>
      </c>
      <c r="C95" s="1186"/>
      <c r="D95" s="1186"/>
      <c r="E95" s="1186"/>
      <c r="F95" s="1186"/>
      <c r="G95" s="1186"/>
      <c r="H95" s="1186"/>
      <c r="I95" s="1186"/>
      <c r="J95" s="572"/>
    </row>
    <row r="96" spans="1:10" ht="15">
      <c r="A96" s="114"/>
      <c r="B96" s="162" t="str">
        <f>'Pág 2'!$C$23</f>
        <v xml:space="preserve">A especificação propriamente dita, a forma de execução, se for o caso e o critério de medição são descritas no(s) seguinte(s) documento(s): </v>
      </c>
      <c r="C96" s="168"/>
      <c r="D96" s="168"/>
      <c r="E96" s="168"/>
      <c r="F96" s="168"/>
      <c r="G96" s="168"/>
      <c r="H96" s="162" t="str">
        <f>'Pág 2'!$C$24</f>
        <v>FL.01/302.92/04538 - Especificação Técnica</v>
      </c>
      <c r="I96" s="168"/>
      <c r="J96" s="168"/>
    </row>
    <row r="97" spans="1:10" ht="15">
      <c r="A97" s="114"/>
      <c r="B97" s="163" t="str">
        <f>'Pág 2'!$C$15</f>
        <v xml:space="preserve">Foram utilizadas as premissas descritas no(s) seguinte(s)  documento(s):  </v>
      </c>
      <c r="C97" s="164"/>
      <c r="D97" s="164"/>
      <c r="E97" s="163" t="str">
        <f>'Pág 2'!$C$17</f>
        <v xml:space="preserve">FL.01/302.76/04537 - Memorial de Cálculo e Dimensionamento </v>
      </c>
      <c r="F97" s="114"/>
      <c r="G97" s="164"/>
      <c r="H97" s="164"/>
      <c r="I97" s="164"/>
      <c r="J97" s="164"/>
    </row>
    <row r="98" spans="1:10" ht="15">
      <c r="A98" s="114"/>
      <c r="B98" s="163" t="s">
        <v>73</v>
      </c>
      <c r="C98" s="153"/>
      <c r="D98" s="153"/>
      <c r="E98" s="163"/>
      <c r="F98" s="114"/>
      <c r="G98" s="164"/>
      <c r="H98" s="164"/>
      <c r="I98" s="164"/>
      <c r="J98" s="544"/>
    </row>
    <row r="99" spans="1:10" thickBot="1">
      <c r="A99" s="114"/>
      <c r="B99" s="165"/>
      <c r="C99" s="165"/>
      <c r="D99" s="165"/>
      <c r="E99" s="153"/>
      <c r="F99" s="153"/>
      <c r="G99" s="153"/>
      <c r="H99" s="153"/>
      <c r="I99" s="153"/>
      <c r="J99" s="278"/>
    </row>
    <row r="100" spans="1:10" ht="15">
      <c r="A100" s="114"/>
      <c r="B100" s="1187" t="s">
        <v>74</v>
      </c>
      <c r="C100" s="1187"/>
      <c r="D100" s="1187"/>
      <c r="E100" s="1187"/>
      <c r="F100" s="1187"/>
      <c r="G100" s="1187"/>
      <c r="H100" s="1188"/>
      <c r="I100" s="1189"/>
      <c r="J100" s="546" t="s">
        <v>75</v>
      </c>
    </row>
    <row r="101" spans="1:10" ht="15">
      <c r="A101" s="114"/>
      <c r="B101" s="1181" t="str">
        <f>TIT.101</f>
        <v xml:space="preserve">FL.17/304.13/04693- EDIFICAÇÕES DE APOIO </v>
      </c>
      <c r="C101" s="1181"/>
      <c r="D101" s="1181"/>
      <c r="E101" s="1181"/>
      <c r="F101" s="1181"/>
      <c r="G101" s="1181"/>
      <c r="H101" s="1182"/>
      <c r="I101" s="1183"/>
      <c r="J101" s="547">
        <f>JS.101</f>
        <v>28.85</v>
      </c>
    </row>
    <row r="102" spans="1:10" ht="15">
      <c r="A102" s="114"/>
      <c r="B102" s="1181"/>
      <c r="C102" s="1181"/>
      <c r="D102" s="1181"/>
      <c r="E102" s="1181"/>
      <c r="F102" s="1181"/>
      <c r="G102" s="1181"/>
      <c r="H102" s="1182"/>
      <c r="I102" s="1183"/>
      <c r="J102" s="548"/>
    </row>
    <row r="103" spans="1:10" thickBot="1">
      <c r="A103" s="114"/>
      <c r="B103" s="1193" t="s">
        <v>76</v>
      </c>
      <c r="C103" s="1193"/>
      <c r="D103" s="1193"/>
      <c r="E103" s="1193"/>
      <c r="F103" s="1193"/>
      <c r="G103" s="1193"/>
      <c r="H103" s="1194"/>
      <c r="I103" s="1195"/>
      <c r="J103" s="549">
        <f>SUM(J101:J101)</f>
        <v>28.85</v>
      </c>
    </row>
    <row r="104" spans="1:10" thickBot="1">
      <c r="A104" s="114"/>
      <c r="B104" s="1196" t="s">
        <v>77</v>
      </c>
      <c r="C104" s="1196"/>
      <c r="D104" s="1196"/>
      <c r="E104" s="1196"/>
      <c r="F104" s="1196"/>
      <c r="G104" s="1196"/>
      <c r="H104" s="1196"/>
      <c r="I104" s="1196"/>
      <c r="J104" s="573"/>
    </row>
    <row r="105" spans="1:10" ht="15">
      <c r="A105" s="114"/>
      <c r="B105" s="551" t="s">
        <v>78</v>
      </c>
      <c r="C105" s="154"/>
      <c r="D105" s="154"/>
      <c r="E105" s="154"/>
      <c r="F105" s="154"/>
      <c r="G105" s="154"/>
      <c r="H105" s="154"/>
      <c r="I105" s="154"/>
      <c r="J105" s="278"/>
    </row>
    <row r="106" spans="1:10" thickBot="1">
      <c r="A106" s="114"/>
      <c r="B106" s="155"/>
      <c r="C106" s="155"/>
      <c r="D106" s="155"/>
      <c r="E106" s="155"/>
      <c r="F106" s="155"/>
      <c r="G106" s="155"/>
      <c r="H106" s="155"/>
      <c r="I106" s="155"/>
      <c r="J106" s="574"/>
    </row>
    <row r="107" spans="1:10" thickTop="1">
      <c r="A107" s="114"/>
      <c r="B107" s="1211" t="s">
        <v>57</v>
      </c>
      <c r="C107" s="1211"/>
      <c r="D107" s="1211"/>
      <c r="E107" s="1211"/>
      <c r="F107" s="1211"/>
      <c r="G107" s="1211"/>
      <c r="H107" s="1211"/>
      <c r="I107" s="1211"/>
      <c r="J107" s="1211"/>
    </row>
    <row r="108" spans="1:10" ht="44.25" customHeight="1">
      <c r="A108" s="114"/>
      <c r="B108" s="1213" t="str">
        <f>'PSQ-SUPER'!C42</f>
        <v>Fornecimento, transporte, lançamento, adensamento, acabamento e cura - lastro de concreto  Fck &gt;= 10 MPa</v>
      </c>
      <c r="C108" s="1213"/>
      <c r="D108" s="1213"/>
      <c r="E108" s="1213"/>
      <c r="F108" s="1213"/>
      <c r="G108" s="1213"/>
      <c r="H108" s="1213"/>
      <c r="I108" s="1213"/>
      <c r="J108" s="541"/>
    </row>
    <row r="109" spans="1:10" ht="15">
      <c r="A109" s="114"/>
      <c r="B109" s="1267" t="s">
        <v>7</v>
      </c>
      <c r="C109" s="1266"/>
      <c r="D109" s="1262" t="s">
        <v>70</v>
      </c>
      <c r="E109" s="1263"/>
      <c r="F109" s="1263"/>
      <c r="G109" s="1264"/>
      <c r="H109" s="1265" t="s">
        <v>4</v>
      </c>
      <c r="I109" s="1266"/>
      <c r="J109" s="365" t="s">
        <v>71</v>
      </c>
    </row>
    <row r="110" spans="1:10" ht="56.25" customHeight="1" thickBot="1">
      <c r="A110" s="114"/>
      <c r="B110" s="1225" t="str">
        <f>'PSQ-SUPER'!B42</f>
        <v>04.03.330.01</v>
      </c>
      <c r="C110" s="1226"/>
      <c r="D110" s="1218" t="str">
        <f>B108</f>
        <v>Fornecimento, transporte, lançamento, adensamento, acabamento e cura - lastro de concreto  Fck &gt;= 10 MPa</v>
      </c>
      <c r="E110" s="1219"/>
      <c r="F110" s="1219"/>
      <c r="G110" s="1195"/>
      <c r="H110" s="1184" t="str">
        <f>'PSQ-SUPER'!D42</f>
        <v>m³</v>
      </c>
      <c r="I110" s="1185"/>
      <c r="J110" s="542">
        <f>J119</f>
        <v>31.25</v>
      </c>
    </row>
    <row r="111" spans="1:10" ht="15">
      <c r="A111" s="114"/>
      <c r="B111" s="1186" t="s">
        <v>72</v>
      </c>
      <c r="C111" s="1186"/>
      <c r="D111" s="1186"/>
      <c r="E111" s="1186"/>
      <c r="F111" s="1186"/>
      <c r="G111" s="1186"/>
      <c r="H111" s="1186"/>
      <c r="I111" s="1186"/>
      <c r="J111" s="572"/>
    </row>
    <row r="112" spans="1:10" ht="15">
      <c r="A112" s="114"/>
      <c r="B112" s="162" t="str">
        <f>'Pág 2'!$C$23</f>
        <v xml:space="preserve">A especificação propriamente dita, a forma de execução, se for o caso e o critério de medição são descritas no(s) seguinte(s) documento(s): </v>
      </c>
      <c r="C112" s="168"/>
      <c r="D112" s="168"/>
      <c r="E112" s="168"/>
      <c r="F112" s="168"/>
      <c r="G112" s="168"/>
      <c r="H112" s="162" t="str">
        <f>'Pág 2'!$C$24</f>
        <v>FL.01/302.92/04538 - Especificação Técnica</v>
      </c>
      <c r="I112" s="168"/>
      <c r="J112" s="168"/>
    </row>
    <row r="113" spans="1:10" ht="15">
      <c r="A113" s="114"/>
      <c r="B113" s="163" t="str">
        <f>'Pág 2'!$C$15</f>
        <v xml:space="preserve">Foram utilizadas as premissas descritas no(s) seguinte(s)  documento(s):  </v>
      </c>
      <c r="C113" s="164"/>
      <c r="D113" s="164"/>
      <c r="E113" s="163" t="str">
        <f>'Pág 2'!$C$17</f>
        <v xml:space="preserve">FL.01/302.76/04537 - Memorial de Cálculo e Dimensionamento </v>
      </c>
      <c r="F113" s="114"/>
      <c r="G113" s="164"/>
      <c r="H113" s="164"/>
      <c r="I113" s="164"/>
      <c r="J113" s="164"/>
    </row>
    <row r="114" spans="1:10" ht="15">
      <c r="A114" s="114"/>
      <c r="B114" s="163" t="s">
        <v>73</v>
      </c>
      <c r="C114" s="153"/>
      <c r="D114" s="153"/>
      <c r="E114" s="163"/>
      <c r="F114" s="114"/>
      <c r="G114" s="164"/>
      <c r="H114" s="164"/>
      <c r="I114" s="164"/>
      <c r="J114" s="544"/>
    </row>
    <row r="115" spans="1:10" thickBot="1">
      <c r="A115" s="114"/>
      <c r="B115" s="165"/>
      <c r="C115" s="165"/>
      <c r="D115" s="165"/>
      <c r="E115" s="153"/>
      <c r="F115" s="153"/>
      <c r="G115" s="153"/>
      <c r="H115" s="153"/>
      <c r="I115" s="153"/>
      <c r="J115" s="278"/>
    </row>
    <row r="116" spans="1:10" ht="15">
      <c r="A116" s="114"/>
      <c r="B116" s="1187" t="s">
        <v>74</v>
      </c>
      <c r="C116" s="1187"/>
      <c r="D116" s="1187"/>
      <c r="E116" s="1187"/>
      <c r="F116" s="1187"/>
      <c r="G116" s="1187"/>
      <c r="H116" s="1188"/>
      <c r="I116" s="1189"/>
      <c r="J116" s="546" t="s">
        <v>75</v>
      </c>
    </row>
    <row r="117" spans="1:10" ht="15">
      <c r="A117" s="114"/>
      <c r="B117" s="1181" t="str">
        <f>TIT.101</f>
        <v xml:space="preserve">FL.17/304.13/04693- EDIFICAÇÕES DE APOIO </v>
      </c>
      <c r="C117" s="1181"/>
      <c r="D117" s="1181"/>
      <c r="E117" s="1181"/>
      <c r="F117" s="1181"/>
      <c r="G117" s="1181"/>
      <c r="H117" s="1182"/>
      <c r="I117" s="1183"/>
      <c r="J117" s="547">
        <f>LC.101</f>
        <v>31.25</v>
      </c>
    </row>
    <row r="118" spans="1:10" ht="15">
      <c r="A118" s="114"/>
      <c r="B118" s="1181"/>
      <c r="C118" s="1181"/>
      <c r="D118" s="1181"/>
      <c r="E118" s="1181"/>
      <c r="F118" s="1181"/>
      <c r="G118" s="1181"/>
      <c r="H118" s="1182"/>
      <c r="I118" s="1183"/>
      <c r="J118" s="548"/>
    </row>
    <row r="119" spans="1:10" thickBot="1">
      <c r="A119" s="114"/>
      <c r="B119" s="1193" t="s">
        <v>76</v>
      </c>
      <c r="C119" s="1193"/>
      <c r="D119" s="1193"/>
      <c r="E119" s="1193"/>
      <c r="F119" s="1193"/>
      <c r="G119" s="1193"/>
      <c r="H119" s="1194"/>
      <c r="I119" s="1195"/>
      <c r="J119" s="549">
        <f>SUM(J117:J117)</f>
        <v>31.25</v>
      </c>
    </row>
    <row r="120" spans="1:10" thickBot="1">
      <c r="A120" s="114"/>
      <c r="B120" s="1196" t="s">
        <v>77</v>
      </c>
      <c r="C120" s="1196"/>
      <c r="D120" s="1196"/>
      <c r="E120" s="1196"/>
      <c r="F120" s="1196"/>
      <c r="G120" s="1196"/>
      <c r="H120" s="1196"/>
      <c r="I120" s="1196"/>
      <c r="J120" s="573"/>
    </row>
    <row r="121" spans="1:10" ht="15">
      <c r="A121" s="114"/>
      <c r="B121" s="551" t="s">
        <v>78</v>
      </c>
      <c r="C121" s="154"/>
      <c r="D121" s="154"/>
      <c r="E121" s="154"/>
      <c r="F121" s="154"/>
      <c r="G121" s="154"/>
      <c r="H121" s="154"/>
      <c r="I121" s="154"/>
      <c r="J121" s="278"/>
    </row>
    <row r="122" spans="1:10" thickBot="1">
      <c r="A122" s="114"/>
      <c r="B122" s="155"/>
      <c r="C122" s="155"/>
      <c r="D122" s="155"/>
      <c r="E122" s="155"/>
      <c r="F122" s="155"/>
      <c r="G122" s="155"/>
      <c r="H122" s="155"/>
      <c r="I122" s="155"/>
      <c r="J122" s="574"/>
    </row>
    <row r="123" spans="1:10" s="86" customFormat="1" ht="21" customHeight="1" thickTop="1">
      <c r="B123" s="575"/>
      <c r="C123" s="166"/>
      <c r="D123" s="192"/>
      <c r="E123" s="192"/>
      <c r="F123" s="166"/>
      <c r="G123" s="193"/>
      <c r="H123" s="193"/>
      <c r="I123" s="193"/>
      <c r="J123" s="576"/>
    </row>
    <row r="124" spans="1:10" s="86" customFormat="1" ht="21" customHeight="1">
      <c r="B124" s="571" t="s">
        <v>1799</v>
      </c>
      <c r="C124" s="104"/>
      <c r="D124" s="191"/>
      <c r="E124" s="191"/>
      <c r="F124" s="104"/>
      <c r="J124" s="570"/>
    </row>
    <row r="125" spans="1:10" s="86" customFormat="1" ht="21" customHeight="1" thickBot="1">
      <c r="B125" s="577"/>
      <c r="C125" s="177"/>
      <c r="D125" s="178"/>
      <c r="E125" s="178"/>
      <c r="F125" s="177"/>
      <c r="G125" s="179"/>
      <c r="H125" s="179"/>
      <c r="I125" s="179"/>
      <c r="J125" s="578"/>
    </row>
    <row r="126" spans="1:10" thickTop="1">
      <c r="A126" s="114"/>
      <c r="B126" s="1211" t="s">
        <v>57</v>
      </c>
      <c r="C126" s="1211"/>
      <c r="D126" s="1211"/>
      <c r="E126" s="1211"/>
      <c r="F126" s="1211"/>
      <c r="G126" s="1211"/>
      <c r="H126" s="1211"/>
      <c r="I126" s="1211"/>
      <c r="J126" s="1212"/>
    </row>
    <row r="127" spans="1:10" ht="44.25" customHeight="1">
      <c r="A127" s="114"/>
      <c r="B127" s="1213" t="str">
        <f>'PSQ-SUPER'!C52</f>
        <v>Forma plana para estruturas de concreto, fornecimento e aplicação</v>
      </c>
      <c r="C127" s="1213"/>
      <c r="D127" s="1213"/>
      <c r="E127" s="1213"/>
      <c r="F127" s="1213"/>
      <c r="G127" s="1213"/>
      <c r="H127" s="1213"/>
      <c r="I127" s="1213"/>
      <c r="J127" s="541"/>
    </row>
    <row r="128" spans="1:10" ht="15">
      <c r="A128" s="114"/>
      <c r="B128" s="1214" t="s">
        <v>7</v>
      </c>
      <c r="C128" s="1215"/>
      <c r="D128" s="1220" t="s">
        <v>70</v>
      </c>
      <c r="E128" s="1221"/>
      <c r="F128" s="1221"/>
      <c r="G128" s="1222"/>
      <c r="H128" s="1223" t="s">
        <v>4</v>
      </c>
      <c r="I128" s="1224"/>
      <c r="J128" s="365" t="s">
        <v>71</v>
      </c>
    </row>
    <row r="129" spans="1:10" ht="56.25" customHeight="1" thickBot="1">
      <c r="A129" s="114"/>
      <c r="B129" s="1278" t="str">
        <f>'PSQ-SUPER'!B52</f>
        <v>04.03.110.01</v>
      </c>
      <c r="C129" s="1279"/>
      <c r="D129" s="1218" t="str">
        <f>B127</f>
        <v>Forma plana para estruturas de concreto, fornecimento e aplicação</v>
      </c>
      <c r="E129" s="1219"/>
      <c r="F129" s="1219"/>
      <c r="G129" s="1195"/>
      <c r="H129" s="1184" t="str">
        <f>'PSQ-SUPER'!D52</f>
        <v>m²</v>
      </c>
      <c r="I129" s="1185"/>
      <c r="J129" s="542">
        <f>J146</f>
        <v>7125.8661499999998</v>
      </c>
    </row>
    <row r="130" spans="1:10" ht="15">
      <c r="A130" s="114"/>
      <c r="B130" s="1186" t="s">
        <v>72</v>
      </c>
      <c r="C130" s="1186"/>
      <c r="D130" s="1186"/>
      <c r="E130" s="1186"/>
      <c r="F130" s="1186"/>
      <c r="G130" s="1186"/>
      <c r="H130" s="1186"/>
      <c r="I130" s="1186"/>
      <c r="J130" s="572"/>
    </row>
    <row r="131" spans="1:10" ht="15">
      <c r="A131" s="114"/>
      <c r="B131" s="162" t="str">
        <f>'Pág 2'!$C$23</f>
        <v xml:space="preserve">A especificação propriamente dita, a forma de execução, se for o caso e o critério de medição são descritas no(s) seguinte(s) documento(s): </v>
      </c>
      <c r="C131" s="168"/>
      <c r="D131" s="168"/>
      <c r="E131" s="168"/>
      <c r="F131" s="168"/>
      <c r="G131" s="168"/>
      <c r="H131" s="162" t="str">
        <f>'Pág 2'!$C$24</f>
        <v>FL.01/302.92/04538 - Especificação Técnica</v>
      </c>
      <c r="I131" s="168"/>
      <c r="J131" s="168"/>
    </row>
    <row r="132" spans="1:10" ht="15">
      <c r="A132" s="114"/>
      <c r="B132" s="163" t="str">
        <f>'Pág 2'!$C$15</f>
        <v xml:space="preserve">Foram utilizadas as premissas descritas no(s) seguinte(s)  documento(s):  </v>
      </c>
      <c r="C132" s="164"/>
      <c r="D132" s="164"/>
      <c r="E132" s="163" t="str">
        <f>'Pág 2'!$C$17</f>
        <v xml:space="preserve">FL.01/302.76/04537 - Memorial de Cálculo e Dimensionamento </v>
      </c>
      <c r="F132" s="114"/>
      <c r="G132" s="164"/>
      <c r="H132" s="164"/>
      <c r="I132" s="164"/>
      <c r="J132" s="164"/>
    </row>
    <row r="133" spans="1:10" ht="15" customHeight="1">
      <c r="A133" s="114"/>
      <c r="B133" s="163" t="s">
        <v>73</v>
      </c>
      <c r="C133" s="153"/>
      <c r="D133" s="153"/>
      <c r="E133" s="163"/>
      <c r="F133" s="114"/>
      <c r="G133" s="164"/>
      <c r="H133" s="164"/>
      <c r="I133" s="164"/>
      <c r="J133" s="544"/>
    </row>
    <row r="134" spans="1:10" ht="15" customHeight="1" thickBot="1">
      <c r="A134" s="114"/>
      <c r="B134" s="165"/>
      <c r="C134" s="165"/>
      <c r="D134" s="165"/>
      <c r="E134" s="153"/>
      <c r="F134" s="153"/>
      <c r="G134" s="153"/>
      <c r="H134" s="153"/>
      <c r="I134" s="153"/>
      <c r="J134" s="278"/>
    </row>
    <row r="135" spans="1:10" ht="15">
      <c r="A135" s="114"/>
      <c r="B135" s="1187" t="s">
        <v>74</v>
      </c>
      <c r="C135" s="1187"/>
      <c r="D135" s="1187"/>
      <c r="E135" s="1187"/>
      <c r="F135" s="1187"/>
      <c r="G135" s="1187"/>
      <c r="H135" s="1188"/>
      <c r="I135" s="1189"/>
      <c r="J135" s="546" t="s">
        <v>75</v>
      </c>
    </row>
    <row r="136" spans="1:10" ht="15">
      <c r="A136" s="114"/>
      <c r="B136" s="1181" t="str">
        <f>TIT.201</f>
        <v xml:space="preserve">FL.26/304.13/04734 - CENTRAL DE UTILIDADES - MANUTENÇÃO </v>
      </c>
      <c r="C136" s="1181"/>
      <c r="D136" s="1181"/>
      <c r="E136" s="1181"/>
      <c r="F136" s="1181"/>
      <c r="G136" s="1181"/>
      <c r="H136" s="1182"/>
      <c r="I136" s="1183"/>
      <c r="J136" s="547">
        <f>F.201</f>
        <v>564.72</v>
      </c>
    </row>
    <row r="137" spans="1:10" ht="15">
      <c r="A137" s="114"/>
      <c r="B137" s="1181" t="str">
        <f>TIT.202</f>
        <v>FL.26/304.13/04738 - CENTRAL DE UTILIDADES - REFEITÓRIO</v>
      </c>
      <c r="C137" s="1181"/>
      <c r="D137" s="1181"/>
      <c r="E137" s="1181"/>
      <c r="F137" s="1181"/>
      <c r="G137" s="1181"/>
      <c r="H137" s="1182"/>
      <c r="I137" s="1183"/>
      <c r="J137" s="547">
        <f>F.202</f>
        <v>488.78000000000009</v>
      </c>
    </row>
    <row r="138" spans="1:10" ht="15">
      <c r="A138" s="114"/>
      <c r="B138" s="1181" t="str">
        <f>TIT.203</f>
        <v>FL.26/304.13/04743 - CENTRAL DE UTILIDADES - SUBESTAÇÃO</v>
      </c>
      <c r="C138" s="1181"/>
      <c r="D138" s="1181"/>
      <c r="E138" s="1181"/>
      <c r="F138" s="1181"/>
      <c r="G138" s="1181"/>
      <c r="H138" s="1182"/>
      <c r="I138" s="1183"/>
      <c r="J138" s="547">
        <f>F.203</f>
        <v>1838.5192500000001</v>
      </c>
    </row>
    <row r="139" spans="1:10" ht="15">
      <c r="A139" s="114"/>
      <c r="B139" s="1181" t="str">
        <f>TIT.204</f>
        <v>FL.26/302.13/04751 - CENTRAL DE UTILIDADES - GUARITA</v>
      </c>
      <c r="C139" s="1181"/>
      <c r="D139" s="1181"/>
      <c r="E139" s="1181"/>
      <c r="F139" s="1181"/>
      <c r="G139" s="1181"/>
      <c r="H139" s="1182"/>
      <c r="I139" s="1183"/>
      <c r="J139" s="547">
        <f>F.204</f>
        <v>55.16</v>
      </c>
    </row>
    <row r="140" spans="1:10" ht="15">
      <c r="A140" s="114"/>
      <c r="B140" s="1181" t="str">
        <f>TIT.205</f>
        <v>FL.26/302.13/04753 - CUT - ACESSO PASSARELA TÉCNICA</v>
      </c>
      <c r="C140" s="1181"/>
      <c r="D140" s="1181"/>
      <c r="E140" s="1181"/>
      <c r="F140" s="1181"/>
      <c r="G140" s="1181"/>
      <c r="H140" s="1182"/>
      <c r="I140" s="1183"/>
      <c r="J140" s="547">
        <f>F.205</f>
        <v>569.83010000000002</v>
      </c>
    </row>
    <row r="141" spans="1:10" ht="15">
      <c r="A141" s="114"/>
      <c r="B141" s="1181" t="str">
        <f>TIT.206</f>
        <v>FL.26/304.13/04756 - CENTRAL DE UTILIDADES - OFICINA DE MANUTENÇÃO</v>
      </c>
      <c r="C141" s="1181"/>
      <c r="D141" s="1181"/>
      <c r="E141" s="1181"/>
      <c r="F141" s="1181"/>
      <c r="G141" s="1181"/>
      <c r="H141" s="1182"/>
      <c r="I141" s="1183"/>
      <c r="J141" s="547">
        <f>F.206</f>
        <v>141.15</v>
      </c>
    </row>
    <row r="142" spans="1:10" ht="15">
      <c r="A142" s="114"/>
      <c r="B142" s="1181" t="str">
        <f>TIT.207</f>
        <v xml:space="preserve">FL.26/304.13/04759 - RESERVATÓRIO APOIADO DE ÁGUA POTÁVEL </v>
      </c>
      <c r="C142" s="1181"/>
      <c r="D142" s="1181"/>
      <c r="E142" s="1181"/>
      <c r="F142" s="1181"/>
      <c r="G142" s="1181"/>
      <c r="H142" s="1182"/>
      <c r="I142" s="1183"/>
      <c r="J142" s="547">
        <f>F.207</f>
        <v>592.17629999999997</v>
      </c>
    </row>
    <row r="143" spans="1:10" ht="15">
      <c r="A143" s="114"/>
      <c r="B143" s="1181" t="str">
        <f>TIT.208</f>
        <v>FL.26/304.13/04765 - RESERVATÓRIO DE ÁGUA - NORMAL E REUSO</v>
      </c>
      <c r="C143" s="1181"/>
      <c r="D143" s="1181"/>
      <c r="E143" s="1181"/>
      <c r="F143" s="1181"/>
      <c r="G143" s="1181"/>
      <c r="H143" s="1182"/>
      <c r="I143" s="1183"/>
      <c r="J143" s="547">
        <f>F.208</f>
        <v>2832.9504999999999</v>
      </c>
    </row>
    <row r="144" spans="1:10" ht="15">
      <c r="A144" s="114"/>
      <c r="B144" s="1181" t="str">
        <f>TIT.209</f>
        <v>FL.17/302.13/05743 - CENTRAL DE UTILIDADES - GUARITA - ESTACIONAMENTO</v>
      </c>
      <c r="C144" s="1181"/>
      <c r="D144" s="1181"/>
      <c r="E144" s="1181"/>
      <c r="F144" s="1181"/>
      <c r="G144" s="1181"/>
      <c r="H144" s="1182"/>
      <c r="I144" s="1183"/>
      <c r="J144" s="547">
        <f>F.209</f>
        <v>42.58</v>
      </c>
    </row>
    <row r="145" spans="1:10" ht="15">
      <c r="A145" s="114"/>
      <c r="B145" s="1181"/>
      <c r="C145" s="1181"/>
      <c r="D145" s="1181"/>
      <c r="E145" s="1181"/>
      <c r="F145" s="1181"/>
      <c r="G145" s="1181"/>
      <c r="H145" s="1182"/>
      <c r="I145" s="1183"/>
      <c r="J145" s="562"/>
    </row>
    <row r="146" spans="1:10" thickBot="1">
      <c r="A146" s="114"/>
      <c r="B146" s="1193" t="s">
        <v>76</v>
      </c>
      <c r="C146" s="1193"/>
      <c r="D146" s="1193"/>
      <c r="E146" s="1193"/>
      <c r="F146" s="1193"/>
      <c r="G146" s="1193"/>
      <c r="H146" s="1194"/>
      <c r="I146" s="1195"/>
      <c r="J146" s="549">
        <f>SUM(J136:J144)</f>
        <v>7125.8661499999998</v>
      </c>
    </row>
    <row r="147" spans="1:10" thickBot="1">
      <c r="A147" s="114"/>
      <c r="B147" s="1196" t="s">
        <v>77</v>
      </c>
      <c r="C147" s="1196"/>
      <c r="D147" s="1196"/>
      <c r="E147" s="1196"/>
      <c r="F147" s="1196"/>
      <c r="G147" s="1196"/>
      <c r="H147" s="1196"/>
      <c r="I147" s="1196"/>
      <c r="J147" s="573"/>
    </row>
    <row r="148" spans="1:10" ht="15">
      <c r="A148" s="114"/>
      <c r="B148" s="551" t="s">
        <v>92</v>
      </c>
      <c r="C148" s="154"/>
      <c r="D148" s="154"/>
      <c r="E148" s="154"/>
      <c r="F148" s="154"/>
      <c r="G148" s="154"/>
      <c r="H148" s="154"/>
      <c r="I148" s="154"/>
      <c r="J148" s="278"/>
    </row>
    <row r="149" spans="1:10" thickBot="1">
      <c r="A149" s="114"/>
      <c r="B149" s="155"/>
      <c r="C149" s="155"/>
      <c r="D149" s="155"/>
      <c r="E149" s="155"/>
      <c r="F149" s="155"/>
      <c r="G149" s="155"/>
      <c r="H149" s="155"/>
      <c r="I149" s="155"/>
      <c r="J149" s="574"/>
    </row>
    <row r="150" spans="1:10" thickTop="1">
      <c r="A150" s="114"/>
      <c r="B150" s="1211" t="s">
        <v>57</v>
      </c>
      <c r="C150" s="1211"/>
      <c r="D150" s="1211"/>
      <c r="E150" s="1211"/>
      <c r="F150" s="1211"/>
      <c r="G150" s="1211"/>
      <c r="H150" s="1211"/>
      <c r="I150" s="1211"/>
      <c r="J150" s="1212"/>
    </row>
    <row r="151" spans="1:10" ht="44.25" customHeight="1">
      <c r="A151" s="114"/>
      <c r="B151" s="1213" t="str">
        <f>'PSQ-SUPER'!C58</f>
        <v>Fornecimento, Dobra e Montagem de Aço CA-50</v>
      </c>
      <c r="C151" s="1213"/>
      <c r="D151" s="1213"/>
      <c r="E151" s="1213"/>
      <c r="F151" s="1213"/>
      <c r="G151" s="1213"/>
      <c r="H151" s="1213"/>
      <c r="I151" s="1213"/>
      <c r="J151" s="541"/>
    </row>
    <row r="152" spans="1:10" ht="15">
      <c r="A152" s="114"/>
      <c r="B152" s="1214" t="s">
        <v>7</v>
      </c>
      <c r="C152" s="1215"/>
      <c r="D152" s="1220" t="s">
        <v>70</v>
      </c>
      <c r="E152" s="1221"/>
      <c r="F152" s="1221"/>
      <c r="G152" s="1222"/>
      <c r="H152" s="1223" t="s">
        <v>4</v>
      </c>
      <c r="I152" s="1224"/>
      <c r="J152" s="365" t="s">
        <v>71</v>
      </c>
    </row>
    <row r="153" spans="1:10" ht="56.25" customHeight="1" thickBot="1">
      <c r="A153" s="114"/>
      <c r="B153" s="1278" t="str">
        <f>'PSQ-SUPER'!B58</f>
        <v>04.03.120.01</v>
      </c>
      <c r="C153" s="1279"/>
      <c r="D153" s="1218" t="str">
        <f>B151</f>
        <v>Fornecimento, Dobra e Montagem de Aço CA-50</v>
      </c>
      <c r="E153" s="1219"/>
      <c r="F153" s="1219"/>
      <c r="G153" s="1195"/>
      <c r="H153" s="1184" t="str">
        <f>'PSQ-SUPER'!D58</f>
        <v>kg</v>
      </c>
      <c r="I153" s="1185"/>
      <c r="J153" s="542">
        <f>J170</f>
        <v>105319</v>
      </c>
    </row>
    <row r="154" spans="1:10" ht="15">
      <c r="A154" s="114"/>
      <c r="B154" s="1186" t="s">
        <v>72</v>
      </c>
      <c r="C154" s="1186"/>
      <c r="D154" s="1186"/>
      <c r="E154" s="1186"/>
      <c r="F154" s="1186"/>
      <c r="G154" s="1186"/>
      <c r="H154" s="1186"/>
      <c r="I154" s="1186"/>
      <c r="J154" s="572"/>
    </row>
    <row r="155" spans="1:10" ht="15">
      <c r="A155" s="114"/>
      <c r="B155" s="162" t="str">
        <f>'Pág 2'!$C$23</f>
        <v xml:space="preserve">A especificação propriamente dita, a forma de execução, se for o caso e o critério de medição são descritas no(s) seguinte(s) documento(s): </v>
      </c>
      <c r="C155" s="168"/>
      <c r="D155" s="168"/>
      <c r="E155" s="168"/>
      <c r="F155" s="168"/>
      <c r="G155" s="168"/>
      <c r="H155" s="162" t="str">
        <f>'Pág 2'!$C$24</f>
        <v>FL.01/302.92/04538 - Especificação Técnica</v>
      </c>
      <c r="I155" s="168"/>
      <c r="J155" s="168"/>
    </row>
    <row r="156" spans="1:10" ht="15">
      <c r="A156" s="114"/>
      <c r="B156" s="163" t="str">
        <f>'Pág 2'!$C$15</f>
        <v xml:space="preserve">Foram utilizadas as premissas descritas no(s) seguinte(s)  documento(s):  </v>
      </c>
      <c r="C156" s="164"/>
      <c r="D156" s="164"/>
      <c r="E156" s="163" t="str">
        <f>'Pág 2'!$C$17</f>
        <v xml:space="preserve">FL.01/302.76/04537 - Memorial de Cálculo e Dimensionamento </v>
      </c>
      <c r="F156" s="114"/>
      <c r="G156" s="164"/>
      <c r="H156" s="164"/>
      <c r="I156" s="164"/>
      <c r="J156" s="164"/>
    </row>
    <row r="157" spans="1:10" ht="15">
      <c r="A157" s="114"/>
      <c r="B157" s="163" t="s">
        <v>1803</v>
      </c>
      <c r="C157" s="153"/>
      <c r="D157" s="153"/>
      <c r="E157" s="163"/>
      <c r="F157" s="114"/>
      <c r="G157" s="164"/>
      <c r="H157" s="164"/>
      <c r="I157" s="164"/>
      <c r="J157" s="544"/>
    </row>
    <row r="158" spans="1:10" thickBot="1">
      <c r="A158" s="114"/>
      <c r="B158" s="165"/>
      <c r="C158" s="165"/>
      <c r="D158" s="165"/>
      <c r="E158" s="153"/>
      <c r="F158" s="153"/>
      <c r="G158" s="153"/>
      <c r="H158" s="153"/>
      <c r="I158" s="153"/>
      <c r="J158" s="278"/>
    </row>
    <row r="159" spans="1:10" ht="15">
      <c r="A159" s="114"/>
      <c r="B159" s="1187" t="s">
        <v>74</v>
      </c>
      <c r="C159" s="1187"/>
      <c r="D159" s="1187"/>
      <c r="E159" s="1187"/>
      <c r="F159" s="1187"/>
      <c r="G159" s="1187"/>
      <c r="H159" s="1188"/>
      <c r="I159" s="1189"/>
      <c r="J159" s="546" t="s">
        <v>75</v>
      </c>
    </row>
    <row r="160" spans="1:10" ht="15">
      <c r="A160" s="114"/>
      <c r="B160" s="1181" t="str">
        <f>TIT.201</f>
        <v xml:space="preserve">FL.26/304.13/04734 - CENTRAL DE UTILIDADES - MANUTENÇÃO </v>
      </c>
      <c r="C160" s="1181"/>
      <c r="D160" s="1181"/>
      <c r="E160" s="1181"/>
      <c r="F160" s="1181"/>
      <c r="G160" s="1181"/>
      <c r="H160" s="1182"/>
      <c r="I160" s="1183"/>
      <c r="J160" s="547">
        <f>A50.201</f>
        <v>7052</v>
      </c>
    </row>
    <row r="161" spans="1:10" ht="15">
      <c r="A161" s="114"/>
      <c r="B161" s="1181" t="str">
        <f>TIT.202</f>
        <v>FL.26/304.13/04738 - CENTRAL DE UTILIDADES - REFEITÓRIO</v>
      </c>
      <c r="C161" s="1181"/>
      <c r="D161" s="1181"/>
      <c r="E161" s="1181"/>
      <c r="F161" s="1181"/>
      <c r="G161" s="1181"/>
      <c r="H161" s="1182"/>
      <c r="I161" s="1183"/>
      <c r="J161" s="547">
        <f>A50.202</f>
        <v>3309</v>
      </c>
    </row>
    <row r="162" spans="1:10" ht="15">
      <c r="A162" s="114"/>
      <c r="B162" s="1181" t="str">
        <f>TIT.203</f>
        <v>FL.26/304.13/04743 - CENTRAL DE UTILIDADES - SUBESTAÇÃO</v>
      </c>
      <c r="C162" s="1181"/>
      <c r="D162" s="1181"/>
      <c r="E162" s="1181"/>
      <c r="F162" s="1181"/>
      <c r="G162" s="1181"/>
      <c r="H162" s="1182"/>
      <c r="I162" s="1183"/>
      <c r="J162" s="547">
        <f>A50.203</f>
        <v>10585</v>
      </c>
    </row>
    <row r="163" spans="1:10" ht="15">
      <c r="A163" s="114"/>
      <c r="B163" s="1181" t="str">
        <f>TIT.204</f>
        <v>FL.26/302.13/04751 - CENTRAL DE UTILIDADES - GUARITA</v>
      </c>
      <c r="C163" s="1181"/>
      <c r="D163" s="1181"/>
      <c r="E163" s="1181"/>
      <c r="F163" s="1181"/>
      <c r="G163" s="1181"/>
      <c r="H163" s="1182"/>
      <c r="I163" s="1183"/>
      <c r="J163" s="547">
        <f>A50.204</f>
        <v>1408</v>
      </c>
    </row>
    <row r="164" spans="1:10" ht="15">
      <c r="A164" s="114"/>
      <c r="B164" s="1181" t="str">
        <f>TIT.205</f>
        <v>FL.26/302.13/04753 - CUT - ACESSO PASSARELA TÉCNICA</v>
      </c>
      <c r="C164" s="1181"/>
      <c r="D164" s="1181"/>
      <c r="E164" s="1181"/>
      <c r="F164" s="1181"/>
      <c r="G164" s="1181"/>
      <c r="H164" s="1182"/>
      <c r="I164" s="1183"/>
      <c r="J164" s="547">
        <f>A50.205</f>
        <v>6129</v>
      </c>
    </row>
    <row r="165" spans="1:10" ht="15">
      <c r="A165" s="114"/>
      <c r="B165" s="1181" t="str">
        <f>TIT.206</f>
        <v>FL.26/304.13/04756 - CENTRAL DE UTILIDADES - OFICINA DE MANUTENÇÃO</v>
      </c>
      <c r="C165" s="1181"/>
      <c r="D165" s="1181"/>
      <c r="E165" s="1181"/>
      <c r="F165" s="1181"/>
      <c r="G165" s="1181"/>
      <c r="H165" s="1182"/>
      <c r="I165" s="1183"/>
      <c r="J165" s="547">
        <f>A50.206</f>
        <v>1735</v>
      </c>
    </row>
    <row r="166" spans="1:10" ht="15">
      <c r="A166" s="114"/>
      <c r="B166" s="1181" t="str">
        <f>TIT.207</f>
        <v xml:space="preserve">FL.26/304.13/04759 - RESERVATÓRIO APOIADO DE ÁGUA POTÁVEL </v>
      </c>
      <c r="C166" s="1181"/>
      <c r="D166" s="1181"/>
      <c r="E166" s="1181"/>
      <c r="F166" s="1181"/>
      <c r="G166" s="1181"/>
      <c r="H166" s="1182"/>
      <c r="I166" s="1183"/>
      <c r="J166" s="547">
        <f>A50.207</f>
        <v>13509</v>
      </c>
    </row>
    <row r="167" spans="1:10" ht="15">
      <c r="A167" s="114"/>
      <c r="B167" s="1181" t="str">
        <f>TIT.208</f>
        <v>FL.26/304.13/04765 - RESERVATÓRIO DE ÁGUA - NORMAL E REUSO</v>
      </c>
      <c r="C167" s="1181"/>
      <c r="D167" s="1181"/>
      <c r="E167" s="1181"/>
      <c r="F167" s="1181"/>
      <c r="G167" s="1181"/>
      <c r="H167" s="1182"/>
      <c r="I167" s="1183"/>
      <c r="J167" s="547">
        <f>A50.208</f>
        <v>61192</v>
      </c>
    </row>
    <row r="168" spans="1:10" ht="15">
      <c r="A168" s="114"/>
      <c r="B168" s="1181" t="str">
        <f>TIT.209</f>
        <v>FL.17/302.13/05743 - CENTRAL DE UTILIDADES - GUARITA - ESTACIONAMENTO</v>
      </c>
      <c r="C168" s="1181"/>
      <c r="D168" s="1181"/>
      <c r="E168" s="1181"/>
      <c r="F168" s="1181"/>
      <c r="G168" s="1181"/>
      <c r="H168" s="1182"/>
      <c r="I168" s="1183"/>
      <c r="J168" s="547">
        <f>A50.209</f>
        <v>400</v>
      </c>
    </row>
    <row r="169" spans="1:10" ht="15">
      <c r="A169" s="114"/>
      <c r="B169" s="1181"/>
      <c r="C169" s="1181"/>
      <c r="D169" s="1181"/>
      <c r="E169" s="1181"/>
      <c r="F169" s="1181"/>
      <c r="G169" s="1181"/>
      <c r="H169" s="1182"/>
      <c r="I169" s="1183"/>
      <c r="J169" s="562"/>
    </row>
    <row r="170" spans="1:10" thickBot="1">
      <c r="A170" s="114"/>
      <c r="B170" s="1193" t="s">
        <v>76</v>
      </c>
      <c r="C170" s="1193"/>
      <c r="D170" s="1193"/>
      <c r="E170" s="1193"/>
      <c r="F170" s="1193"/>
      <c r="G170" s="1193"/>
      <c r="H170" s="1194"/>
      <c r="I170" s="1195"/>
      <c r="J170" s="549">
        <f>SUM(J160:J168)</f>
        <v>105319</v>
      </c>
    </row>
    <row r="171" spans="1:10" thickBot="1">
      <c r="A171" s="114"/>
      <c r="B171" s="1196" t="s">
        <v>77</v>
      </c>
      <c r="C171" s="1196"/>
      <c r="D171" s="1196"/>
      <c r="E171" s="1196"/>
      <c r="F171" s="1196"/>
      <c r="G171" s="1196"/>
      <c r="H171" s="1196"/>
      <c r="I171" s="1196"/>
      <c r="J171" s="573"/>
    </row>
    <row r="172" spans="1:10" ht="15">
      <c r="A172" s="114"/>
      <c r="B172" s="551" t="s">
        <v>92</v>
      </c>
      <c r="C172" s="154"/>
      <c r="D172" s="154"/>
      <c r="E172" s="154"/>
      <c r="F172" s="154"/>
      <c r="G172" s="154"/>
      <c r="H172" s="154"/>
      <c r="I172" s="154"/>
      <c r="J172" s="278"/>
    </row>
    <row r="173" spans="1:10" thickBot="1">
      <c r="A173" s="114"/>
      <c r="B173" s="155"/>
      <c r="C173" s="155"/>
      <c r="D173" s="155"/>
      <c r="E173" s="155"/>
      <c r="F173" s="155"/>
      <c r="G173" s="155"/>
      <c r="H173" s="155"/>
      <c r="I173" s="155"/>
      <c r="J173" s="574"/>
    </row>
    <row r="174" spans="1:10" thickTop="1">
      <c r="A174" s="114"/>
      <c r="B174" s="1211" t="s">
        <v>57</v>
      </c>
      <c r="C174" s="1211"/>
      <c r="D174" s="1211"/>
      <c r="E174" s="1211"/>
      <c r="F174" s="1211"/>
      <c r="G174" s="1211"/>
      <c r="H174" s="1211"/>
      <c r="I174" s="1211"/>
      <c r="J174" s="1212"/>
    </row>
    <row r="175" spans="1:10" ht="44.25" customHeight="1">
      <c r="A175" s="114"/>
      <c r="B175" s="1213" t="str">
        <f>'PSQ-SUPER'!C60</f>
        <v>Fornecimento, Dobra e Montagem de Aço CA-60</v>
      </c>
      <c r="C175" s="1213"/>
      <c r="D175" s="1213"/>
      <c r="E175" s="1213"/>
      <c r="F175" s="1213"/>
      <c r="G175" s="1213"/>
      <c r="H175" s="1213"/>
      <c r="I175" s="1213"/>
      <c r="J175" s="541"/>
    </row>
    <row r="176" spans="1:10" ht="15">
      <c r="A176" s="114"/>
      <c r="B176" s="1214" t="s">
        <v>7</v>
      </c>
      <c r="C176" s="1215"/>
      <c r="D176" s="1220" t="s">
        <v>70</v>
      </c>
      <c r="E176" s="1221"/>
      <c r="F176" s="1221"/>
      <c r="G176" s="1222"/>
      <c r="H176" s="1223" t="s">
        <v>4</v>
      </c>
      <c r="I176" s="1224"/>
      <c r="J176" s="365" t="s">
        <v>71</v>
      </c>
    </row>
    <row r="177" spans="1:10" ht="56.25" customHeight="1" thickBot="1">
      <c r="A177" s="114"/>
      <c r="B177" s="1278" t="str">
        <f>'PSQ-SUPER'!B60</f>
        <v>04.03.120.02</v>
      </c>
      <c r="C177" s="1279"/>
      <c r="D177" s="1218" t="str">
        <f>B175</f>
        <v>Fornecimento, Dobra e Montagem de Aço CA-60</v>
      </c>
      <c r="E177" s="1219"/>
      <c r="F177" s="1219"/>
      <c r="G177" s="1195"/>
      <c r="H177" s="1184" t="str">
        <f>'PSQ-SUPER'!D60</f>
        <v>kg</v>
      </c>
      <c r="I177" s="1185"/>
      <c r="J177" s="542">
        <f>J193</f>
        <v>9340</v>
      </c>
    </row>
    <row r="178" spans="1:10" ht="15">
      <c r="A178" s="114"/>
      <c r="B178" s="1186" t="s">
        <v>72</v>
      </c>
      <c r="C178" s="1186"/>
      <c r="D178" s="1186"/>
      <c r="E178" s="1186"/>
      <c r="F178" s="1186"/>
      <c r="G178" s="1186"/>
      <c r="H178" s="1186"/>
      <c r="I178" s="1186"/>
      <c r="J178" s="572"/>
    </row>
    <row r="179" spans="1:10" ht="15">
      <c r="A179" s="114"/>
      <c r="B179" s="162" t="str">
        <f>'Pág 2'!$C$23</f>
        <v xml:space="preserve">A especificação propriamente dita, a forma de execução, se for o caso e o critério de medição são descritas no(s) seguinte(s) documento(s): </v>
      </c>
      <c r="C179" s="168"/>
      <c r="D179" s="168"/>
      <c r="E179" s="168"/>
      <c r="F179" s="168"/>
      <c r="G179" s="168"/>
      <c r="H179" s="162" t="str">
        <f>'Pág 2'!$C$24</f>
        <v>FL.01/302.92/04538 - Especificação Técnica</v>
      </c>
      <c r="I179" s="168"/>
      <c r="J179" s="168"/>
    </row>
    <row r="180" spans="1:10" ht="15">
      <c r="A180" s="114"/>
      <c r="B180" s="163" t="str">
        <f>'Pág 2'!$C$15</f>
        <v xml:space="preserve">Foram utilizadas as premissas descritas no(s) seguinte(s)  documento(s):  </v>
      </c>
      <c r="C180" s="164"/>
      <c r="D180" s="164"/>
      <c r="E180" s="163" t="str">
        <f>'Pág 2'!$C$17</f>
        <v xml:space="preserve">FL.01/302.76/04537 - Memorial de Cálculo e Dimensionamento </v>
      </c>
      <c r="F180" s="114"/>
      <c r="G180" s="164"/>
      <c r="H180" s="164"/>
      <c r="I180" s="164"/>
      <c r="J180" s="164"/>
    </row>
    <row r="181" spans="1:10" ht="15">
      <c r="A181" s="114"/>
      <c r="B181" s="163" t="s">
        <v>1803</v>
      </c>
      <c r="C181" s="153"/>
      <c r="D181" s="153"/>
      <c r="E181" s="163"/>
      <c r="F181" s="114"/>
      <c r="G181" s="164"/>
      <c r="H181" s="164"/>
      <c r="I181" s="164"/>
      <c r="J181" s="544"/>
    </row>
    <row r="182" spans="1:10" thickBot="1">
      <c r="A182" s="114"/>
      <c r="B182" s="165"/>
      <c r="C182" s="165"/>
      <c r="D182" s="165"/>
      <c r="E182" s="153"/>
      <c r="F182" s="153"/>
      <c r="G182" s="153"/>
      <c r="H182" s="153"/>
      <c r="I182" s="153"/>
      <c r="J182" s="278"/>
    </row>
    <row r="183" spans="1:10" ht="15">
      <c r="A183" s="114"/>
      <c r="B183" s="1187" t="s">
        <v>74</v>
      </c>
      <c r="C183" s="1187"/>
      <c r="D183" s="1187"/>
      <c r="E183" s="1187"/>
      <c r="F183" s="1187"/>
      <c r="G183" s="1187"/>
      <c r="H183" s="1188"/>
      <c r="I183" s="1189"/>
      <c r="J183" s="546" t="s">
        <v>75</v>
      </c>
    </row>
    <row r="184" spans="1:10" ht="15">
      <c r="A184" s="114"/>
      <c r="B184" s="1181" t="str">
        <f>TIT.201</f>
        <v xml:space="preserve">FL.26/304.13/04734 - CENTRAL DE UTILIDADES - MANUTENÇÃO </v>
      </c>
      <c r="C184" s="1181"/>
      <c r="D184" s="1181"/>
      <c r="E184" s="1181"/>
      <c r="F184" s="1181"/>
      <c r="G184" s="1181"/>
      <c r="H184" s="1182"/>
      <c r="I184" s="1183"/>
      <c r="J184" s="547">
        <f>A60.201</f>
        <v>2484</v>
      </c>
    </row>
    <row r="185" spans="1:10" ht="15">
      <c r="A185" s="114"/>
      <c r="B185" s="1181" t="str">
        <f>TIT.202</f>
        <v>FL.26/304.13/04738 - CENTRAL DE UTILIDADES - REFEITÓRIO</v>
      </c>
      <c r="C185" s="1181"/>
      <c r="D185" s="1181"/>
      <c r="E185" s="1181"/>
      <c r="F185" s="1181"/>
      <c r="G185" s="1181"/>
      <c r="H185" s="1182"/>
      <c r="I185" s="1183"/>
      <c r="J185" s="547">
        <f>A60.202</f>
        <v>2420</v>
      </c>
    </row>
    <row r="186" spans="1:10" ht="15">
      <c r="A186" s="114"/>
      <c r="B186" s="1181" t="str">
        <f>TIT.203</f>
        <v>FL.26/304.13/04743 - CENTRAL DE UTILIDADES - SUBESTAÇÃO</v>
      </c>
      <c r="C186" s="1181"/>
      <c r="D186" s="1181"/>
      <c r="E186" s="1181"/>
      <c r="F186" s="1181"/>
      <c r="G186" s="1181"/>
      <c r="H186" s="1182"/>
      <c r="I186" s="1183"/>
      <c r="J186" s="547">
        <f>A60.203</f>
        <v>3627</v>
      </c>
    </row>
    <row r="187" spans="1:10" ht="15">
      <c r="A187" s="114"/>
      <c r="B187" s="1181" t="str">
        <f>TIT.204</f>
        <v>FL.26/302.13/04751 - CENTRAL DE UTILIDADES - GUARITA</v>
      </c>
      <c r="C187" s="1181"/>
      <c r="D187" s="1181"/>
      <c r="E187" s="1181"/>
      <c r="F187" s="1181"/>
      <c r="G187" s="1181"/>
      <c r="H187" s="1182"/>
      <c r="I187" s="1183"/>
      <c r="J187" s="547">
        <f>A60.204</f>
        <v>12</v>
      </c>
    </row>
    <row r="188" spans="1:10" ht="15">
      <c r="A188" s="114"/>
      <c r="B188" s="1181" t="str">
        <f>TIT.205</f>
        <v>FL.26/302.13/04753 - CUT - ACESSO PASSARELA TÉCNICA</v>
      </c>
      <c r="C188" s="1181"/>
      <c r="D188" s="1181"/>
      <c r="E188" s="1181"/>
      <c r="F188" s="1181"/>
      <c r="G188" s="1181"/>
      <c r="H188" s="1182"/>
      <c r="I188" s="1183"/>
      <c r="J188" s="547">
        <f>A60.205</f>
        <v>146</v>
      </c>
    </row>
    <row r="189" spans="1:10" ht="15">
      <c r="A189" s="114"/>
      <c r="B189" s="1181" t="str">
        <f>TIT.206</f>
        <v>FL.26/304.13/04756 - CENTRAL DE UTILIDADES - OFICINA DE MANUTENÇÃO</v>
      </c>
      <c r="C189" s="1181"/>
      <c r="D189" s="1181"/>
      <c r="E189" s="1181"/>
      <c r="F189" s="1181"/>
      <c r="G189" s="1181"/>
      <c r="H189" s="1182"/>
      <c r="I189" s="1183"/>
      <c r="J189" s="547">
        <f>A60.206</f>
        <v>385</v>
      </c>
    </row>
    <row r="190" spans="1:10" ht="15">
      <c r="A190" s="114"/>
      <c r="B190" s="1181" t="str">
        <f>TIT.208</f>
        <v>FL.26/304.13/04765 - RESERVATÓRIO DE ÁGUA - NORMAL E REUSO</v>
      </c>
      <c r="C190" s="1181"/>
      <c r="D190" s="1181"/>
      <c r="E190" s="1181"/>
      <c r="F190" s="1181"/>
      <c r="G190" s="1181"/>
      <c r="H190" s="1182"/>
      <c r="I190" s="1183"/>
      <c r="J190" s="547">
        <f>A60.208</f>
        <v>250</v>
      </c>
    </row>
    <row r="191" spans="1:10" ht="15">
      <c r="A191" s="114"/>
      <c r="B191" s="1181" t="str">
        <f>TIT.209</f>
        <v>FL.17/302.13/05743 - CENTRAL DE UTILIDADES - GUARITA - ESTACIONAMENTO</v>
      </c>
      <c r="C191" s="1181"/>
      <c r="D191" s="1181"/>
      <c r="E191" s="1181"/>
      <c r="F191" s="1181"/>
      <c r="G191" s="1181"/>
      <c r="H191" s="1182"/>
      <c r="I191" s="1183"/>
      <c r="J191" s="547">
        <f>A60.209</f>
        <v>16</v>
      </c>
    </row>
    <row r="192" spans="1:10" ht="15">
      <c r="A192" s="114"/>
      <c r="B192" s="1181"/>
      <c r="C192" s="1181"/>
      <c r="D192" s="1181"/>
      <c r="E192" s="1181"/>
      <c r="F192" s="1181"/>
      <c r="G192" s="1181"/>
      <c r="H192" s="1182"/>
      <c r="I192" s="1183"/>
      <c r="J192" s="562"/>
    </row>
    <row r="193" spans="1:10" thickBot="1">
      <c r="A193" s="114"/>
      <c r="B193" s="1193" t="s">
        <v>76</v>
      </c>
      <c r="C193" s="1193"/>
      <c r="D193" s="1193"/>
      <c r="E193" s="1193"/>
      <c r="F193" s="1193"/>
      <c r="G193" s="1193"/>
      <c r="H193" s="1194"/>
      <c r="I193" s="1195"/>
      <c r="J193" s="549">
        <f>SUM(J184:J191)</f>
        <v>9340</v>
      </c>
    </row>
    <row r="194" spans="1:10" thickBot="1">
      <c r="A194" s="114"/>
      <c r="B194" s="1196" t="s">
        <v>77</v>
      </c>
      <c r="C194" s="1196"/>
      <c r="D194" s="1196"/>
      <c r="E194" s="1196"/>
      <c r="F194" s="1196"/>
      <c r="G194" s="1196"/>
      <c r="H194" s="1196"/>
      <c r="I194" s="1196"/>
      <c r="J194" s="573"/>
    </row>
    <row r="195" spans="1:10" ht="15">
      <c r="A195" s="114"/>
      <c r="B195" s="551" t="s">
        <v>92</v>
      </c>
      <c r="C195" s="154"/>
      <c r="D195" s="154"/>
      <c r="E195" s="154"/>
      <c r="F195" s="154"/>
      <c r="G195" s="154"/>
      <c r="H195" s="154"/>
      <c r="I195" s="154"/>
      <c r="J195" s="278"/>
    </row>
    <row r="196" spans="1:10" thickBot="1">
      <c r="A196" s="114"/>
      <c r="B196" s="155"/>
      <c r="C196" s="155"/>
      <c r="D196" s="155"/>
      <c r="E196" s="155"/>
      <c r="F196" s="155"/>
      <c r="G196" s="155"/>
      <c r="H196" s="155"/>
      <c r="I196" s="155"/>
      <c r="J196" s="574"/>
    </row>
    <row r="197" spans="1:10" thickTop="1">
      <c r="A197" s="114"/>
      <c r="B197" s="1211" t="s">
        <v>57</v>
      </c>
      <c r="C197" s="1211"/>
      <c r="D197" s="1211"/>
      <c r="E197" s="1211"/>
      <c r="F197" s="1211"/>
      <c r="G197" s="1211"/>
      <c r="H197" s="1211"/>
      <c r="I197" s="1211"/>
      <c r="J197" s="1212"/>
    </row>
    <row r="198" spans="1:10" ht="44.25" customHeight="1">
      <c r="A198" s="114"/>
      <c r="B198" s="1213" t="str">
        <f>'PSQ-SUPER'!C64</f>
        <v>Fornecimento e Aplicação de Concreto (fck=30MPa)</v>
      </c>
      <c r="C198" s="1213"/>
      <c r="D198" s="1213"/>
      <c r="E198" s="1213"/>
      <c r="F198" s="1213"/>
      <c r="G198" s="1213"/>
      <c r="H198" s="1213"/>
      <c r="I198" s="1213"/>
      <c r="J198" s="541"/>
    </row>
    <row r="199" spans="1:10" ht="15">
      <c r="A199" s="114"/>
      <c r="B199" s="1214" t="s">
        <v>7</v>
      </c>
      <c r="C199" s="1215"/>
      <c r="D199" s="1220" t="s">
        <v>70</v>
      </c>
      <c r="E199" s="1221"/>
      <c r="F199" s="1221"/>
      <c r="G199" s="1222"/>
      <c r="H199" s="1223" t="s">
        <v>4</v>
      </c>
      <c r="I199" s="1224"/>
      <c r="J199" s="365" t="s">
        <v>71</v>
      </c>
    </row>
    <row r="200" spans="1:10" ht="56.25" customHeight="1" thickBot="1">
      <c r="A200" s="114"/>
      <c r="B200" s="1278" t="str">
        <f>'PSQ-SUPER'!B64</f>
        <v>04.03.130.01</v>
      </c>
      <c r="C200" s="1279"/>
      <c r="D200" s="1218" t="str">
        <f>B198</f>
        <v>Fornecimento e Aplicação de Concreto (fck=30MPa)</v>
      </c>
      <c r="E200" s="1219"/>
      <c r="F200" s="1219"/>
      <c r="G200" s="1195"/>
      <c r="H200" s="1184" t="str">
        <f>'PSQ-SUPER'!D64</f>
        <v>m³</v>
      </c>
      <c r="I200" s="1185"/>
      <c r="J200" s="542">
        <f>J217</f>
        <v>830.62925500000006</v>
      </c>
    </row>
    <row r="201" spans="1:10" ht="15">
      <c r="A201" s="114"/>
      <c r="B201" s="1186" t="s">
        <v>72</v>
      </c>
      <c r="C201" s="1186"/>
      <c r="D201" s="1186"/>
      <c r="E201" s="1186"/>
      <c r="F201" s="1186"/>
      <c r="G201" s="1186"/>
      <c r="H201" s="1186"/>
      <c r="I201" s="1186"/>
      <c r="J201" s="572"/>
    </row>
    <row r="202" spans="1:10" ht="15">
      <c r="A202" s="114"/>
      <c r="B202" s="162" t="str">
        <f>'Pág 2'!$C$23</f>
        <v xml:space="preserve">A especificação propriamente dita, a forma de execução, se for o caso e o critério de medição são descritas no(s) seguinte(s) documento(s): </v>
      </c>
      <c r="C202" s="168"/>
      <c r="D202" s="168"/>
      <c r="E202" s="168"/>
      <c r="F202" s="168"/>
      <c r="G202" s="168"/>
      <c r="H202" s="162" t="str">
        <f>'Pág 2'!$C$24</f>
        <v>FL.01/302.92/04538 - Especificação Técnica</v>
      </c>
      <c r="I202" s="168"/>
      <c r="J202" s="168"/>
    </row>
    <row r="203" spans="1:10" ht="15">
      <c r="A203" s="114"/>
      <c r="B203" s="163" t="str">
        <f>'Pág 2'!$C$15</f>
        <v xml:space="preserve">Foram utilizadas as premissas descritas no(s) seguinte(s)  documento(s):  </v>
      </c>
      <c r="C203" s="164"/>
      <c r="D203" s="164"/>
      <c r="E203" s="163" t="str">
        <f>'Pág 2'!$C$17</f>
        <v xml:space="preserve">FL.01/302.76/04537 - Memorial de Cálculo e Dimensionamento </v>
      </c>
      <c r="F203" s="114"/>
      <c r="G203" s="164"/>
      <c r="H203" s="164"/>
      <c r="I203" s="164"/>
      <c r="J203" s="164"/>
    </row>
    <row r="204" spans="1:10" ht="15">
      <c r="A204" s="114"/>
      <c r="B204" s="163" t="s">
        <v>73</v>
      </c>
      <c r="C204" s="153"/>
      <c r="D204" s="153"/>
      <c r="E204" s="163"/>
      <c r="F204" s="114"/>
      <c r="G204" s="164"/>
      <c r="H204" s="164"/>
      <c r="I204" s="164"/>
      <c r="J204" s="544"/>
    </row>
    <row r="205" spans="1:10" thickBot="1">
      <c r="A205" s="114"/>
      <c r="B205" s="165"/>
      <c r="C205" s="165"/>
      <c r="D205" s="165"/>
      <c r="E205" s="153"/>
      <c r="F205" s="153"/>
      <c r="G205" s="153"/>
      <c r="H205" s="153"/>
      <c r="I205" s="153"/>
      <c r="J205" s="278"/>
    </row>
    <row r="206" spans="1:10" ht="15">
      <c r="A206" s="114"/>
      <c r="B206" s="1187" t="s">
        <v>74</v>
      </c>
      <c r="C206" s="1187"/>
      <c r="D206" s="1187"/>
      <c r="E206" s="1187"/>
      <c r="F206" s="1187"/>
      <c r="G206" s="1187"/>
      <c r="H206" s="1188"/>
      <c r="I206" s="1189"/>
      <c r="J206" s="546" t="s">
        <v>75</v>
      </c>
    </row>
    <row r="207" spans="1:10" ht="15" customHeight="1">
      <c r="A207" s="114"/>
      <c r="B207" s="1181" t="str">
        <f>TIT.201</f>
        <v xml:space="preserve">FL.26/304.13/04734 - CENTRAL DE UTILIDADES - MANUTENÇÃO </v>
      </c>
      <c r="C207" s="1181"/>
      <c r="D207" s="1181"/>
      <c r="E207" s="1181"/>
      <c r="F207" s="1181"/>
      <c r="G207" s="1181"/>
      <c r="H207" s="1182"/>
      <c r="I207" s="1183"/>
      <c r="J207" s="547">
        <f>C.201</f>
        <v>107.2016</v>
      </c>
    </row>
    <row r="208" spans="1:10" ht="15" customHeight="1">
      <c r="A208" s="114"/>
      <c r="B208" s="1181" t="str">
        <f>TIT.202</f>
        <v>FL.26/304.13/04738 - CENTRAL DE UTILIDADES - REFEITÓRIO</v>
      </c>
      <c r="C208" s="1181"/>
      <c r="D208" s="1181"/>
      <c r="E208" s="1181"/>
      <c r="F208" s="1181"/>
      <c r="G208" s="1181"/>
      <c r="H208" s="1182"/>
      <c r="I208" s="1183"/>
      <c r="J208" s="547">
        <f>C.202</f>
        <v>94.696799999999996</v>
      </c>
    </row>
    <row r="209" spans="1:10" ht="15" customHeight="1">
      <c r="A209" s="114"/>
      <c r="B209" s="1181" t="str">
        <f>TIT.203</f>
        <v>FL.26/304.13/04743 - CENTRAL DE UTILIDADES - SUBESTAÇÃO</v>
      </c>
      <c r="C209" s="1181"/>
      <c r="D209" s="1181"/>
      <c r="E209" s="1181"/>
      <c r="F209" s="1181"/>
      <c r="G209" s="1181"/>
      <c r="H209" s="1182"/>
      <c r="I209" s="1183"/>
      <c r="J209" s="547">
        <f>C.203</f>
        <v>270.63037500000002</v>
      </c>
    </row>
    <row r="210" spans="1:10" ht="15">
      <c r="A210" s="114"/>
      <c r="B210" s="1181" t="str">
        <f>TIT.204</f>
        <v>FL.26/302.13/04751 - CENTRAL DE UTILIDADES - GUARITA</v>
      </c>
      <c r="C210" s="1181"/>
      <c r="D210" s="1181"/>
      <c r="E210" s="1181"/>
      <c r="F210" s="1181"/>
      <c r="G210" s="1181"/>
      <c r="H210" s="1182"/>
      <c r="I210" s="1183"/>
      <c r="J210" s="547">
        <f>C.204</f>
        <v>5.109</v>
      </c>
    </row>
    <row r="211" spans="1:10" ht="15">
      <c r="A211" s="114"/>
      <c r="B211" s="1181" t="str">
        <f>TIT.205</f>
        <v>FL.26/302.13/04753 - CUT - ACESSO PASSARELA TÉCNICA</v>
      </c>
      <c r="C211" s="1181"/>
      <c r="D211" s="1181"/>
      <c r="E211" s="1181"/>
      <c r="F211" s="1181"/>
      <c r="G211" s="1181"/>
      <c r="H211" s="1182"/>
      <c r="I211" s="1183"/>
      <c r="J211" s="547">
        <f>C.205</f>
        <v>62.097945000000003</v>
      </c>
    </row>
    <row r="212" spans="1:10" ht="15">
      <c r="A212" s="114"/>
      <c r="B212" s="1181" t="str">
        <f>TIT.206</f>
        <v>FL.26/304.13/04756 - CENTRAL DE UTILIDADES - OFICINA DE MANUTENÇÃO</v>
      </c>
      <c r="C212" s="1181"/>
      <c r="D212" s="1181"/>
      <c r="E212" s="1181"/>
      <c r="F212" s="1181"/>
      <c r="G212" s="1181"/>
      <c r="H212" s="1182"/>
      <c r="I212" s="1183"/>
      <c r="J212" s="547">
        <f>C.206</f>
        <v>20.398800000000001</v>
      </c>
    </row>
    <row r="213" spans="1:10" ht="15">
      <c r="A213" s="114"/>
      <c r="B213" s="1181" t="str">
        <f>TIT.207</f>
        <v xml:space="preserve">FL.26/304.13/04759 - RESERVATÓRIO APOIADO DE ÁGUA POTÁVEL </v>
      </c>
      <c r="C213" s="1181"/>
      <c r="D213" s="1181"/>
      <c r="E213" s="1181"/>
      <c r="F213" s="1181"/>
      <c r="G213" s="1181"/>
      <c r="H213" s="1182"/>
      <c r="I213" s="1183"/>
      <c r="J213" s="547">
        <f>C.207</f>
        <v>95.391535000000005</v>
      </c>
    </row>
    <row r="214" spans="1:10" ht="15">
      <c r="A214" s="114"/>
      <c r="B214" s="1181" t="str">
        <f>TIT.208</f>
        <v>FL.26/304.13/04765 - RESERVATÓRIO DE ÁGUA - NORMAL E REUSO</v>
      </c>
      <c r="C214" s="1181"/>
      <c r="D214" s="1181"/>
      <c r="E214" s="1181"/>
      <c r="F214" s="1181"/>
      <c r="G214" s="1181"/>
      <c r="H214" s="1182"/>
      <c r="I214" s="1183"/>
      <c r="J214" s="547">
        <f>C.208</f>
        <v>171.40199999999999</v>
      </c>
    </row>
    <row r="215" spans="1:10" ht="15">
      <c r="A215" s="114"/>
      <c r="B215" s="1181" t="str">
        <f>TIT.209</f>
        <v>FL.17/302.13/05743 - CENTRAL DE UTILIDADES - GUARITA - ESTACIONAMENTO</v>
      </c>
      <c r="C215" s="1181"/>
      <c r="D215" s="1181"/>
      <c r="E215" s="1181"/>
      <c r="F215" s="1181"/>
      <c r="G215" s="1181"/>
      <c r="H215" s="1182"/>
      <c r="I215" s="1183"/>
      <c r="J215" s="547">
        <f>C.209</f>
        <v>3.7012</v>
      </c>
    </row>
    <row r="216" spans="1:10" ht="15">
      <c r="A216" s="114"/>
      <c r="B216" s="1181"/>
      <c r="C216" s="1181"/>
      <c r="D216" s="1181"/>
      <c r="E216" s="1181"/>
      <c r="F216" s="1181"/>
      <c r="G216" s="1181"/>
      <c r="H216" s="1182"/>
      <c r="I216" s="1183"/>
      <c r="J216" s="548"/>
    </row>
    <row r="217" spans="1:10" thickBot="1">
      <c r="A217" s="114"/>
      <c r="B217" s="1193" t="s">
        <v>76</v>
      </c>
      <c r="C217" s="1193"/>
      <c r="D217" s="1193"/>
      <c r="E217" s="1193"/>
      <c r="F217" s="1193"/>
      <c r="G217" s="1193"/>
      <c r="H217" s="1194"/>
      <c r="I217" s="1195"/>
      <c r="J217" s="549">
        <f>SUM(J207:J215)</f>
        <v>830.62925500000006</v>
      </c>
    </row>
    <row r="218" spans="1:10" thickBot="1">
      <c r="A218" s="114"/>
      <c r="B218" s="1196" t="s">
        <v>77</v>
      </c>
      <c r="C218" s="1196"/>
      <c r="D218" s="1196"/>
      <c r="E218" s="1196"/>
      <c r="F218" s="1196"/>
      <c r="G218" s="1196"/>
      <c r="H218" s="1196"/>
      <c r="I218" s="1196"/>
      <c r="J218" s="573"/>
    </row>
    <row r="219" spans="1:10" ht="15">
      <c r="A219" s="114"/>
      <c r="B219" s="551" t="s">
        <v>92</v>
      </c>
      <c r="C219" s="154"/>
      <c r="D219" s="154"/>
      <c r="E219" s="154"/>
      <c r="F219" s="154"/>
      <c r="G219" s="154"/>
      <c r="H219" s="154"/>
      <c r="I219" s="154"/>
      <c r="J219" s="278"/>
    </row>
    <row r="220" spans="1:10" thickBot="1">
      <c r="A220" s="114"/>
      <c r="B220" s="155"/>
      <c r="C220" s="155"/>
      <c r="D220" s="155"/>
      <c r="E220" s="155"/>
      <c r="F220" s="155"/>
      <c r="G220" s="155"/>
      <c r="H220" s="155"/>
      <c r="I220" s="155"/>
      <c r="J220" s="574"/>
    </row>
    <row r="221" spans="1:10" thickTop="1">
      <c r="A221" s="114"/>
      <c r="B221" s="1211" t="s">
        <v>57</v>
      </c>
      <c r="C221" s="1211"/>
      <c r="D221" s="1211"/>
      <c r="E221" s="1211"/>
      <c r="F221" s="1211"/>
      <c r="G221" s="1211"/>
      <c r="H221" s="1211"/>
      <c r="I221" s="1211"/>
      <c r="J221" s="1212"/>
    </row>
    <row r="222" spans="1:10" ht="44.25" customHeight="1">
      <c r="A222" s="114"/>
      <c r="B222" s="1213" t="str">
        <f>'PSQ-SUPER'!C76</f>
        <v>Fornecimento, transporte, lançamento, adensamento, acabamento e cura - lastro de concreto  Fck = 10 MPa</v>
      </c>
      <c r="C222" s="1213"/>
      <c r="D222" s="1213"/>
      <c r="E222" s="1213"/>
      <c r="F222" s="1213"/>
      <c r="G222" s="1213"/>
      <c r="H222" s="1213"/>
      <c r="I222" s="1213"/>
      <c r="J222" s="541"/>
    </row>
    <row r="223" spans="1:10" ht="15">
      <c r="A223" s="114"/>
      <c r="B223" s="1214" t="s">
        <v>7</v>
      </c>
      <c r="C223" s="1215"/>
      <c r="D223" s="1220" t="s">
        <v>70</v>
      </c>
      <c r="E223" s="1221"/>
      <c r="F223" s="1221"/>
      <c r="G223" s="1222"/>
      <c r="H223" s="1223" t="s">
        <v>4</v>
      </c>
      <c r="I223" s="1224"/>
      <c r="J223" s="365" t="s">
        <v>71</v>
      </c>
    </row>
    <row r="224" spans="1:10" ht="56.25" customHeight="1" thickBot="1">
      <c r="A224" s="114"/>
      <c r="B224" s="1278" t="str">
        <f>'PSQ-SUPER'!B76</f>
        <v>04.03.330.01</v>
      </c>
      <c r="C224" s="1279"/>
      <c r="D224" s="1218" t="str">
        <f>B222</f>
        <v>Fornecimento, transporte, lançamento, adensamento, acabamento e cura - lastro de concreto  Fck = 10 MPa</v>
      </c>
      <c r="E224" s="1219"/>
      <c r="F224" s="1219"/>
      <c r="G224" s="1195"/>
      <c r="H224" s="1184" t="str">
        <f>'PSQ-SUPER'!D76</f>
        <v>m³</v>
      </c>
      <c r="I224" s="1185"/>
      <c r="J224" s="542">
        <f>J239</f>
        <v>114.73423999999999</v>
      </c>
    </row>
    <row r="225" spans="1:10" ht="15">
      <c r="A225" s="114"/>
      <c r="B225" s="1186" t="s">
        <v>72</v>
      </c>
      <c r="C225" s="1186"/>
      <c r="D225" s="1186"/>
      <c r="E225" s="1186"/>
      <c r="F225" s="1186"/>
      <c r="G225" s="1186"/>
      <c r="H225" s="1186"/>
      <c r="I225" s="1186"/>
      <c r="J225" s="572"/>
    </row>
    <row r="226" spans="1:10" ht="15">
      <c r="A226" s="114"/>
      <c r="B226" s="162" t="str">
        <f>'Pág 2'!$C$23</f>
        <v xml:space="preserve">A especificação propriamente dita, a forma de execução, se for o caso e o critério de medição são descritas no(s) seguinte(s) documento(s): </v>
      </c>
      <c r="C226" s="168"/>
      <c r="D226" s="168"/>
      <c r="E226" s="168"/>
      <c r="F226" s="168"/>
      <c r="G226" s="168"/>
      <c r="H226" s="162" t="str">
        <f>'Pág 2'!$C$24</f>
        <v>FL.01/302.92/04538 - Especificação Técnica</v>
      </c>
      <c r="I226" s="168"/>
      <c r="J226" s="168"/>
    </row>
    <row r="227" spans="1:10" ht="15">
      <c r="A227" s="114"/>
      <c r="B227" s="163" t="str">
        <f>'Pág 2'!$C$15</f>
        <v xml:space="preserve">Foram utilizadas as premissas descritas no(s) seguinte(s)  documento(s):  </v>
      </c>
      <c r="C227" s="164"/>
      <c r="D227" s="164"/>
      <c r="E227" s="163" t="str">
        <f>'Pág 2'!$C$17</f>
        <v xml:space="preserve">FL.01/302.76/04537 - Memorial de Cálculo e Dimensionamento </v>
      </c>
      <c r="F227" s="114"/>
      <c r="G227" s="164"/>
      <c r="H227" s="164"/>
      <c r="I227" s="164"/>
      <c r="J227" s="164"/>
    </row>
    <row r="228" spans="1:10" ht="15">
      <c r="A228" s="114"/>
      <c r="B228" s="163" t="s">
        <v>73</v>
      </c>
      <c r="C228" s="153"/>
      <c r="D228" s="153"/>
      <c r="E228" s="163"/>
      <c r="F228" s="114"/>
      <c r="G228" s="164"/>
      <c r="H228" s="164"/>
      <c r="I228" s="164"/>
      <c r="J228" s="544"/>
    </row>
    <row r="229" spans="1:10" thickBot="1">
      <c r="A229" s="114"/>
      <c r="B229" s="165"/>
      <c r="C229" s="165"/>
      <c r="D229" s="165"/>
      <c r="E229" s="153"/>
      <c r="F229" s="153"/>
      <c r="G229" s="153"/>
      <c r="H229" s="153"/>
      <c r="I229" s="153"/>
      <c r="J229" s="278"/>
    </row>
    <row r="230" spans="1:10" ht="15">
      <c r="A230" s="114"/>
      <c r="B230" s="1187" t="s">
        <v>74</v>
      </c>
      <c r="C230" s="1187"/>
      <c r="D230" s="1187"/>
      <c r="E230" s="1187"/>
      <c r="F230" s="1187"/>
      <c r="G230" s="1187"/>
      <c r="H230" s="1188"/>
      <c r="I230" s="1189"/>
      <c r="J230" s="546" t="s">
        <v>75</v>
      </c>
    </row>
    <row r="231" spans="1:10" ht="15" customHeight="1">
      <c r="A231" s="114"/>
      <c r="B231" s="1181" t="str">
        <f>TIT.201</f>
        <v xml:space="preserve">FL.26/304.13/04734 - CENTRAL DE UTILIDADES - MANUTENÇÃO </v>
      </c>
      <c r="C231" s="1181"/>
      <c r="D231" s="1181"/>
      <c r="E231" s="1181"/>
      <c r="F231" s="1181"/>
      <c r="G231" s="1181"/>
      <c r="H231" s="1182"/>
      <c r="I231" s="1183"/>
      <c r="J231" s="547">
        <f>LC.201</f>
        <v>2.7066399999999997</v>
      </c>
    </row>
    <row r="232" spans="1:10" ht="15" customHeight="1">
      <c r="A232" s="114"/>
      <c r="B232" s="1181" t="str">
        <f>TIT.202</f>
        <v>FL.26/304.13/04738 - CENTRAL DE UTILIDADES - REFEITÓRIO</v>
      </c>
      <c r="C232" s="1181"/>
      <c r="D232" s="1181"/>
      <c r="E232" s="1181"/>
      <c r="F232" s="1181"/>
      <c r="G232" s="1181"/>
      <c r="H232" s="1182"/>
      <c r="I232" s="1183"/>
      <c r="J232" s="547">
        <f>LC.202</f>
        <v>32.89</v>
      </c>
    </row>
    <row r="233" spans="1:10" ht="15" customHeight="1">
      <c r="A233" s="114"/>
      <c r="B233" s="1181" t="str">
        <f>TIT.203</f>
        <v>FL.26/304.13/04743 - CENTRAL DE UTILIDADES - SUBESTAÇÃO</v>
      </c>
      <c r="C233" s="1181"/>
      <c r="D233" s="1181"/>
      <c r="E233" s="1181"/>
      <c r="F233" s="1181"/>
      <c r="G233" s="1181"/>
      <c r="H233" s="1182"/>
      <c r="I233" s="1183"/>
      <c r="J233" s="547">
        <f>LC.203</f>
        <v>43.385000000000005</v>
      </c>
    </row>
    <row r="234" spans="1:10" ht="15">
      <c r="A234" s="114"/>
      <c r="B234" s="1181" t="str">
        <f>TIT.205</f>
        <v>FL.26/302.13/04753 - CUT - ACESSO PASSARELA TÉCNICA</v>
      </c>
      <c r="C234" s="1181"/>
      <c r="D234" s="1181"/>
      <c r="E234" s="1181"/>
      <c r="F234" s="1181"/>
      <c r="G234" s="1181"/>
      <c r="H234" s="1182"/>
      <c r="I234" s="1183"/>
      <c r="J234" s="547">
        <f>LC.205</f>
        <v>1.7100000000000002</v>
      </c>
    </row>
    <row r="235" spans="1:10" ht="15">
      <c r="A235" s="114"/>
      <c r="B235" s="1181" t="str">
        <f>TIT.206</f>
        <v>FL.26/304.13/04756 - CENTRAL DE UTILIDADES - OFICINA DE MANUTENÇÃO</v>
      </c>
      <c r="C235" s="1181"/>
      <c r="D235" s="1181"/>
      <c r="E235" s="1181"/>
      <c r="F235" s="1181"/>
      <c r="G235" s="1181"/>
      <c r="H235" s="1182"/>
      <c r="I235" s="1183"/>
      <c r="J235" s="547">
        <f>LC.206</f>
        <v>5.1930000000000005</v>
      </c>
    </row>
    <row r="236" spans="1:10" ht="15">
      <c r="A236" s="114"/>
      <c r="B236" s="1181" t="str">
        <f>TIT.207</f>
        <v xml:space="preserve">FL.26/304.13/04759 - RESERVATÓRIO APOIADO DE ÁGUA POTÁVEL </v>
      </c>
      <c r="C236" s="1181"/>
      <c r="D236" s="1181"/>
      <c r="E236" s="1181"/>
      <c r="F236" s="1181"/>
      <c r="G236" s="1181"/>
      <c r="H236" s="1182"/>
      <c r="I236" s="1183"/>
      <c r="J236" s="547">
        <f>LC.207</f>
        <v>25.624600000000001</v>
      </c>
    </row>
    <row r="237" spans="1:10" ht="15">
      <c r="A237" s="114"/>
      <c r="B237" s="1181" t="str">
        <f>TIT.208</f>
        <v>FL.26/304.13/04765 - RESERVATÓRIO DE ÁGUA - NORMAL E REUSO</v>
      </c>
      <c r="C237" s="1181"/>
      <c r="D237" s="1181"/>
      <c r="E237" s="1181"/>
      <c r="F237" s="1181"/>
      <c r="G237" s="1181"/>
      <c r="H237" s="1182"/>
      <c r="I237" s="1183"/>
      <c r="J237" s="547">
        <f>LC.208</f>
        <v>3.2250000000000001</v>
      </c>
    </row>
    <row r="238" spans="1:10" ht="15">
      <c r="A238" s="114"/>
      <c r="B238" s="1181"/>
      <c r="C238" s="1181"/>
      <c r="D238" s="1181"/>
      <c r="E238" s="1181"/>
      <c r="F238" s="1181"/>
      <c r="G238" s="1181"/>
      <c r="H238" s="1182"/>
      <c r="I238" s="1183"/>
      <c r="J238" s="548"/>
    </row>
    <row r="239" spans="1:10" thickBot="1">
      <c r="A239" s="114"/>
      <c r="B239" s="1193" t="s">
        <v>76</v>
      </c>
      <c r="C239" s="1193"/>
      <c r="D239" s="1193"/>
      <c r="E239" s="1193"/>
      <c r="F239" s="1193"/>
      <c r="G239" s="1193"/>
      <c r="H239" s="1194"/>
      <c r="I239" s="1195"/>
      <c r="J239" s="549">
        <f>SUM(J231:J237)</f>
        <v>114.73423999999999</v>
      </c>
    </row>
    <row r="240" spans="1:10" thickBot="1">
      <c r="A240" s="114"/>
      <c r="B240" s="1196" t="s">
        <v>77</v>
      </c>
      <c r="C240" s="1196"/>
      <c r="D240" s="1196"/>
      <c r="E240" s="1196"/>
      <c r="F240" s="1196"/>
      <c r="G240" s="1196"/>
      <c r="H240" s="1196"/>
      <c r="I240" s="1196"/>
      <c r="J240" s="573"/>
    </row>
    <row r="241" spans="1:10" ht="15">
      <c r="A241" s="114"/>
      <c r="B241" s="551" t="s">
        <v>92</v>
      </c>
      <c r="C241" s="154"/>
      <c r="D241" s="154"/>
      <c r="E241" s="154"/>
      <c r="F241" s="154"/>
      <c r="G241" s="154"/>
      <c r="H241" s="154"/>
      <c r="I241" s="154"/>
      <c r="J241" s="278"/>
    </row>
    <row r="242" spans="1:10" thickBot="1">
      <c r="A242" s="114"/>
      <c r="B242" s="155"/>
      <c r="C242" s="155"/>
      <c r="D242" s="155"/>
      <c r="E242" s="155"/>
      <c r="F242" s="155"/>
      <c r="G242" s="155"/>
      <c r="H242" s="155"/>
      <c r="I242" s="155"/>
      <c r="J242" s="574"/>
    </row>
    <row r="243" spans="1:10" thickTop="1">
      <c r="A243" s="114"/>
      <c r="B243" s="1211" t="s">
        <v>57</v>
      </c>
      <c r="C243" s="1211"/>
      <c r="D243" s="1211"/>
      <c r="E243" s="1211"/>
      <c r="F243" s="1211"/>
      <c r="G243" s="1211"/>
      <c r="H243" s="1211"/>
      <c r="I243" s="1211"/>
      <c r="J243" s="1212"/>
    </row>
    <row r="244" spans="1:10" ht="44.25" customHeight="1">
      <c r="A244" s="114"/>
      <c r="B244" s="1213" t="str">
        <f>'PSQ-SUPER'!C70</f>
        <v>Fornecimento e Aplicação de Junta de Encontro</v>
      </c>
      <c r="C244" s="1213"/>
      <c r="D244" s="1213"/>
      <c r="E244" s="1213"/>
      <c r="F244" s="1213"/>
      <c r="G244" s="1213"/>
      <c r="H244" s="1213"/>
      <c r="I244" s="1213"/>
      <c r="J244" s="541"/>
    </row>
    <row r="245" spans="1:10" ht="15">
      <c r="A245" s="114"/>
      <c r="B245" s="1214" t="s">
        <v>7</v>
      </c>
      <c r="C245" s="1215"/>
      <c r="D245" s="1220" t="s">
        <v>70</v>
      </c>
      <c r="E245" s="1221"/>
      <c r="F245" s="1221"/>
      <c r="G245" s="1222"/>
      <c r="H245" s="1223" t="s">
        <v>4</v>
      </c>
      <c r="I245" s="1224"/>
      <c r="J245" s="365" t="s">
        <v>71</v>
      </c>
    </row>
    <row r="246" spans="1:10" ht="56.25" customHeight="1" thickBot="1">
      <c r="A246" s="114"/>
      <c r="B246" s="1278" t="str">
        <f>'PSQ-SUPER'!B70</f>
        <v>04.03.310.02</v>
      </c>
      <c r="C246" s="1279"/>
      <c r="D246" s="1218" t="str">
        <f>B244</f>
        <v>Fornecimento e Aplicação de Junta de Encontro</v>
      </c>
      <c r="E246" s="1219"/>
      <c r="F246" s="1219"/>
      <c r="G246" s="1195"/>
      <c r="H246" s="1184" t="str">
        <f>'PSQ-SUPER'!D70</f>
        <v>m</v>
      </c>
      <c r="I246" s="1185"/>
      <c r="J246" s="542">
        <f>J260</f>
        <v>1278.2400000000002</v>
      </c>
    </row>
    <row r="247" spans="1:10" ht="15">
      <c r="A247" s="114"/>
      <c r="B247" s="1186" t="s">
        <v>72</v>
      </c>
      <c r="C247" s="1186"/>
      <c r="D247" s="1186"/>
      <c r="E247" s="1186"/>
      <c r="F247" s="1186"/>
      <c r="G247" s="1186"/>
      <c r="H247" s="1186"/>
      <c r="I247" s="1186"/>
      <c r="J247" s="572"/>
    </row>
    <row r="248" spans="1:10" ht="15">
      <c r="A248" s="114"/>
      <c r="B248" s="162" t="str">
        <f>'Pág 2'!$C$23</f>
        <v xml:space="preserve">A especificação propriamente dita, a forma de execução, se for o caso e o critério de medição são descritas no(s) seguinte(s) documento(s): </v>
      </c>
      <c r="C248" s="168"/>
      <c r="D248" s="168"/>
      <c r="E248" s="168"/>
      <c r="F248" s="168"/>
      <c r="G248" s="168"/>
      <c r="H248" s="162" t="str">
        <f>'Pág 2'!$C$24</f>
        <v>FL.01/302.92/04538 - Especificação Técnica</v>
      </c>
      <c r="I248" s="168"/>
      <c r="J248" s="168"/>
    </row>
    <row r="249" spans="1:10" ht="15">
      <c r="A249" s="114"/>
      <c r="B249" s="163" t="str">
        <f>'Pág 2'!$C$15</f>
        <v xml:space="preserve">Foram utilizadas as premissas descritas no(s) seguinte(s)  documento(s):  </v>
      </c>
      <c r="C249" s="164"/>
      <c r="D249" s="164"/>
      <c r="E249" s="163" t="str">
        <f>'Pág 2'!$C$17</f>
        <v xml:space="preserve">FL.01/302.76/04537 - Memorial de Cálculo e Dimensionamento </v>
      </c>
      <c r="F249" s="114"/>
      <c r="G249" s="164"/>
      <c r="H249" s="164"/>
      <c r="I249" s="164"/>
      <c r="J249" s="164"/>
    </row>
    <row r="250" spans="1:10" ht="15">
      <c r="A250" s="114"/>
      <c r="B250" s="163" t="s">
        <v>73</v>
      </c>
      <c r="C250" s="153"/>
      <c r="D250" s="153"/>
      <c r="E250" s="163"/>
      <c r="F250" s="114"/>
      <c r="G250" s="164"/>
      <c r="H250" s="164"/>
      <c r="I250" s="164"/>
      <c r="J250" s="544"/>
    </row>
    <row r="251" spans="1:10" thickBot="1">
      <c r="A251" s="114"/>
      <c r="B251" s="165"/>
      <c r="C251" s="165"/>
      <c r="D251" s="165"/>
      <c r="E251" s="153"/>
      <c r="F251" s="153"/>
      <c r="G251" s="153"/>
      <c r="H251" s="153"/>
      <c r="I251" s="153"/>
      <c r="J251" s="278"/>
    </row>
    <row r="252" spans="1:10" ht="15">
      <c r="A252" s="114"/>
      <c r="B252" s="1187" t="s">
        <v>74</v>
      </c>
      <c r="C252" s="1187"/>
      <c r="D252" s="1187"/>
      <c r="E252" s="1187"/>
      <c r="F252" s="1187"/>
      <c r="G252" s="1187"/>
      <c r="H252" s="1188"/>
      <c r="I252" s="1189"/>
      <c r="J252" s="546" t="s">
        <v>75</v>
      </c>
    </row>
    <row r="253" spans="1:10" ht="15" customHeight="1">
      <c r="A253" s="114"/>
      <c r="B253" s="1181" t="str">
        <f>TIT.201</f>
        <v xml:space="preserve">FL.26/304.13/04734 - CENTRAL DE UTILIDADES - MANUTENÇÃO </v>
      </c>
      <c r="C253" s="1181"/>
      <c r="D253" s="1181"/>
      <c r="E253" s="1181"/>
      <c r="F253" s="1181"/>
      <c r="G253" s="1181"/>
      <c r="H253" s="1182"/>
      <c r="I253" s="1183"/>
      <c r="J253" s="547">
        <f>JE.201</f>
        <v>160.19999999999999</v>
      </c>
    </row>
    <row r="254" spans="1:10" ht="15" customHeight="1">
      <c r="A254" s="114"/>
      <c r="B254" s="1181" t="str">
        <f>TIT.202</f>
        <v>FL.26/304.13/04738 - CENTRAL DE UTILIDADES - REFEITÓRIO</v>
      </c>
      <c r="C254" s="1181"/>
      <c r="D254" s="1181"/>
      <c r="E254" s="1181"/>
      <c r="F254" s="1181"/>
      <c r="G254" s="1181"/>
      <c r="H254" s="1182"/>
      <c r="I254" s="1183"/>
      <c r="J254" s="547">
        <f>JE.202</f>
        <v>370</v>
      </c>
    </row>
    <row r="255" spans="1:10" ht="15" customHeight="1">
      <c r="A255" s="114"/>
      <c r="B255" s="1181" t="str">
        <f>TIT.203</f>
        <v>FL.26/304.13/04743 - CENTRAL DE UTILIDADES - SUBESTAÇÃO</v>
      </c>
      <c r="C255" s="1181"/>
      <c r="D255" s="1181"/>
      <c r="E255" s="1181"/>
      <c r="F255" s="1181"/>
      <c r="G255" s="1181"/>
      <c r="H255" s="1182"/>
      <c r="I255" s="1183"/>
      <c r="J255" s="547">
        <f>JE.203</f>
        <v>628.5</v>
      </c>
    </row>
    <row r="256" spans="1:10" ht="15">
      <c r="A256" s="114"/>
      <c r="B256" s="1181" t="str">
        <f>TIT.205</f>
        <v>FL.26/302.13/04753 - CUT - ACESSO PASSARELA TÉCNICA</v>
      </c>
      <c r="C256" s="1181"/>
      <c r="D256" s="1181"/>
      <c r="E256" s="1181"/>
      <c r="F256" s="1181"/>
      <c r="G256" s="1181"/>
      <c r="H256" s="1182"/>
      <c r="I256" s="1183"/>
      <c r="J256" s="547">
        <f>JE.205</f>
        <v>29</v>
      </c>
    </row>
    <row r="257" spans="1:10" ht="15">
      <c r="A257" s="114"/>
      <c r="B257" s="1181" t="str">
        <f>TIT.206</f>
        <v>FL.26/304.13/04756 - CENTRAL DE UTILIDADES - OFICINA DE MANUTENÇÃO</v>
      </c>
      <c r="C257" s="1181"/>
      <c r="D257" s="1181"/>
      <c r="E257" s="1181"/>
      <c r="F257" s="1181"/>
      <c r="G257" s="1181"/>
      <c r="H257" s="1182"/>
      <c r="I257" s="1183"/>
      <c r="J257" s="547">
        <f>JE.206</f>
        <v>43.4</v>
      </c>
    </row>
    <row r="258" spans="1:10" ht="15">
      <c r="A258" s="114"/>
      <c r="B258" s="1181" t="str">
        <f>TIT.208</f>
        <v>FL.26/304.13/04765 - RESERVATÓRIO DE ÁGUA - NORMAL E REUSO</v>
      </c>
      <c r="C258" s="1181"/>
      <c r="D258" s="1181"/>
      <c r="E258" s="1181"/>
      <c r="F258" s="1181"/>
      <c r="G258" s="1181"/>
      <c r="H258" s="1182"/>
      <c r="I258" s="1183"/>
      <c r="J258" s="547">
        <f>JE.208</f>
        <v>47.14</v>
      </c>
    </row>
    <row r="259" spans="1:10" ht="15">
      <c r="A259" s="114"/>
      <c r="B259" s="1181"/>
      <c r="C259" s="1181"/>
      <c r="D259" s="1181"/>
      <c r="E259" s="1181"/>
      <c r="F259" s="1181"/>
      <c r="G259" s="1181"/>
      <c r="H259" s="1182"/>
      <c r="I259" s="1183"/>
      <c r="J259" s="548"/>
    </row>
    <row r="260" spans="1:10" thickBot="1">
      <c r="A260" s="114"/>
      <c r="B260" s="1193" t="s">
        <v>76</v>
      </c>
      <c r="C260" s="1193"/>
      <c r="D260" s="1193"/>
      <c r="E260" s="1193"/>
      <c r="F260" s="1193"/>
      <c r="G260" s="1193"/>
      <c r="H260" s="1194"/>
      <c r="I260" s="1195"/>
      <c r="J260" s="549">
        <f>SUM(J253:J258)</f>
        <v>1278.2400000000002</v>
      </c>
    </row>
    <row r="261" spans="1:10" thickBot="1">
      <c r="A261" s="114"/>
      <c r="B261" s="1196" t="s">
        <v>77</v>
      </c>
      <c r="C261" s="1196"/>
      <c r="D261" s="1196"/>
      <c r="E261" s="1196"/>
      <c r="F261" s="1196"/>
      <c r="G261" s="1196"/>
      <c r="H261" s="1196"/>
      <c r="I261" s="1196"/>
      <c r="J261" s="573"/>
    </row>
    <row r="262" spans="1:10" ht="15">
      <c r="A262" s="114"/>
      <c r="B262" s="551" t="s">
        <v>92</v>
      </c>
      <c r="C262" s="154"/>
      <c r="D262" s="154"/>
      <c r="E262" s="154"/>
      <c r="F262" s="154"/>
      <c r="G262" s="154"/>
      <c r="H262" s="154"/>
      <c r="I262" s="154"/>
      <c r="J262" s="278"/>
    </row>
    <row r="263" spans="1:10" thickBot="1">
      <c r="A263" s="114"/>
      <c r="B263" s="155"/>
      <c r="C263" s="155"/>
      <c r="D263" s="155"/>
      <c r="E263" s="155"/>
      <c r="F263" s="155"/>
      <c r="G263" s="155"/>
      <c r="H263" s="155"/>
      <c r="I263" s="155"/>
      <c r="J263" s="574"/>
    </row>
    <row r="264" spans="1:10" thickTop="1">
      <c r="A264" s="114"/>
      <c r="B264" s="1211" t="s">
        <v>57</v>
      </c>
      <c r="C264" s="1211"/>
      <c r="D264" s="1211"/>
      <c r="E264" s="1211"/>
      <c r="F264" s="1211"/>
      <c r="G264" s="1211"/>
      <c r="H264" s="1211"/>
      <c r="I264" s="1211"/>
      <c r="J264" s="1212"/>
    </row>
    <row r="265" spans="1:10" ht="44.25" customHeight="1">
      <c r="A265" s="114"/>
      <c r="B265" s="1213" t="str">
        <f>'PSQ-SUPER'!C72</f>
        <v>Fornecimento e Aplicação de Junta Serrada</v>
      </c>
      <c r="C265" s="1213"/>
      <c r="D265" s="1213"/>
      <c r="E265" s="1213"/>
      <c r="F265" s="1213"/>
      <c r="G265" s="1213"/>
      <c r="H265" s="1213"/>
      <c r="I265" s="1213"/>
      <c r="J265" s="541"/>
    </row>
    <row r="266" spans="1:10" ht="15">
      <c r="A266" s="114"/>
      <c r="B266" s="1214" t="s">
        <v>7</v>
      </c>
      <c r="C266" s="1215"/>
      <c r="D266" s="1220" t="s">
        <v>70</v>
      </c>
      <c r="E266" s="1221"/>
      <c r="F266" s="1221"/>
      <c r="G266" s="1222"/>
      <c r="H266" s="1223" t="s">
        <v>4</v>
      </c>
      <c r="I266" s="1224"/>
      <c r="J266" s="365" t="s">
        <v>71</v>
      </c>
    </row>
    <row r="267" spans="1:10" ht="56.25" customHeight="1" thickBot="1">
      <c r="A267" s="114"/>
      <c r="B267" s="1327" t="str">
        <f>'PSQ-SUPER'!B72</f>
        <v>04.03.310.04</v>
      </c>
      <c r="C267" s="1328"/>
      <c r="D267" s="1218" t="str">
        <f>B265</f>
        <v>Fornecimento e Aplicação de Junta Serrada</v>
      </c>
      <c r="E267" s="1219"/>
      <c r="F267" s="1219"/>
      <c r="G267" s="1195"/>
      <c r="H267" s="1184" t="str">
        <f>'PSQ-SUPER'!D72</f>
        <v>m</v>
      </c>
      <c r="I267" s="1185"/>
      <c r="J267" s="542">
        <f>J279</f>
        <v>286.21999999999997</v>
      </c>
    </row>
    <row r="268" spans="1:10" ht="15">
      <c r="A268" s="114"/>
      <c r="B268" s="1186" t="s">
        <v>72</v>
      </c>
      <c r="C268" s="1186"/>
      <c r="D268" s="1186"/>
      <c r="E268" s="1186"/>
      <c r="F268" s="1186"/>
      <c r="G268" s="1186"/>
      <c r="H268" s="1186"/>
      <c r="I268" s="1186"/>
      <c r="J268" s="572"/>
    </row>
    <row r="269" spans="1:10" ht="15">
      <c r="A269" s="114"/>
      <c r="B269" s="162" t="str">
        <f>'Pág 2'!$C$23</f>
        <v xml:space="preserve">A especificação propriamente dita, a forma de execução, se for o caso e o critério de medição são descritas no(s) seguinte(s) documento(s): </v>
      </c>
      <c r="C269" s="168"/>
      <c r="D269" s="168"/>
      <c r="E269" s="168"/>
      <c r="F269" s="168"/>
      <c r="G269" s="168"/>
      <c r="H269" s="162" t="str">
        <f>'Pág 2'!$C$24</f>
        <v>FL.01/302.92/04538 - Especificação Técnica</v>
      </c>
      <c r="I269" s="168"/>
      <c r="J269" s="168"/>
    </row>
    <row r="270" spans="1:10" ht="15">
      <c r="A270" s="114"/>
      <c r="B270" s="163" t="str">
        <f>'Pág 2'!$C$15</f>
        <v xml:space="preserve">Foram utilizadas as premissas descritas no(s) seguinte(s)  documento(s):  </v>
      </c>
      <c r="C270" s="164"/>
      <c r="D270" s="164"/>
      <c r="E270" s="163" t="str">
        <f>'Pág 2'!$C$17</f>
        <v xml:space="preserve">FL.01/302.76/04537 - Memorial de Cálculo e Dimensionamento </v>
      </c>
      <c r="F270" s="114"/>
      <c r="G270" s="164"/>
      <c r="H270" s="164"/>
      <c r="I270" s="164"/>
      <c r="J270" s="164"/>
    </row>
    <row r="271" spans="1:10" ht="15">
      <c r="A271" s="114"/>
      <c r="B271" s="163" t="s">
        <v>73</v>
      </c>
      <c r="C271" s="153"/>
      <c r="D271" s="153"/>
      <c r="E271" s="163"/>
      <c r="F271" s="114"/>
      <c r="G271" s="164"/>
      <c r="H271" s="164"/>
      <c r="I271" s="164"/>
      <c r="J271" s="544"/>
    </row>
    <row r="272" spans="1:10" thickBot="1">
      <c r="A272" s="114"/>
      <c r="B272" s="165"/>
      <c r="C272" s="165"/>
      <c r="D272" s="165"/>
      <c r="E272" s="153"/>
      <c r="F272" s="153"/>
      <c r="G272" s="153"/>
      <c r="H272" s="153"/>
      <c r="I272" s="153"/>
      <c r="J272" s="278"/>
    </row>
    <row r="273" spans="1:10" ht="15">
      <c r="A273" s="114"/>
      <c r="B273" s="1187" t="s">
        <v>74</v>
      </c>
      <c r="C273" s="1187"/>
      <c r="D273" s="1187"/>
      <c r="E273" s="1187"/>
      <c r="F273" s="1187"/>
      <c r="G273" s="1187"/>
      <c r="H273" s="1188"/>
      <c r="I273" s="1189"/>
      <c r="J273" s="546" t="s">
        <v>75</v>
      </c>
    </row>
    <row r="274" spans="1:10" ht="15" customHeight="1">
      <c r="A274" s="114"/>
      <c r="B274" s="1181" t="str">
        <f>TIT.201</f>
        <v xml:space="preserve">FL.26/304.13/04734 - CENTRAL DE UTILIDADES - MANUTENÇÃO </v>
      </c>
      <c r="C274" s="1181"/>
      <c r="D274" s="1181"/>
      <c r="E274" s="1181"/>
      <c r="F274" s="1181"/>
      <c r="G274" s="1181"/>
      <c r="H274" s="1182"/>
      <c r="I274" s="1183"/>
      <c r="J274" s="547">
        <f>JS.201</f>
        <v>134.51999999999998</v>
      </c>
    </row>
    <row r="275" spans="1:10" ht="15" customHeight="1">
      <c r="A275" s="114"/>
      <c r="B275" s="1181" t="str">
        <f>TIT.202</f>
        <v>FL.26/304.13/04738 - CENTRAL DE UTILIDADES - REFEITÓRIO</v>
      </c>
      <c r="C275" s="1181"/>
      <c r="D275" s="1181"/>
      <c r="E275" s="1181"/>
      <c r="F275" s="1181"/>
      <c r="G275" s="1181"/>
      <c r="H275" s="1182"/>
      <c r="I275" s="1183"/>
      <c r="J275" s="547">
        <f>JS.202</f>
        <v>47.64</v>
      </c>
    </row>
    <row r="276" spans="1:10" ht="15" customHeight="1">
      <c r="A276" s="114"/>
      <c r="B276" s="1181" t="str">
        <f>TIT.203</f>
        <v>FL.26/304.13/04743 - CENTRAL DE UTILIDADES - SUBESTAÇÃO</v>
      </c>
      <c r="C276" s="1181"/>
      <c r="D276" s="1181"/>
      <c r="E276" s="1181"/>
      <c r="F276" s="1181"/>
      <c r="G276" s="1181"/>
      <c r="H276" s="1182"/>
      <c r="I276" s="1183"/>
      <c r="J276" s="547">
        <f>JS.203</f>
        <v>83.14</v>
      </c>
    </row>
    <row r="277" spans="1:10" ht="15">
      <c r="A277" s="114"/>
      <c r="B277" s="1181" t="str">
        <f>TIT.206</f>
        <v>FL.26/304.13/04756 - CENTRAL DE UTILIDADES - OFICINA DE MANUTENÇÃO</v>
      </c>
      <c r="C277" s="1181"/>
      <c r="D277" s="1181"/>
      <c r="E277" s="1181"/>
      <c r="F277" s="1181"/>
      <c r="G277" s="1181"/>
      <c r="H277" s="1182"/>
      <c r="I277" s="1183"/>
      <c r="J277" s="547">
        <f>JS.206</f>
        <v>20.92</v>
      </c>
    </row>
    <row r="278" spans="1:10" ht="15">
      <c r="A278" s="114"/>
      <c r="B278" s="1181"/>
      <c r="C278" s="1181"/>
      <c r="D278" s="1181"/>
      <c r="E278" s="1181"/>
      <c r="F278" s="1181"/>
      <c r="G278" s="1181"/>
      <c r="H278" s="1182"/>
      <c r="I278" s="1183"/>
      <c r="J278" s="548"/>
    </row>
    <row r="279" spans="1:10" thickBot="1">
      <c r="A279" s="114"/>
      <c r="B279" s="1193" t="s">
        <v>76</v>
      </c>
      <c r="C279" s="1193"/>
      <c r="D279" s="1193"/>
      <c r="E279" s="1193"/>
      <c r="F279" s="1193"/>
      <c r="G279" s="1193"/>
      <c r="H279" s="1194"/>
      <c r="I279" s="1195"/>
      <c r="J279" s="549">
        <f>SUM(J274:J277)</f>
        <v>286.21999999999997</v>
      </c>
    </row>
    <row r="280" spans="1:10" thickBot="1">
      <c r="A280" s="114"/>
      <c r="B280" s="1196" t="s">
        <v>77</v>
      </c>
      <c r="C280" s="1196"/>
      <c r="D280" s="1196"/>
      <c r="E280" s="1196"/>
      <c r="F280" s="1196"/>
      <c r="G280" s="1196"/>
      <c r="H280" s="1196"/>
      <c r="I280" s="1196"/>
      <c r="J280" s="573"/>
    </row>
    <row r="281" spans="1:10" ht="15">
      <c r="A281" s="114"/>
      <c r="B281" s="551" t="s">
        <v>92</v>
      </c>
      <c r="C281" s="154"/>
      <c r="D281" s="154"/>
      <c r="E281" s="154"/>
      <c r="F281" s="154"/>
      <c r="G281" s="154"/>
      <c r="H281" s="154"/>
      <c r="I281" s="154"/>
      <c r="J281" s="278"/>
    </row>
    <row r="282" spans="1:10" thickBot="1">
      <c r="A282" s="114"/>
      <c r="B282" s="155"/>
      <c r="C282" s="155"/>
      <c r="D282" s="155"/>
      <c r="E282" s="155"/>
      <c r="F282" s="155"/>
      <c r="G282" s="155"/>
      <c r="H282" s="155"/>
      <c r="I282" s="155"/>
      <c r="J282" s="574"/>
    </row>
    <row r="283" spans="1:10" s="86" customFormat="1" ht="21" customHeight="1" thickTop="1">
      <c r="B283" s="110"/>
      <c r="C283" s="104"/>
      <c r="D283" s="191"/>
      <c r="E283" s="191"/>
      <c r="F283" s="104"/>
      <c r="J283" s="570"/>
    </row>
    <row r="284" spans="1:10" s="86" customFormat="1" ht="21" customHeight="1">
      <c r="B284" s="571" t="s">
        <v>1800</v>
      </c>
      <c r="C284" s="104"/>
      <c r="D284" s="191"/>
      <c r="E284" s="191"/>
      <c r="F284" s="104"/>
      <c r="J284" s="570"/>
    </row>
    <row r="285" spans="1:10" s="86" customFormat="1" ht="21" customHeight="1" thickBot="1">
      <c r="B285" s="110"/>
      <c r="C285" s="104"/>
      <c r="D285" s="191"/>
      <c r="E285" s="191"/>
      <c r="F285" s="104"/>
      <c r="J285" s="570"/>
    </row>
    <row r="286" spans="1:10" thickTop="1">
      <c r="A286" s="114"/>
      <c r="B286" s="1211" t="s">
        <v>57</v>
      </c>
      <c r="C286" s="1211"/>
      <c r="D286" s="1211"/>
      <c r="E286" s="1211"/>
      <c r="F286" s="1211"/>
      <c r="G286" s="1211"/>
      <c r="H286" s="1211"/>
      <c r="I286" s="1211"/>
      <c r="J286" s="1211"/>
    </row>
    <row r="287" spans="1:10" ht="44.25" customHeight="1">
      <c r="A287" s="114"/>
      <c r="B287" s="1213" t="str">
        <f>'PSQ-SUPER'!C86</f>
        <v>Forma plana para estruturas de concreto, fornecimento e aplicação</v>
      </c>
      <c r="C287" s="1213"/>
      <c r="D287" s="1213"/>
      <c r="E287" s="1213"/>
      <c r="F287" s="1213"/>
      <c r="G287" s="1213"/>
      <c r="H287" s="1213"/>
      <c r="I287" s="1213"/>
      <c r="J287" s="541"/>
    </row>
    <row r="288" spans="1:10" ht="15">
      <c r="A288" s="114"/>
      <c r="B288" s="1214" t="s">
        <v>7</v>
      </c>
      <c r="C288" s="1215"/>
      <c r="D288" s="1220" t="s">
        <v>70</v>
      </c>
      <c r="E288" s="1221"/>
      <c r="F288" s="1221"/>
      <c r="G288" s="1222"/>
      <c r="H288" s="1223" t="s">
        <v>4</v>
      </c>
      <c r="I288" s="1224"/>
      <c r="J288" s="365" t="s">
        <v>71</v>
      </c>
    </row>
    <row r="289" spans="1:10" ht="56.25" customHeight="1" thickBot="1">
      <c r="A289" s="114"/>
      <c r="B289" s="1278" t="str">
        <f>'PSQ-SUPER'!B86</f>
        <v>04.03.110.01</v>
      </c>
      <c r="C289" s="1279"/>
      <c r="D289" s="1218" t="str">
        <f>B287</f>
        <v>Forma plana para estruturas de concreto, fornecimento e aplicação</v>
      </c>
      <c r="E289" s="1219"/>
      <c r="F289" s="1219"/>
      <c r="G289" s="1195"/>
      <c r="H289" s="1184" t="str">
        <f>'PSQ-SUPER'!D18</f>
        <v>m²</v>
      </c>
      <c r="I289" s="1185"/>
      <c r="J289" s="542">
        <f>J298</f>
        <v>39455.918980500006</v>
      </c>
    </row>
    <row r="290" spans="1:10" ht="15">
      <c r="A290" s="114"/>
      <c r="B290" s="1186" t="s">
        <v>72</v>
      </c>
      <c r="C290" s="1186"/>
      <c r="D290" s="1186"/>
      <c r="E290" s="1186"/>
      <c r="F290" s="1186"/>
      <c r="G290" s="1186"/>
      <c r="H290" s="1186"/>
      <c r="I290" s="1186"/>
      <c r="J290" s="572"/>
    </row>
    <row r="291" spans="1:10" ht="15" customHeight="1">
      <c r="A291" s="114"/>
      <c r="B291" s="162" t="str">
        <f>'Pág 2'!$C$23</f>
        <v xml:space="preserve">A especificação propriamente dita, a forma de execução, se for o caso e o critério de medição são descritas no(s) seguinte(s) documento(s): </v>
      </c>
      <c r="C291" s="168"/>
      <c r="D291" s="168"/>
      <c r="E291" s="168"/>
      <c r="F291" s="168"/>
      <c r="G291" s="168"/>
      <c r="H291" s="162" t="str">
        <f>'Pág 2'!$C$24</f>
        <v>FL.01/302.92/04538 - Especificação Técnica</v>
      </c>
      <c r="I291" s="168"/>
      <c r="J291" s="168"/>
    </row>
    <row r="292" spans="1:10" ht="15" customHeight="1">
      <c r="A292" s="114"/>
      <c r="B292" s="163" t="str">
        <f>'Pág 2'!$C$15</f>
        <v xml:space="preserve">Foram utilizadas as premissas descritas no(s) seguinte(s)  documento(s):  </v>
      </c>
      <c r="C292" s="164"/>
      <c r="D292" s="164"/>
      <c r="E292" s="163" t="str">
        <f>'Pág 2'!$C$17</f>
        <v xml:space="preserve">FL.01/302.76/04537 - Memorial de Cálculo e Dimensionamento </v>
      </c>
      <c r="F292" s="114"/>
      <c r="G292" s="164"/>
      <c r="H292" s="164"/>
      <c r="I292" s="164"/>
      <c r="J292" s="164"/>
    </row>
    <row r="293" spans="1:10" ht="15" customHeight="1">
      <c r="A293" s="114"/>
      <c r="B293" s="163" t="s">
        <v>73</v>
      </c>
      <c r="C293" s="153"/>
      <c r="D293" s="153"/>
      <c r="E293" s="163"/>
      <c r="F293" s="114"/>
      <c r="G293" s="164"/>
      <c r="H293" s="164"/>
      <c r="I293" s="164"/>
      <c r="J293" s="544"/>
    </row>
    <row r="294" spans="1:10" thickBot="1">
      <c r="A294" s="114"/>
      <c r="B294" s="165"/>
      <c r="C294" s="165"/>
      <c r="D294" s="165"/>
      <c r="E294" s="153"/>
      <c r="F294" s="153"/>
      <c r="G294" s="153"/>
      <c r="H294" s="153"/>
      <c r="I294" s="153"/>
      <c r="J294" s="278"/>
    </row>
    <row r="295" spans="1:10" ht="15">
      <c r="A295" s="114"/>
      <c r="B295" s="1187" t="s">
        <v>74</v>
      </c>
      <c r="C295" s="1187"/>
      <c r="D295" s="1187"/>
      <c r="E295" s="1187"/>
      <c r="F295" s="1187"/>
      <c r="G295" s="1187"/>
      <c r="H295" s="1188"/>
      <c r="I295" s="1189"/>
      <c r="J295" s="546" t="s">
        <v>75</v>
      </c>
    </row>
    <row r="296" spans="1:10" ht="15">
      <c r="A296" s="114"/>
      <c r="B296" s="1181" t="str">
        <f>TIT.301</f>
        <v>FL.26/304.16/04543 - TERMINAL DE PASSAGEIROS</v>
      </c>
      <c r="C296" s="1181"/>
      <c r="D296" s="1181"/>
      <c r="E296" s="1181"/>
      <c r="F296" s="1181"/>
      <c r="G296" s="1181"/>
      <c r="H296" s="1182"/>
      <c r="I296" s="1183"/>
      <c r="J296" s="547">
        <f>F.301</f>
        <v>39455.918980500006</v>
      </c>
    </row>
    <row r="297" spans="1:10" ht="15" customHeight="1">
      <c r="A297" s="114"/>
      <c r="B297" s="1181"/>
      <c r="C297" s="1181"/>
      <c r="D297" s="1181"/>
      <c r="E297" s="1181"/>
      <c r="F297" s="1181"/>
      <c r="G297" s="1181"/>
      <c r="H297" s="1182"/>
      <c r="I297" s="1183"/>
      <c r="J297" s="548"/>
    </row>
    <row r="298" spans="1:10" ht="15" customHeight="1" thickBot="1">
      <c r="A298" s="114"/>
      <c r="B298" s="1193" t="s">
        <v>76</v>
      </c>
      <c r="C298" s="1193"/>
      <c r="D298" s="1193"/>
      <c r="E298" s="1193"/>
      <c r="F298" s="1193"/>
      <c r="G298" s="1193"/>
      <c r="H298" s="1194"/>
      <c r="I298" s="1195"/>
      <c r="J298" s="549">
        <f>SUM(J296:J296)</f>
        <v>39455.918980500006</v>
      </c>
    </row>
    <row r="299" spans="1:10" thickBot="1">
      <c r="A299" s="114"/>
      <c r="B299" s="1196" t="s">
        <v>77</v>
      </c>
      <c r="C299" s="1196"/>
      <c r="D299" s="1196"/>
      <c r="E299" s="1196"/>
      <c r="F299" s="1196"/>
      <c r="G299" s="1196"/>
      <c r="H299" s="1196"/>
      <c r="I299" s="1196"/>
      <c r="J299" s="573"/>
    </row>
    <row r="300" spans="1:10" ht="15">
      <c r="A300" s="114"/>
      <c r="B300" s="551" t="s">
        <v>1091</v>
      </c>
      <c r="C300" s="154"/>
      <c r="D300" s="154"/>
      <c r="E300" s="154"/>
      <c r="F300" s="154"/>
      <c r="G300" s="154"/>
      <c r="H300" s="154"/>
      <c r="I300" s="154"/>
      <c r="J300" s="278"/>
    </row>
    <row r="301" spans="1:10" thickBot="1">
      <c r="A301" s="114"/>
      <c r="B301" s="155"/>
      <c r="C301" s="155"/>
      <c r="D301" s="155"/>
      <c r="E301" s="155"/>
      <c r="F301" s="155"/>
      <c r="G301" s="155"/>
      <c r="H301" s="155"/>
      <c r="I301" s="155"/>
      <c r="J301" s="574"/>
    </row>
    <row r="302" spans="1:10" thickTop="1">
      <c r="A302" s="114"/>
      <c r="B302" s="1211" t="s">
        <v>57</v>
      </c>
      <c r="C302" s="1211"/>
      <c r="D302" s="1211"/>
      <c r="E302" s="1211"/>
      <c r="F302" s="1211"/>
      <c r="G302" s="1211"/>
      <c r="H302" s="1211"/>
      <c r="I302" s="1211"/>
      <c r="J302" s="1211"/>
    </row>
    <row r="303" spans="1:10" ht="44.25" customHeight="1">
      <c r="A303" s="114"/>
      <c r="B303" s="1213" t="str">
        <f>'PSQ-SUPER'!C92</f>
        <v>Fornecimento, Dobra e Montagem de Aço CA-50</v>
      </c>
      <c r="C303" s="1213"/>
      <c r="D303" s="1213"/>
      <c r="E303" s="1213"/>
      <c r="F303" s="1213"/>
      <c r="G303" s="1213"/>
      <c r="H303" s="1213"/>
      <c r="I303" s="1213"/>
      <c r="J303" s="541"/>
    </row>
    <row r="304" spans="1:10" ht="15">
      <c r="A304" s="114"/>
      <c r="B304" s="1214" t="s">
        <v>7</v>
      </c>
      <c r="C304" s="1215"/>
      <c r="D304" s="1220" t="s">
        <v>70</v>
      </c>
      <c r="E304" s="1221"/>
      <c r="F304" s="1221"/>
      <c r="G304" s="1222"/>
      <c r="H304" s="1223" t="s">
        <v>4</v>
      </c>
      <c r="I304" s="1224"/>
      <c r="J304" s="365" t="s">
        <v>71</v>
      </c>
    </row>
    <row r="305" spans="1:10" ht="56.25" customHeight="1" thickBot="1">
      <c r="A305" s="114"/>
      <c r="B305" s="1278" t="str">
        <f>'PSQ-SUPER'!B92</f>
        <v>04.03.120.01</v>
      </c>
      <c r="C305" s="1279"/>
      <c r="D305" s="1218" t="str">
        <f>B303</f>
        <v>Fornecimento, Dobra e Montagem de Aço CA-50</v>
      </c>
      <c r="E305" s="1219"/>
      <c r="F305" s="1219"/>
      <c r="G305" s="1195"/>
      <c r="H305" s="1184" t="str">
        <f>'PSQ-SUPER'!D92</f>
        <v>kg</v>
      </c>
      <c r="I305" s="1185"/>
      <c r="J305" s="542">
        <f>J314</f>
        <v>1485978</v>
      </c>
    </row>
    <row r="306" spans="1:10" ht="15">
      <c r="A306" s="114"/>
      <c r="B306" s="1186" t="s">
        <v>72</v>
      </c>
      <c r="C306" s="1186"/>
      <c r="D306" s="1186"/>
      <c r="E306" s="1186"/>
      <c r="F306" s="1186"/>
      <c r="G306" s="1186"/>
      <c r="H306" s="1186"/>
      <c r="I306" s="1186"/>
      <c r="J306" s="572"/>
    </row>
    <row r="307" spans="1:10" ht="15" customHeight="1">
      <c r="A307" s="114"/>
      <c r="B307" s="162" t="str">
        <f>'Pág 2'!$C$23</f>
        <v xml:space="preserve">A especificação propriamente dita, a forma de execução, se for o caso e o critério de medição são descritas no(s) seguinte(s) documento(s): </v>
      </c>
      <c r="C307" s="168"/>
      <c r="D307" s="168"/>
      <c r="E307" s="168"/>
      <c r="F307" s="168"/>
      <c r="G307" s="168"/>
      <c r="H307" s="162" t="str">
        <f>'Pág 2'!$C$24</f>
        <v>FL.01/302.92/04538 - Especificação Técnica</v>
      </c>
      <c r="I307" s="168"/>
      <c r="J307" s="168"/>
    </row>
    <row r="308" spans="1:10" ht="15" customHeight="1">
      <c r="A308" s="114"/>
      <c r="B308" s="163" t="str">
        <f>'Pág 2'!$C$15</f>
        <v xml:space="preserve">Foram utilizadas as premissas descritas no(s) seguinte(s)  documento(s):  </v>
      </c>
      <c r="C308" s="164"/>
      <c r="D308" s="164"/>
      <c r="E308" s="163" t="str">
        <f>'Pág 2'!$C$17</f>
        <v xml:space="preserve">FL.01/302.76/04537 - Memorial de Cálculo e Dimensionamento </v>
      </c>
      <c r="F308" s="114"/>
      <c r="G308" s="164"/>
      <c r="H308" s="164"/>
      <c r="I308" s="164"/>
      <c r="J308" s="164"/>
    </row>
    <row r="309" spans="1:10" ht="15" customHeight="1">
      <c r="A309" s="114"/>
      <c r="B309" s="163" t="s">
        <v>1803</v>
      </c>
      <c r="C309" s="153"/>
      <c r="D309" s="153"/>
      <c r="E309" s="163"/>
      <c r="F309" s="114"/>
      <c r="G309" s="164"/>
      <c r="H309" s="164"/>
      <c r="I309" s="164"/>
      <c r="J309" s="544"/>
    </row>
    <row r="310" spans="1:10" thickBot="1">
      <c r="A310" s="114"/>
      <c r="B310" s="165"/>
      <c r="C310" s="165"/>
      <c r="D310" s="165"/>
      <c r="E310" s="153"/>
      <c r="F310" s="153"/>
      <c r="G310" s="153"/>
      <c r="H310" s="153"/>
      <c r="I310" s="153"/>
      <c r="J310" s="278"/>
    </row>
    <row r="311" spans="1:10" ht="15">
      <c r="A311" s="114"/>
      <c r="B311" s="1187" t="s">
        <v>74</v>
      </c>
      <c r="C311" s="1187"/>
      <c r="D311" s="1187"/>
      <c r="E311" s="1187"/>
      <c r="F311" s="1187"/>
      <c r="G311" s="1187"/>
      <c r="H311" s="1188"/>
      <c r="I311" s="1189"/>
      <c r="J311" s="546" t="s">
        <v>75</v>
      </c>
    </row>
    <row r="312" spans="1:10" ht="15" customHeight="1">
      <c r="A312" s="114"/>
      <c r="B312" s="1181" t="str">
        <f>TIT.301</f>
        <v>FL.26/304.16/04543 - TERMINAL DE PASSAGEIROS</v>
      </c>
      <c r="C312" s="1181"/>
      <c r="D312" s="1181"/>
      <c r="E312" s="1181"/>
      <c r="F312" s="1181"/>
      <c r="G312" s="1181"/>
      <c r="H312" s="1182"/>
      <c r="I312" s="1183"/>
      <c r="J312" s="553">
        <f>A50.301</f>
        <v>1485978</v>
      </c>
    </row>
    <row r="313" spans="1:10" ht="15" customHeight="1">
      <c r="A313" s="114"/>
      <c r="B313" s="1181"/>
      <c r="C313" s="1181"/>
      <c r="D313" s="1181"/>
      <c r="E313" s="1181"/>
      <c r="F313" s="1181"/>
      <c r="G313" s="1181"/>
      <c r="H313" s="1181"/>
      <c r="I313" s="1209"/>
      <c r="J313" s="548"/>
    </row>
    <row r="314" spans="1:10" ht="15" customHeight="1" thickBot="1">
      <c r="A314" s="114"/>
      <c r="B314" s="1193" t="s">
        <v>76</v>
      </c>
      <c r="C314" s="1193"/>
      <c r="D314" s="1193"/>
      <c r="E314" s="1193"/>
      <c r="F314" s="1193"/>
      <c r="G314" s="1193"/>
      <c r="H314" s="1193"/>
      <c r="I314" s="1208"/>
      <c r="J314" s="549">
        <f>SUM(J312:J312)</f>
        <v>1485978</v>
      </c>
    </row>
    <row r="315" spans="1:10" ht="15" customHeight="1" thickBot="1">
      <c r="A315" s="114"/>
      <c r="B315" s="1196" t="s">
        <v>77</v>
      </c>
      <c r="C315" s="1196"/>
      <c r="D315" s="1196"/>
      <c r="E315" s="1196"/>
      <c r="F315" s="1196"/>
      <c r="G315" s="1196"/>
      <c r="H315" s="1196"/>
      <c r="I315" s="1196"/>
      <c r="J315" s="573"/>
    </row>
    <row r="316" spans="1:10" ht="15" customHeight="1">
      <c r="A316" s="114"/>
      <c r="B316" s="551" t="s">
        <v>1091</v>
      </c>
      <c r="C316" s="154"/>
      <c r="D316" s="154"/>
      <c r="E316" s="154"/>
      <c r="F316" s="154"/>
      <c r="G316" s="154"/>
      <c r="H316" s="154"/>
      <c r="I316" s="154"/>
      <c r="J316" s="278"/>
    </row>
    <row r="317" spans="1:10" ht="15" customHeight="1" thickBot="1">
      <c r="A317" s="114"/>
      <c r="B317" s="155"/>
      <c r="C317" s="155"/>
      <c r="D317" s="155"/>
      <c r="E317" s="155"/>
      <c r="F317" s="155"/>
      <c r="G317" s="155"/>
      <c r="H317" s="155"/>
      <c r="I317" s="155"/>
      <c r="J317" s="574"/>
    </row>
    <row r="318" spans="1:10" thickTop="1">
      <c r="A318" s="114"/>
      <c r="B318" s="1290" t="s">
        <v>57</v>
      </c>
      <c r="C318" s="1290"/>
      <c r="D318" s="1290"/>
      <c r="E318" s="1290"/>
      <c r="F318" s="1290"/>
      <c r="G318" s="1290"/>
      <c r="H318" s="1290"/>
      <c r="I318" s="1290"/>
      <c r="J318" s="1290"/>
    </row>
    <row r="319" spans="1:10" ht="44.25" customHeight="1">
      <c r="A319" s="114"/>
      <c r="B319" s="1213" t="str">
        <f>'PSQ-SUPER'!C94</f>
        <v>Fornecimento, Dobra e Montagem de Aço CA-60</v>
      </c>
      <c r="C319" s="1213"/>
      <c r="D319" s="1213"/>
      <c r="E319" s="1213"/>
      <c r="F319" s="1213"/>
      <c r="G319" s="1213"/>
      <c r="H319" s="1213"/>
      <c r="I319" s="1213"/>
      <c r="J319" s="541"/>
    </row>
    <row r="320" spans="1:10" ht="15">
      <c r="A320" s="114"/>
      <c r="B320" s="1214" t="s">
        <v>7</v>
      </c>
      <c r="C320" s="1215"/>
      <c r="D320" s="1220" t="s">
        <v>70</v>
      </c>
      <c r="E320" s="1221"/>
      <c r="F320" s="1221"/>
      <c r="G320" s="1222"/>
      <c r="H320" s="1223" t="s">
        <v>4</v>
      </c>
      <c r="I320" s="1224"/>
      <c r="J320" s="365" t="s">
        <v>71</v>
      </c>
    </row>
    <row r="321" spans="1:10" ht="56.25" customHeight="1" thickBot="1">
      <c r="A321" s="114"/>
      <c r="B321" s="1278" t="str">
        <f>'PSQ-SUPER'!B94</f>
        <v>04.03.120.02</v>
      </c>
      <c r="C321" s="1279"/>
      <c r="D321" s="1218" t="str">
        <f>B319</f>
        <v>Fornecimento, Dobra e Montagem de Aço CA-60</v>
      </c>
      <c r="E321" s="1219"/>
      <c r="F321" s="1219"/>
      <c r="G321" s="1195"/>
      <c r="H321" s="1184" t="str">
        <f>'PSQ-SUPER'!D94</f>
        <v>kg</v>
      </c>
      <c r="I321" s="1185"/>
      <c r="J321" s="542">
        <f>J330</f>
        <v>29657</v>
      </c>
    </row>
    <row r="322" spans="1:10" ht="15">
      <c r="A322" s="114"/>
      <c r="B322" s="1186" t="s">
        <v>72</v>
      </c>
      <c r="C322" s="1186"/>
      <c r="D322" s="1186"/>
      <c r="E322" s="1186"/>
      <c r="F322" s="1186"/>
      <c r="G322" s="1186"/>
      <c r="H322" s="1186"/>
      <c r="I322" s="1186"/>
      <c r="J322" s="572"/>
    </row>
    <row r="323" spans="1:10" ht="15" customHeight="1">
      <c r="A323" s="114"/>
      <c r="B323" s="162" t="str">
        <f>'Pág 2'!$C$23</f>
        <v xml:space="preserve">A especificação propriamente dita, a forma de execução, se for o caso e o critério de medição são descritas no(s) seguinte(s) documento(s): </v>
      </c>
      <c r="C323" s="168"/>
      <c r="D323" s="168"/>
      <c r="E323" s="168"/>
      <c r="F323" s="168"/>
      <c r="G323" s="168"/>
      <c r="H323" s="162" t="str">
        <f>'Pág 2'!$C$24</f>
        <v>FL.01/302.92/04538 - Especificação Técnica</v>
      </c>
      <c r="I323" s="168"/>
      <c r="J323" s="168"/>
    </row>
    <row r="324" spans="1:10" ht="15" customHeight="1">
      <c r="A324" s="114"/>
      <c r="B324" s="163" t="str">
        <f>'Pág 2'!$C$15</f>
        <v xml:space="preserve">Foram utilizadas as premissas descritas no(s) seguinte(s)  documento(s):  </v>
      </c>
      <c r="C324" s="164"/>
      <c r="D324" s="164"/>
      <c r="E324" s="163" t="str">
        <f>'Pág 2'!$C$17</f>
        <v xml:space="preserve">FL.01/302.76/04537 - Memorial de Cálculo e Dimensionamento </v>
      </c>
      <c r="F324" s="114"/>
      <c r="G324" s="164"/>
      <c r="H324" s="164"/>
      <c r="I324" s="164"/>
      <c r="J324" s="164"/>
    </row>
    <row r="325" spans="1:10" ht="15" customHeight="1">
      <c r="A325" s="114"/>
      <c r="B325" s="163" t="s">
        <v>1803</v>
      </c>
      <c r="C325" s="153"/>
      <c r="D325" s="153"/>
      <c r="E325" s="163"/>
      <c r="F325" s="114"/>
      <c r="G325" s="164"/>
      <c r="H325" s="164"/>
      <c r="I325" s="164"/>
      <c r="J325" s="544"/>
    </row>
    <row r="326" spans="1:10" thickBot="1">
      <c r="A326" s="114"/>
      <c r="B326" s="165"/>
      <c r="C326" s="165"/>
      <c r="D326" s="165"/>
      <c r="E326" s="153"/>
      <c r="F326" s="153"/>
      <c r="G326" s="153"/>
      <c r="H326" s="153"/>
      <c r="I326" s="153"/>
      <c r="J326" s="278"/>
    </row>
    <row r="327" spans="1:10" ht="15">
      <c r="A327" s="114"/>
      <c r="B327" s="1187" t="s">
        <v>74</v>
      </c>
      <c r="C327" s="1187"/>
      <c r="D327" s="1187"/>
      <c r="E327" s="1187"/>
      <c r="F327" s="1187"/>
      <c r="G327" s="1187"/>
      <c r="H327" s="1188"/>
      <c r="I327" s="1189"/>
      <c r="J327" s="546" t="s">
        <v>75</v>
      </c>
    </row>
    <row r="328" spans="1:10" ht="15" customHeight="1">
      <c r="A328" s="114"/>
      <c r="B328" s="1181" t="str">
        <f>TIT.301</f>
        <v>FL.26/304.16/04543 - TERMINAL DE PASSAGEIROS</v>
      </c>
      <c r="C328" s="1181"/>
      <c r="D328" s="1181"/>
      <c r="E328" s="1181"/>
      <c r="F328" s="1181"/>
      <c r="G328" s="1181"/>
      <c r="H328" s="1182"/>
      <c r="I328" s="1183"/>
      <c r="J328" s="553">
        <f>A60.301</f>
        <v>29657</v>
      </c>
    </row>
    <row r="329" spans="1:10" ht="15" customHeight="1">
      <c r="A329" s="114"/>
      <c r="B329" s="1181"/>
      <c r="C329" s="1181"/>
      <c r="D329" s="1181"/>
      <c r="E329" s="1181"/>
      <c r="F329" s="1181"/>
      <c r="G329" s="1181"/>
      <c r="H329" s="1181"/>
      <c r="I329" s="1209"/>
      <c r="J329" s="548"/>
    </row>
    <row r="330" spans="1:10" ht="15" customHeight="1" thickBot="1">
      <c r="A330" s="114"/>
      <c r="B330" s="1193" t="s">
        <v>76</v>
      </c>
      <c r="C330" s="1193"/>
      <c r="D330" s="1193"/>
      <c r="E330" s="1193"/>
      <c r="F330" s="1193"/>
      <c r="G330" s="1193"/>
      <c r="H330" s="1193"/>
      <c r="I330" s="1208"/>
      <c r="J330" s="549">
        <f>SUM(J328:J328)</f>
        <v>29657</v>
      </c>
    </row>
    <row r="331" spans="1:10" ht="15" customHeight="1" thickBot="1">
      <c r="A331" s="114"/>
      <c r="B331" s="1196" t="s">
        <v>77</v>
      </c>
      <c r="C331" s="1196"/>
      <c r="D331" s="1196"/>
      <c r="E331" s="1196"/>
      <c r="F331" s="1196"/>
      <c r="G331" s="1196"/>
      <c r="H331" s="1196"/>
      <c r="I331" s="1196"/>
      <c r="J331" s="573"/>
    </row>
    <row r="332" spans="1:10" ht="15" customHeight="1">
      <c r="A332" s="114"/>
      <c r="B332" s="551" t="s">
        <v>1091</v>
      </c>
      <c r="C332" s="154"/>
      <c r="D332" s="154"/>
      <c r="E332" s="154"/>
      <c r="F332" s="154"/>
      <c r="G332" s="154"/>
      <c r="H332" s="154"/>
      <c r="I332" s="154"/>
      <c r="J332" s="278"/>
    </row>
    <row r="333" spans="1:10" ht="15" customHeight="1" thickBot="1">
      <c r="A333" s="114"/>
      <c r="B333" s="155"/>
      <c r="C333" s="155"/>
      <c r="D333" s="155"/>
      <c r="E333" s="155"/>
      <c r="F333" s="155"/>
      <c r="G333" s="155"/>
      <c r="H333" s="155"/>
      <c r="I333" s="155"/>
      <c r="J333" s="574"/>
    </row>
    <row r="334" spans="1:10" ht="15" customHeight="1" thickTop="1">
      <c r="A334" s="114"/>
      <c r="B334" s="1211" t="s">
        <v>57</v>
      </c>
      <c r="C334" s="1211"/>
      <c r="D334" s="1211"/>
      <c r="E334" s="1211"/>
      <c r="F334" s="1211"/>
      <c r="G334" s="1211"/>
      <c r="H334" s="1211"/>
      <c r="I334" s="1211"/>
      <c r="J334" s="1211"/>
    </row>
    <row r="335" spans="1:10" ht="44.25" customHeight="1">
      <c r="A335" s="114"/>
      <c r="B335" s="1213" t="str">
        <f>'PSQ-SUPER'!C98</f>
        <v>Fornecimento e Aplicação de Concreto (fck=30MPa)</v>
      </c>
      <c r="C335" s="1213"/>
      <c r="D335" s="1213"/>
      <c r="E335" s="1213"/>
      <c r="F335" s="1213"/>
      <c r="G335" s="1213"/>
      <c r="H335" s="1213"/>
      <c r="I335" s="1213"/>
      <c r="J335" s="541"/>
    </row>
    <row r="336" spans="1:10" ht="15" customHeight="1">
      <c r="A336" s="114"/>
      <c r="B336" s="1267" t="s">
        <v>7</v>
      </c>
      <c r="C336" s="1266"/>
      <c r="D336" s="1262" t="s">
        <v>70</v>
      </c>
      <c r="E336" s="1263"/>
      <c r="F336" s="1263"/>
      <c r="G336" s="1264"/>
      <c r="H336" s="1265" t="s">
        <v>4</v>
      </c>
      <c r="I336" s="1266"/>
      <c r="J336" s="365" t="s">
        <v>71</v>
      </c>
    </row>
    <row r="337" spans="1:10" ht="56.25" customHeight="1" thickBot="1">
      <c r="A337" s="114"/>
      <c r="B337" s="1278" t="str">
        <f>'PSQ-SUPER'!B98</f>
        <v>04.03.130.01</v>
      </c>
      <c r="C337" s="1279"/>
      <c r="D337" s="1218" t="str">
        <f>B335</f>
        <v>Fornecimento e Aplicação de Concreto (fck=30MPa)</v>
      </c>
      <c r="E337" s="1219"/>
      <c r="F337" s="1219"/>
      <c r="G337" s="1195"/>
      <c r="H337" s="1184" t="str">
        <f>'PSQ-SUPER'!D98</f>
        <v>m³</v>
      </c>
      <c r="I337" s="1185"/>
      <c r="J337" s="542">
        <f>J346</f>
        <v>8383.2608633275013</v>
      </c>
    </row>
    <row r="338" spans="1:10" ht="15">
      <c r="A338" s="114"/>
      <c r="B338" s="1186" t="s">
        <v>72</v>
      </c>
      <c r="C338" s="1186"/>
      <c r="D338" s="1186"/>
      <c r="E338" s="1186"/>
      <c r="F338" s="1186"/>
      <c r="G338" s="1186"/>
      <c r="H338" s="1186"/>
      <c r="I338" s="1186"/>
      <c r="J338" s="572"/>
    </row>
    <row r="339" spans="1:10" ht="15" customHeight="1">
      <c r="A339" s="114"/>
      <c r="B339" s="162" t="str">
        <f>'Pág 2'!$C$23</f>
        <v xml:space="preserve">A especificação propriamente dita, a forma de execução, se for o caso e o critério de medição são descritas no(s) seguinte(s) documento(s): </v>
      </c>
      <c r="C339" s="168"/>
      <c r="D339" s="168"/>
      <c r="E339" s="168"/>
      <c r="F339" s="168"/>
      <c r="G339" s="168"/>
      <c r="H339" s="162" t="str">
        <f>'Pág 2'!$C$24</f>
        <v>FL.01/302.92/04538 - Especificação Técnica</v>
      </c>
      <c r="I339" s="168"/>
      <c r="J339" s="168"/>
    </row>
    <row r="340" spans="1:10" ht="15" customHeight="1">
      <c r="A340" s="114"/>
      <c r="B340" s="163" t="str">
        <f>'Pág 2'!$C$15</f>
        <v xml:space="preserve">Foram utilizadas as premissas descritas no(s) seguinte(s)  documento(s):  </v>
      </c>
      <c r="C340" s="164"/>
      <c r="D340" s="164"/>
      <c r="E340" s="163" t="str">
        <f>'Pág 2'!$C$17</f>
        <v xml:space="preserve">FL.01/302.76/04537 - Memorial de Cálculo e Dimensionamento </v>
      </c>
      <c r="F340" s="114"/>
      <c r="G340" s="164"/>
      <c r="H340" s="164"/>
      <c r="I340" s="164"/>
      <c r="J340" s="164"/>
    </row>
    <row r="341" spans="1:10" ht="15" customHeight="1">
      <c r="A341" s="114"/>
      <c r="B341" s="163" t="s">
        <v>73</v>
      </c>
      <c r="C341" s="153"/>
      <c r="D341" s="153"/>
      <c r="E341" s="163"/>
      <c r="F341" s="114"/>
      <c r="G341" s="164"/>
      <c r="H341" s="164"/>
      <c r="I341" s="164"/>
      <c r="J341" s="544"/>
    </row>
    <row r="342" spans="1:10" thickBot="1">
      <c r="A342" s="114"/>
      <c r="B342" s="165"/>
      <c r="C342" s="165"/>
      <c r="D342" s="165"/>
      <c r="E342" s="153"/>
      <c r="F342" s="153"/>
      <c r="G342" s="153"/>
      <c r="H342" s="153"/>
      <c r="I342" s="153"/>
      <c r="J342" s="278"/>
    </row>
    <row r="343" spans="1:10" ht="15">
      <c r="A343" s="114"/>
      <c r="B343" s="1187" t="s">
        <v>74</v>
      </c>
      <c r="C343" s="1187"/>
      <c r="D343" s="1187"/>
      <c r="E343" s="1187"/>
      <c r="F343" s="1187"/>
      <c r="G343" s="1187"/>
      <c r="H343" s="1188"/>
      <c r="I343" s="1189"/>
      <c r="J343" s="546" t="s">
        <v>75</v>
      </c>
    </row>
    <row r="344" spans="1:10" ht="15" customHeight="1">
      <c r="A344" s="114"/>
      <c r="B344" s="1181" t="str">
        <f>TIT.301</f>
        <v>FL.26/304.16/04543 - TERMINAL DE PASSAGEIROS</v>
      </c>
      <c r="C344" s="1181"/>
      <c r="D344" s="1181"/>
      <c r="E344" s="1181"/>
      <c r="F344" s="1181"/>
      <c r="G344" s="1181"/>
      <c r="H344" s="1182"/>
      <c r="I344" s="1183"/>
      <c r="J344" s="547">
        <f>C.301</f>
        <v>8383.2608633275013</v>
      </c>
    </row>
    <row r="345" spans="1:10" ht="15">
      <c r="A345" s="114"/>
      <c r="B345" s="1181"/>
      <c r="C345" s="1181"/>
      <c r="D345" s="1181"/>
      <c r="E345" s="1181"/>
      <c r="F345" s="1181"/>
      <c r="G345" s="1181"/>
      <c r="H345" s="1182"/>
      <c r="I345" s="1183"/>
      <c r="J345" s="548"/>
    </row>
    <row r="346" spans="1:10" thickBot="1">
      <c r="A346" s="114"/>
      <c r="B346" s="1193" t="s">
        <v>76</v>
      </c>
      <c r="C346" s="1193"/>
      <c r="D346" s="1193"/>
      <c r="E346" s="1193"/>
      <c r="F346" s="1193"/>
      <c r="G346" s="1193"/>
      <c r="H346" s="1194"/>
      <c r="I346" s="1195"/>
      <c r="J346" s="549">
        <f>SUM(J344:J344)</f>
        <v>8383.2608633275013</v>
      </c>
    </row>
    <row r="347" spans="1:10" thickBot="1">
      <c r="A347" s="114"/>
      <c r="B347" s="1196" t="s">
        <v>77</v>
      </c>
      <c r="C347" s="1196"/>
      <c r="D347" s="1196"/>
      <c r="E347" s="1196"/>
      <c r="F347" s="1196"/>
      <c r="G347" s="1196"/>
      <c r="H347" s="1196"/>
      <c r="I347" s="1196"/>
      <c r="J347" s="573"/>
    </row>
    <row r="348" spans="1:10" ht="15">
      <c r="A348" s="114"/>
      <c r="B348" s="551" t="s">
        <v>1091</v>
      </c>
      <c r="C348" s="154"/>
      <c r="D348" s="154"/>
      <c r="E348" s="154"/>
      <c r="F348" s="154"/>
      <c r="G348" s="154"/>
      <c r="H348" s="154"/>
      <c r="I348" s="154"/>
      <c r="J348" s="278"/>
    </row>
    <row r="349" spans="1:10" thickBot="1">
      <c r="A349" s="114"/>
      <c r="B349" s="155"/>
      <c r="C349" s="155"/>
      <c r="D349" s="155"/>
      <c r="E349" s="155"/>
      <c r="F349" s="155"/>
      <c r="G349" s="155"/>
      <c r="H349" s="155"/>
      <c r="I349" s="155"/>
      <c r="J349" s="574"/>
    </row>
    <row r="350" spans="1:10" thickTop="1">
      <c r="A350" s="114"/>
      <c r="B350" s="1211" t="s">
        <v>57</v>
      </c>
      <c r="C350" s="1211"/>
      <c r="D350" s="1211"/>
      <c r="E350" s="1211"/>
      <c r="F350" s="1211"/>
      <c r="G350" s="1211"/>
      <c r="H350" s="1211"/>
      <c r="I350" s="1211"/>
      <c r="J350" s="1211"/>
    </row>
    <row r="351" spans="1:10" ht="44.25" customHeight="1">
      <c r="A351" s="114"/>
      <c r="B351" s="1213" t="str">
        <f>'PSQ-SUPER'!C104</f>
        <v>Fornecimento e Aplicação de Junta de Dilatação</v>
      </c>
      <c r="C351" s="1213"/>
      <c r="D351" s="1213"/>
      <c r="E351" s="1213"/>
      <c r="F351" s="1213"/>
      <c r="G351" s="1213"/>
      <c r="H351" s="1213"/>
      <c r="I351" s="1213"/>
      <c r="J351" s="541"/>
    </row>
    <row r="352" spans="1:10" ht="15">
      <c r="A352" s="114"/>
      <c r="B352" s="1267" t="s">
        <v>7</v>
      </c>
      <c r="C352" s="1266"/>
      <c r="D352" s="1262" t="s">
        <v>70</v>
      </c>
      <c r="E352" s="1263"/>
      <c r="F352" s="1263"/>
      <c r="G352" s="1264"/>
      <c r="H352" s="1265" t="s">
        <v>4</v>
      </c>
      <c r="I352" s="1266"/>
      <c r="J352" s="365" t="s">
        <v>71</v>
      </c>
    </row>
    <row r="353" spans="1:10" ht="56.25" customHeight="1" thickBot="1">
      <c r="A353" s="114"/>
      <c r="B353" s="1278" t="str">
        <f>'PSQ-SUPER'!B104</f>
        <v>04.03.310.01</v>
      </c>
      <c r="C353" s="1279"/>
      <c r="D353" s="1218" t="str">
        <f>B351</f>
        <v>Fornecimento e Aplicação de Junta de Dilatação</v>
      </c>
      <c r="E353" s="1219"/>
      <c r="F353" s="1219"/>
      <c r="G353" s="1195"/>
      <c r="H353" s="1184" t="str">
        <f>'PSQ-SUPER'!D104</f>
        <v>m</v>
      </c>
      <c r="I353" s="1185"/>
      <c r="J353" s="542">
        <f>J362</f>
        <v>431.38</v>
      </c>
    </row>
    <row r="354" spans="1:10" ht="15">
      <c r="A354" s="114"/>
      <c r="B354" s="1186" t="s">
        <v>72</v>
      </c>
      <c r="C354" s="1186"/>
      <c r="D354" s="1186"/>
      <c r="E354" s="1186"/>
      <c r="F354" s="1186"/>
      <c r="G354" s="1186"/>
      <c r="H354" s="1186"/>
      <c r="I354" s="1186"/>
      <c r="J354" s="572"/>
    </row>
    <row r="355" spans="1:10" ht="15">
      <c r="A355" s="114"/>
      <c r="B355" s="162" t="str">
        <f>'Pág 2'!$C$23</f>
        <v xml:space="preserve">A especificação propriamente dita, a forma de execução, se for o caso e o critério de medição são descritas no(s) seguinte(s) documento(s): </v>
      </c>
      <c r="C355" s="168"/>
      <c r="D355" s="168"/>
      <c r="E355" s="168"/>
      <c r="F355" s="168"/>
      <c r="G355" s="168"/>
      <c r="H355" s="162" t="str">
        <f>'Pág 2'!$C$24</f>
        <v>FL.01/302.92/04538 - Especificação Técnica</v>
      </c>
      <c r="I355" s="168"/>
      <c r="J355" s="168"/>
    </row>
    <row r="356" spans="1:10" ht="15">
      <c r="A356" s="114"/>
      <c r="B356" s="163" t="str">
        <f>'Pág 2'!$C$15</f>
        <v xml:space="preserve">Foram utilizadas as premissas descritas no(s) seguinte(s)  documento(s):  </v>
      </c>
      <c r="C356" s="164"/>
      <c r="D356" s="164"/>
      <c r="E356" s="163" t="str">
        <f>'Pág 2'!$C$17</f>
        <v xml:space="preserve">FL.01/302.76/04537 - Memorial de Cálculo e Dimensionamento </v>
      </c>
      <c r="F356" s="114"/>
      <c r="G356" s="164"/>
      <c r="H356" s="164"/>
      <c r="I356" s="164"/>
      <c r="J356" s="164"/>
    </row>
    <row r="357" spans="1:10" ht="15">
      <c r="A357" s="114"/>
      <c r="B357" s="163" t="s">
        <v>73</v>
      </c>
      <c r="C357" s="153"/>
      <c r="D357" s="153"/>
      <c r="E357" s="163"/>
      <c r="F357" s="114"/>
      <c r="G357" s="164"/>
      <c r="H357" s="164"/>
      <c r="I357" s="164"/>
      <c r="J357" s="544"/>
    </row>
    <row r="358" spans="1:10" thickBot="1">
      <c r="A358" s="114"/>
      <c r="B358" s="165"/>
      <c r="C358" s="165"/>
      <c r="D358" s="165"/>
      <c r="E358" s="153"/>
      <c r="F358" s="153"/>
      <c r="G358" s="153"/>
      <c r="H358" s="153"/>
      <c r="I358" s="153"/>
      <c r="J358" s="278"/>
    </row>
    <row r="359" spans="1:10" ht="15">
      <c r="A359" s="114"/>
      <c r="B359" s="1187" t="s">
        <v>74</v>
      </c>
      <c r="C359" s="1187"/>
      <c r="D359" s="1187"/>
      <c r="E359" s="1187"/>
      <c r="F359" s="1187"/>
      <c r="G359" s="1187"/>
      <c r="H359" s="1188"/>
      <c r="I359" s="1189"/>
      <c r="J359" s="546" t="s">
        <v>75</v>
      </c>
    </row>
    <row r="360" spans="1:10" ht="15" customHeight="1">
      <c r="A360" s="114"/>
      <c r="B360" s="1181" t="str">
        <f>TIT.301</f>
        <v>FL.26/304.16/04543 - TERMINAL DE PASSAGEIROS</v>
      </c>
      <c r="C360" s="1181"/>
      <c r="D360" s="1181"/>
      <c r="E360" s="1181"/>
      <c r="F360" s="1181"/>
      <c r="G360" s="1181"/>
      <c r="H360" s="1182"/>
      <c r="I360" s="1183"/>
      <c r="J360" s="547">
        <f>JD.301</f>
        <v>431.38</v>
      </c>
    </row>
    <row r="361" spans="1:10" ht="15">
      <c r="A361" s="114"/>
      <c r="B361" s="1181"/>
      <c r="C361" s="1181"/>
      <c r="D361" s="1181"/>
      <c r="E361" s="1181"/>
      <c r="F361" s="1181"/>
      <c r="G361" s="1181"/>
      <c r="H361" s="1182"/>
      <c r="I361" s="1183"/>
      <c r="J361" s="548"/>
    </row>
    <row r="362" spans="1:10" thickBot="1">
      <c r="A362" s="114"/>
      <c r="B362" s="1193" t="s">
        <v>76</v>
      </c>
      <c r="C362" s="1193"/>
      <c r="D362" s="1193"/>
      <c r="E362" s="1193"/>
      <c r="F362" s="1193"/>
      <c r="G362" s="1193"/>
      <c r="H362" s="1194"/>
      <c r="I362" s="1195"/>
      <c r="J362" s="549">
        <f>SUM(J360:J360)</f>
        <v>431.38</v>
      </c>
    </row>
    <row r="363" spans="1:10" thickBot="1">
      <c r="A363" s="114"/>
      <c r="B363" s="1196" t="s">
        <v>77</v>
      </c>
      <c r="C363" s="1196"/>
      <c r="D363" s="1196"/>
      <c r="E363" s="1196"/>
      <c r="F363" s="1196"/>
      <c r="G363" s="1196"/>
      <c r="H363" s="1196"/>
      <c r="I363" s="1196"/>
      <c r="J363" s="573"/>
    </row>
    <row r="364" spans="1:10" ht="15">
      <c r="A364" s="114"/>
      <c r="B364" s="551" t="s">
        <v>1091</v>
      </c>
      <c r="C364" s="154"/>
      <c r="D364" s="154"/>
      <c r="E364" s="154"/>
      <c r="F364" s="154"/>
      <c r="G364" s="154"/>
      <c r="H364" s="154"/>
      <c r="I364" s="154"/>
      <c r="J364" s="278"/>
    </row>
    <row r="365" spans="1:10" thickBot="1">
      <c r="A365" s="114"/>
      <c r="B365" s="155"/>
      <c r="C365" s="155"/>
      <c r="D365" s="155"/>
      <c r="E365" s="155"/>
      <c r="F365" s="155"/>
      <c r="G365" s="155"/>
      <c r="H365" s="155"/>
      <c r="I365" s="155"/>
      <c r="J365" s="574"/>
    </row>
    <row r="366" spans="1:10" thickTop="1">
      <c r="A366" s="114"/>
      <c r="B366" s="1211" t="s">
        <v>57</v>
      </c>
      <c r="C366" s="1211"/>
      <c r="D366" s="1211"/>
      <c r="E366" s="1211"/>
      <c r="F366" s="1211"/>
      <c r="G366" s="1211"/>
      <c r="H366" s="1211"/>
      <c r="I366" s="1211"/>
      <c r="J366" s="1211"/>
    </row>
    <row r="367" spans="1:10" ht="44.25" customHeight="1">
      <c r="A367" s="114"/>
      <c r="B367" s="1213" t="str">
        <f>'PSQ-SUPER'!C106</f>
        <v>Fornecimento e Aplicação de Junta de Encontro</v>
      </c>
      <c r="C367" s="1213"/>
      <c r="D367" s="1213"/>
      <c r="E367" s="1213"/>
      <c r="F367" s="1213"/>
      <c r="G367" s="1213"/>
      <c r="H367" s="1213"/>
      <c r="I367" s="1213"/>
      <c r="J367" s="541"/>
    </row>
    <row r="368" spans="1:10" ht="15">
      <c r="A368" s="114"/>
      <c r="B368" s="1267" t="s">
        <v>7</v>
      </c>
      <c r="C368" s="1266"/>
      <c r="D368" s="1262" t="s">
        <v>70</v>
      </c>
      <c r="E368" s="1263"/>
      <c r="F368" s="1263"/>
      <c r="G368" s="1264"/>
      <c r="H368" s="1265" t="s">
        <v>4</v>
      </c>
      <c r="I368" s="1266"/>
      <c r="J368" s="365" t="s">
        <v>71</v>
      </c>
    </row>
    <row r="369" spans="1:10" ht="56.25" customHeight="1" thickBot="1">
      <c r="A369" s="114"/>
      <c r="B369" s="1278" t="str">
        <f>'PSQ-SUPER'!B106</f>
        <v>04.03.310.02</v>
      </c>
      <c r="C369" s="1279"/>
      <c r="D369" s="1218" t="str">
        <f>B367</f>
        <v>Fornecimento e Aplicação de Junta de Encontro</v>
      </c>
      <c r="E369" s="1219"/>
      <c r="F369" s="1219"/>
      <c r="G369" s="1195"/>
      <c r="H369" s="1184" t="str">
        <f>'PSQ-SUPER'!D106</f>
        <v>m</v>
      </c>
      <c r="I369" s="1185"/>
      <c r="J369" s="542">
        <f>J378</f>
        <v>3653.7</v>
      </c>
    </row>
    <row r="370" spans="1:10" ht="15">
      <c r="A370" s="114"/>
      <c r="B370" s="1186" t="s">
        <v>72</v>
      </c>
      <c r="C370" s="1186"/>
      <c r="D370" s="1186"/>
      <c r="E370" s="1186"/>
      <c r="F370" s="1186"/>
      <c r="G370" s="1186"/>
      <c r="H370" s="1186"/>
      <c r="I370" s="1186"/>
      <c r="J370" s="572"/>
    </row>
    <row r="371" spans="1:10" ht="15">
      <c r="A371" s="114"/>
      <c r="B371" s="162" t="str">
        <f>'Pág 2'!$C$23</f>
        <v xml:space="preserve">A especificação propriamente dita, a forma de execução, se for o caso e o critério de medição são descritas no(s) seguinte(s) documento(s): </v>
      </c>
      <c r="C371" s="168"/>
      <c r="D371" s="168"/>
      <c r="E371" s="168"/>
      <c r="F371" s="168"/>
      <c r="G371" s="168"/>
      <c r="H371" s="162" t="str">
        <f>'Pág 2'!$C$24</f>
        <v>FL.01/302.92/04538 - Especificação Técnica</v>
      </c>
      <c r="I371" s="168"/>
      <c r="J371" s="168"/>
    </row>
    <row r="372" spans="1:10" ht="15">
      <c r="A372" s="114"/>
      <c r="B372" s="163" t="str">
        <f>'Pág 2'!$C$15</f>
        <v xml:space="preserve">Foram utilizadas as premissas descritas no(s) seguinte(s)  documento(s):  </v>
      </c>
      <c r="C372" s="164"/>
      <c r="D372" s="164"/>
      <c r="E372" s="163" t="str">
        <f>'Pág 2'!$C$17</f>
        <v xml:space="preserve">FL.01/302.76/04537 - Memorial de Cálculo e Dimensionamento </v>
      </c>
      <c r="F372" s="114"/>
      <c r="G372" s="164"/>
      <c r="H372" s="164"/>
      <c r="I372" s="164"/>
      <c r="J372" s="164"/>
    </row>
    <row r="373" spans="1:10" ht="15">
      <c r="A373" s="114"/>
      <c r="B373" s="163" t="s">
        <v>73</v>
      </c>
      <c r="C373" s="153"/>
      <c r="D373" s="153"/>
      <c r="E373" s="163"/>
      <c r="F373" s="114"/>
      <c r="G373" s="164"/>
      <c r="H373" s="164"/>
      <c r="I373" s="164"/>
      <c r="J373" s="544"/>
    </row>
    <row r="374" spans="1:10" thickBot="1">
      <c r="A374" s="114"/>
      <c r="B374" s="165"/>
      <c r="C374" s="165"/>
      <c r="D374" s="165"/>
      <c r="E374" s="153"/>
      <c r="F374" s="153"/>
      <c r="G374" s="153"/>
      <c r="H374" s="153"/>
      <c r="I374" s="153"/>
      <c r="J374" s="278"/>
    </row>
    <row r="375" spans="1:10" ht="15">
      <c r="A375" s="114"/>
      <c r="B375" s="1187" t="s">
        <v>74</v>
      </c>
      <c r="C375" s="1187"/>
      <c r="D375" s="1187"/>
      <c r="E375" s="1187"/>
      <c r="F375" s="1187"/>
      <c r="G375" s="1187"/>
      <c r="H375" s="1188"/>
      <c r="I375" s="1189"/>
      <c r="J375" s="546" t="s">
        <v>75</v>
      </c>
    </row>
    <row r="376" spans="1:10" ht="15" customHeight="1">
      <c r="A376" s="114"/>
      <c r="B376" s="1181" t="str">
        <f>TIT.301</f>
        <v>FL.26/304.16/04543 - TERMINAL DE PASSAGEIROS</v>
      </c>
      <c r="C376" s="1181"/>
      <c r="D376" s="1181"/>
      <c r="E376" s="1181"/>
      <c r="F376" s="1181"/>
      <c r="G376" s="1181"/>
      <c r="H376" s="1182"/>
      <c r="I376" s="1183"/>
      <c r="J376" s="547">
        <f>JE.301</f>
        <v>3653.7</v>
      </c>
    </row>
    <row r="377" spans="1:10" ht="15">
      <c r="A377" s="114"/>
      <c r="B377" s="1181"/>
      <c r="C377" s="1181"/>
      <c r="D377" s="1181"/>
      <c r="E377" s="1181"/>
      <c r="F377" s="1181"/>
      <c r="G377" s="1181"/>
      <c r="H377" s="1182"/>
      <c r="I377" s="1183"/>
      <c r="J377" s="548"/>
    </row>
    <row r="378" spans="1:10" thickBot="1">
      <c r="A378" s="114"/>
      <c r="B378" s="1193" t="s">
        <v>76</v>
      </c>
      <c r="C378" s="1193"/>
      <c r="D378" s="1193"/>
      <c r="E378" s="1193"/>
      <c r="F378" s="1193"/>
      <c r="G378" s="1193"/>
      <c r="H378" s="1194"/>
      <c r="I378" s="1195"/>
      <c r="J378" s="549">
        <f>SUM(J376:J376)</f>
        <v>3653.7</v>
      </c>
    </row>
    <row r="379" spans="1:10" thickBot="1">
      <c r="A379" s="114"/>
      <c r="B379" s="1196" t="s">
        <v>77</v>
      </c>
      <c r="C379" s="1196"/>
      <c r="D379" s="1196"/>
      <c r="E379" s="1196"/>
      <c r="F379" s="1196"/>
      <c r="G379" s="1196"/>
      <c r="H379" s="1196"/>
      <c r="I379" s="1196"/>
      <c r="J379" s="573"/>
    </row>
    <row r="380" spans="1:10" ht="15">
      <c r="A380" s="114"/>
      <c r="B380" s="551" t="s">
        <v>1091</v>
      </c>
      <c r="C380" s="154"/>
      <c r="D380" s="154"/>
      <c r="E380" s="154"/>
      <c r="F380" s="154"/>
      <c r="G380" s="154"/>
      <c r="H380" s="154"/>
      <c r="I380" s="154"/>
      <c r="J380" s="278"/>
    </row>
    <row r="381" spans="1:10" thickBot="1">
      <c r="A381" s="114"/>
      <c r="B381" s="155"/>
      <c r="C381" s="155"/>
      <c r="D381" s="155"/>
      <c r="E381" s="155"/>
      <c r="F381" s="155"/>
      <c r="G381" s="155"/>
      <c r="H381" s="155"/>
      <c r="I381" s="155"/>
      <c r="J381" s="574"/>
    </row>
    <row r="382" spans="1:10" thickTop="1">
      <c r="A382" s="114"/>
      <c r="B382" s="1211" t="s">
        <v>57</v>
      </c>
      <c r="C382" s="1211"/>
      <c r="D382" s="1211"/>
      <c r="E382" s="1211"/>
      <c r="F382" s="1211"/>
      <c r="G382" s="1211"/>
      <c r="H382" s="1211"/>
      <c r="I382" s="1211"/>
      <c r="J382" s="1211"/>
    </row>
    <row r="383" spans="1:10" ht="44.25" customHeight="1">
      <c r="A383" s="114"/>
      <c r="B383" s="1213" t="str">
        <f>'PSQ-SUPER'!C108</f>
        <v>Fornecimento e Aplicação de Junta de Retração</v>
      </c>
      <c r="C383" s="1213"/>
      <c r="D383" s="1213"/>
      <c r="E383" s="1213"/>
      <c r="F383" s="1213"/>
      <c r="G383" s="1213"/>
      <c r="H383" s="1213"/>
      <c r="I383" s="1213"/>
      <c r="J383" s="541"/>
    </row>
    <row r="384" spans="1:10" ht="15">
      <c r="A384" s="114"/>
      <c r="B384" s="1267" t="s">
        <v>7</v>
      </c>
      <c r="C384" s="1266"/>
      <c r="D384" s="1262" t="s">
        <v>70</v>
      </c>
      <c r="E384" s="1263"/>
      <c r="F384" s="1263"/>
      <c r="G384" s="1264"/>
      <c r="H384" s="1265" t="s">
        <v>4</v>
      </c>
      <c r="I384" s="1266"/>
      <c r="J384" s="365" t="s">
        <v>71</v>
      </c>
    </row>
    <row r="385" spans="1:10" ht="56.25" customHeight="1" thickBot="1">
      <c r="A385" s="114"/>
      <c r="B385" s="1278" t="str">
        <f>'PSQ-SUPER'!B108</f>
        <v>04.03.310.03</v>
      </c>
      <c r="C385" s="1279"/>
      <c r="D385" s="1218" t="str">
        <f>B383</f>
        <v>Fornecimento e Aplicação de Junta de Retração</v>
      </c>
      <c r="E385" s="1219"/>
      <c r="F385" s="1219"/>
      <c r="G385" s="1195"/>
      <c r="H385" s="1184" t="str">
        <f>'PSQ-SUPER'!D108</f>
        <v>m</v>
      </c>
      <c r="I385" s="1185"/>
      <c r="J385" s="542">
        <f>J394</f>
        <v>1096</v>
      </c>
    </row>
    <row r="386" spans="1:10" ht="15">
      <c r="A386" s="114"/>
      <c r="B386" s="1186" t="s">
        <v>72</v>
      </c>
      <c r="C386" s="1186"/>
      <c r="D386" s="1186"/>
      <c r="E386" s="1186"/>
      <c r="F386" s="1186"/>
      <c r="G386" s="1186"/>
      <c r="H386" s="1186"/>
      <c r="I386" s="1186"/>
      <c r="J386" s="572"/>
    </row>
    <row r="387" spans="1:10" ht="15">
      <c r="A387" s="114"/>
      <c r="B387" s="162" t="str">
        <f>'Pág 2'!$C$23</f>
        <v xml:space="preserve">A especificação propriamente dita, a forma de execução, se for o caso e o critério de medição são descritas no(s) seguinte(s) documento(s): </v>
      </c>
      <c r="C387" s="168"/>
      <c r="D387" s="168"/>
      <c r="E387" s="168"/>
      <c r="F387" s="168"/>
      <c r="G387" s="168"/>
      <c r="H387" s="162" t="str">
        <f>'Pág 2'!$C$24</f>
        <v>FL.01/302.92/04538 - Especificação Técnica</v>
      </c>
      <c r="I387" s="168"/>
      <c r="J387" s="168"/>
    </row>
    <row r="388" spans="1:10" ht="15">
      <c r="A388" s="114"/>
      <c r="B388" s="163" t="str">
        <f>'Pág 2'!$C$15</f>
        <v xml:space="preserve">Foram utilizadas as premissas descritas no(s) seguinte(s)  documento(s):  </v>
      </c>
      <c r="C388" s="164"/>
      <c r="D388" s="164"/>
      <c r="E388" s="163" t="str">
        <f>'Pág 2'!$C$17</f>
        <v xml:space="preserve">FL.01/302.76/04537 - Memorial de Cálculo e Dimensionamento </v>
      </c>
      <c r="F388" s="114"/>
      <c r="G388" s="164"/>
      <c r="H388" s="164"/>
      <c r="I388" s="164"/>
      <c r="J388" s="164"/>
    </row>
    <row r="389" spans="1:10" ht="15">
      <c r="A389" s="114"/>
      <c r="B389" s="163" t="s">
        <v>73</v>
      </c>
      <c r="C389" s="153"/>
      <c r="D389" s="153"/>
      <c r="E389" s="163"/>
      <c r="F389" s="114"/>
      <c r="G389" s="164"/>
      <c r="H389" s="164"/>
      <c r="I389" s="164"/>
      <c r="J389" s="544"/>
    </row>
    <row r="390" spans="1:10" thickBot="1">
      <c r="A390" s="114"/>
      <c r="B390" s="165"/>
      <c r="C390" s="165"/>
      <c r="D390" s="165"/>
      <c r="E390" s="153"/>
      <c r="F390" s="153"/>
      <c r="G390" s="153"/>
      <c r="H390" s="153"/>
      <c r="I390" s="153"/>
      <c r="J390" s="278"/>
    </row>
    <row r="391" spans="1:10" ht="15">
      <c r="A391" s="114"/>
      <c r="B391" s="1187" t="s">
        <v>74</v>
      </c>
      <c r="C391" s="1187"/>
      <c r="D391" s="1187"/>
      <c r="E391" s="1187"/>
      <c r="F391" s="1187"/>
      <c r="G391" s="1187"/>
      <c r="H391" s="1188"/>
      <c r="I391" s="1189"/>
      <c r="J391" s="546" t="s">
        <v>75</v>
      </c>
    </row>
    <row r="392" spans="1:10" ht="15" customHeight="1">
      <c r="A392" s="114"/>
      <c r="B392" s="1181" t="str">
        <f>TIT.301</f>
        <v>FL.26/304.16/04543 - TERMINAL DE PASSAGEIROS</v>
      </c>
      <c r="C392" s="1181"/>
      <c r="D392" s="1181"/>
      <c r="E392" s="1181"/>
      <c r="F392" s="1181"/>
      <c r="G392" s="1181"/>
      <c r="H392" s="1182"/>
      <c r="I392" s="1183"/>
      <c r="J392" s="553">
        <f>JR.301</f>
        <v>1096</v>
      </c>
    </row>
    <row r="393" spans="1:10" ht="15">
      <c r="A393" s="114"/>
      <c r="B393" s="1181"/>
      <c r="C393" s="1181"/>
      <c r="D393" s="1181"/>
      <c r="E393" s="1181"/>
      <c r="F393" s="1181"/>
      <c r="G393" s="1181"/>
      <c r="H393" s="1182"/>
      <c r="I393" s="1183"/>
      <c r="J393" s="548"/>
    </row>
    <row r="394" spans="1:10" thickBot="1">
      <c r="A394" s="114"/>
      <c r="B394" s="1193" t="s">
        <v>76</v>
      </c>
      <c r="C394" s="1193"/>
      <c r="D394" s="1193"/>
      <c r="E394" s="1193"/>
      <c r="F394" s="1193"/>
      <c r="G394" s="1193"/>
      <c r="H394" s="1194"/>
      <c r="I394" s="1195"/>
      <c r="J394" s="549">
        <f>SUM(J392:J392)</f>
        <v>1096</v>
      </c>
    </row>
    <row r="395" spans="1:10" thickBot="1">
      <c r="A395" s="114"/>
      <c r="B395" s="1196" t="s">
        <v>77</v>
      </c>
      <c r="C395" s="1196"/>
      <c r="D395" s="1196"/>
      <c r="E395" s="1196"/>
      <c r="F395" s="1196"/>
      <c r="G395" s="1196"/>
      <c r="H395" s="1196"/>
      <c r="I395" s="1196"/>
      <c r="J395" s="573"/>
    </row>
    <row r="396" spans="1:10" ht="15">
      <c r="A396" s="114"/>
      <c r="B396" s="551" t="s">
        <v>1091</v>
      </c>
      <c r="C396" s="154"/>
      <c r="D396" s="154"/>
      <c r="E396" s="154"/>
      <c r="F396" s="154"/>
      <c r="G396" s="154"/>
      <c r="H396" s="154"/>
      <c r="I396" s="154"/>
      <c r="J396" s="278"/>
    </row>
    <row r="397" spans="1:10" thickBot="1">
      <c r="A397" s="114"/>
      <c r="B397" s="155"/>
      <c r="C397" s="155"/>
      <c r="D397" s="155"/>
      <c r="E397" s="155"/>
      <c r="F397" s="155"/>
      <c r="G397" s="155"/>
      <c r="H397" s="155"/>
      <c r="I397" s="155"/>
      <c r="J397" s="574"/>
    </row>
    <row r="398" spans="1:10" thickTop="1">
      <c r="A398" s="114"/>
      <c r="B398" s="1211" t="s">
        <v>57</v>
      </c>
      <c r="C398" s="1211"/>
      <c r="D398" s="1211"/>
      <c r="E398" s="1211"/>
      <c r="F398" s="1211"/>
      <c r="G398" s="1211"/>
      <c r="H398" s="1211"/>
      <c r="I398" s="1211"/>
      <c r="J398" s="1211"/>
    </row>
    <row r="399" spans="1:10" ht="44.25" customHeight="1">
      <c r="A399" s="114"/>
      <c r="B399" s="1213" t="str">
        <f>'PSQ-SUPER'!C110</f>
        <v>Fornecimento e Aplicação de Junta Serrada</v>
      </c>
      <c r="C399" s="1213"/>
      <c r="D399" s="1213"/>
      <c r="E399" s="1213"/>
      <c r="F399" s="1213"/>
      <c r="G399" s="1213"/>
      <c r="H399" s="1213"/>
      <c r="I399" s="1213"/>
      <c r="J399" s="541"/>
    </row>
    <row r="400" spans="1:10" ht="15">
      <c r="A400" s="114"/>
      <c r="B400" s="1267" t="s">
        <v>7</v>
      </c>
      <c r="C400" s="1266"/>
      <c r="D400" s="1262" t="s">
        <v>70</v>
      </c>
      <c r="E400" s="1263"/>
      <c r="F400" s="1263"/>
      <c r="G400" s="1264"/>
      <c r="H400" s="1265" t="s">
        <v>4</v>
      </c>
      <c r="I400" s="1266"/>
      <c r="J400" s="365" t="s">
        <v>71</v>
      </c>
    </row>
    <row r="401" spans="1:10" ht="56.25" customHeight="1" thickBot="1">
      <c r="A401" s="114"/>
      <c r="B401" s="1278" t="str">
        <f>'PSQ-SUPER'!B110</f>
        <v>04.03.310.04</v>
      </c>
      <c r="C401" s="1279"/>
      <c r="D401" s="1218" t="str">
        <f>B399</f>
        <v>Fornecimento e Aplicação de Junta Serrada</v>
      </c>
      <c r="E401" s="1219"/>
      <c r="F401" s="1219"/>
      <c r="G401" s="1195"/>
      <c r="H401" s="1184" t="str">
        <f>'PSQ-SUPER'!D110</f>
        <v>m</v>
      </c>
      <c r="I401" s="1185"/>
      <c r="J401" s="542">
        <f>J410</f>
        <v>3356.1</v>
      </c>
    </row>
    <row r="402" spans="1:10" ht="15">
      <c r="A402" s="114"/>
      <c r="B402" s="1186" t="s">
        <v>72</v>
      </c>
      <c r="C402" s="1186"/>
      <c r="D402" s="1186"/>
      <c r="E402" s="1186"/>
      <c r="F402" s="1186"/>
      <c r="G402" s="1186"/>
      <c r="H402" s="1186"/>
      <c r="I402" s="1186"/>
      <c r="J402" s="572"/>
    </row>
    <row r="403" spans="1:10" ht="15">
      <c r="A403" s="114"/>
      <c r="B403" s="162" t="str">
        <f>'Pág 2'!$C$23</f>
        <v xml:space="preserve">A especificação propriamente dita, a forma de execução, se for o caso e o critério de medição são descritas no(s) seguinte(s) documento(s): </v>
      </c>
      <c r="C403" s="168"/>
      <c r="D403" s="168"/>
      <c r="E403" s="168"/>
      <c r="F403" s="168"/>
      <c r="G403" s="168"/>
      <c r="H403" s="162" t="str">
        <f>'Pág 2'!$C$24</f>
        <v>FL.01/302.92/04538 - Especificação Técnica</v>
      </c>
      <c r="I403" s="168"/>
      <c r="J403" s="168"/>
    </row>
    <row r="404" spans="1:10" ht="15">
      <c r="A404" s="114"/>
      <c r="B404" s="163" t="str">
        <f>'Pág 2'!$C$15</f>
        <v xml:space="preserve">Foram utilizadas as premissas descritas no(s) seguinte(s)  documento(s):  </v>
      </c>
      <c r="C404" s="164"/>
      <c r="D404" s="164"/>
      <c r="E404" s="163" t="str">
        <f>'Pág 2'!$C$17</f>
        <v xml:space="preserve">FL.01/302.76/04537 - Memorial de Cálculo e Dimensionamento </v>
      </c>
      <c r="F404" s="114"/>
      <c r="G404" s="164"/>
      <c r="H404" s="164"/>
      <c r="I404" s="164"/>
      <c r="J404" s="164"/>
    </row>
    <row r="405" spans="1:10" ht="15">
      <c r="A405" s="114"/>
      <c r="B405" s="163" t="s">
        <v>73</v>
      </c>
      <c r="C405" s="153"/>
      <c r="D405" s="153"/>
      <c r="E405" s="163"/>
      <c r="F405" s="114"/>
      <c r="G405" s="164"/>
      <c r="H405" s="164"/>
      <c r="I405" s="164"/>
      <c r="J405" s="544"/>
    </row>
    <row r="406" spans="1:10" thickBot="1">
      <c r="A406" s="114"/>
      <c r="B406" s="165"/>
      <c r="C406" s="165"/>
      <c r="D406" s="165"/>
      <c r="E406" s="153"/>
      <c r="F406" s="153"/>
      <c r="G406" s="153"/>
      <c r="H406" s="153"/>
      <c r="I406" s="153"/>
      <c r="J406" s="278"/>
    </row>
    <row r="407" spans="1:10" ht="15">
      <c r="A407" s="114"/>
      <c r="B407" s="1187" t="s">
        <v>74</v>
      </c>
      <c r="C407" s="1187"/>
      <c r="D407" s="1187"/>
      <c r="E407" s="1187"/>
      <c r="F407" s="1187"/>
      <c r="G407" s="1187"/>
      <c r="H407" s="1188"/>
      <c r="I407" s="1189"/>
      <c r="J407" s="546" t="s">
        <v>75</v>
      </c>
    </row>
    <row r="408" spans="1:10" ht="15" customHeight="1">
      <c r="A408" s="114"/>
      <c r="B408" s="1181" t="str">
        <f>TIT.301</f>
        <v>FL.26/304.16/04543 - TERMINAL DE PASSAGEIROS</v>
      </c>
      <c r="C408" s="1181"/>
      <c r="D408" s="1181"/>
      <c r="E408" s="1181"/>
      <c r="F408" s="1181"/>
      <c r="G408" s="1181"/>
      <c r="H408" s="1182"/>
      <c r="I408" s="1183"/>
      <c r="J408" s="547">
        <f>JS.301</f>
        <v>3356.1</v>
      </c>
    </row>
    <row r="409" spans="1:10" ht="15">
      <c r="A409" s="114"/>
      <c r="B409" s="1181"/>
      <c r="C409" s="1181"/>
      <c r="D409" s="1181"/>
      <c r="E409" s="1181"/>
      <c r="F409" s="1181"/>
      <c r="G409" s="1181"/>
      <c r="H409" s="1182"/>
      <c r="I409" s="1183"/>
      <c r="J409" s="548"/>
    </row>
    <row r="410" spans="1:10" thickBot="1">
      <c r="A410" s="114"/>
      <c r="B410" s="1193" t="s">
        <v>76</v>
      </c>
      <c r="C410" s="1193"/>
      <c r="D410" s="1193"/>
      <c r="E410" s="1193"/>
      <c r="F410" s="1193"/>
      <c r="G410" s="1193"/>
      <c r="H410" s="1194"/>
      <c r="I410" s="1195"/>
      <c r="J410" s="549">
        <f>SUM(J408:J408)</f>
        <v>3356.1</v>
      </c>
    </row>
    <row r="411" spans="1:10" thickBot="1">
      <c r="A411" s="114"/>
      <c r="B411" s="1196" t="s">
        <v>77</v>
      </c>
      <c r="C411" s="1196"/>
      <c r="D411" s="1196"/>
      <c r="E411" s="1196"/>
      <c r="F411" s="1196"/>
      <c r="G411" s="1196"/>
      <c r="H411" s="1196"/>
      <c r="I411" s="1196"/>
      <c r="J411" s="573"/>
    </row>
    <row r="412" spans="1:10" ht="15">
      <c r="A412" s="114"/>
      <c r="B412" s="551" t="s">
        <v>1091</v>
      </c>
      <c r="C412" s="154"/>
      <c r="D412" s="154"/>
      <c r="E412" s="154"/>
      <c r="F412" s="154"/>
      <c r="G412" s="154"/>
      <c r="H412" s="154"/>
      <c r="I412" s="154"/>
      <c r="J412" s="278"/>
    </row>
    <row r="413" spans="1:10" thickBot="1">
      <c r="A413" s="114"/>
      <c r="B413" s="155"/>
      <c r="C413" s="155"/>
      <c r="D413" s="155"/>
      <c r="E413" s="155"/>
      <c r="F413" s="155"/>
      <c r="G413" s="155"/>
      <c r="H413" s="155"/>
      <c r="I413" s="155"/>
      <c r="J413" s="574"/>
    </row>
    <row r="414" spans="1:10" thickTop="1">
      <c r="A414" s="114"/>
      <c r="B414" s="1211" t="s">
        <v>57</v>
      </c>
      <c r="C414" s="1211"/>
      <c r="D414" s="1211"/>
      <c r="E414" s="1211"/>
      <c r="F414" s="1211"/>
      <c r="G414" s="1211"/>
      <c r="H414" s="1211"/>
      <c r="I414" s="1211"/>
      <c r="J414" s="1211"/>
    </row>
    <row r="415" spans="1:10" ht="44.25" customHeight="1">
      <c r="A415" s="114"/>
      <c r="B415" s="1213" t="str">
        <f>'PSQ-SUPER'!C114</f>
        <v>Fornecimento e Aplicação de Formas ATEX 900 (32,5)</v>
      </c>
      <c r="C415" s="1213"/>
      <c r="D415" s="1213"/>
      <c r="E415" s="1213"/>
      <c r="F415" s="1213"/>
      <c r="G415" s="1213"/>
      <c r="H415" s="1213"/>
      <c r="I415" s="1213"/>
      <c r="J415" s="541"/>
    </row>
    <row r="416" spans="1:10" ht="15">
      <c r="A416" s="114"/>
      <c r="B416" s="1267" t="s">
        <v>7</v>
      </c>
      <c r="C416" s="1266"/>
      <c r="D416" s="1262" t="s">
        <v>70</v>
      </c>
      <c r="E416" s="1263"/>
      <c r="F416" s="1263"/>
      <c r="G416" s="1264"/>
      <c r="H416" s="1265" t="s">
        <v>4</v>
      </c>
      <c r="I416" s="1266"/>
      <c r="J416" s="654" t="s">
        <v>71</v>
      </c>
    </row>
    <row r="417" spans="1:10" ht="56.25" customHeight="1" thickBot="1">
      <c r="A417" s="114"/>
      <c r="B417" s="1278" t="str">
        <f>'PSQ-SUPER'!B114</f>
        <v>04.03.320.01</v>
      </c>
      <c r="C417" s="1279"/>
      <c r="D417" s="1218" t="str">
        <f>B415</f>
        <v>Fornecimento e Aplicação de Formas ATEX 900 (32,5)</v>
      </c>
      <c r="E417" s="1219"/>
      <c r="F417" s="1219"/>
      <c r="G417" s="1195"/>
      <c r="H417" s="1184" t="str">
        <f>'PSQ-SUPER'!D114</f>
        <v>m²</v>
      </c>
      <c r="I417" s="1185"/>
      <c r="J417" s="542">
        <f>J426</f>
        <v>10561.488799999997</v>
      </c>
    </row>
    <row r="418" spans="1:10" ht="15">
      <c r="A418" s="114"/>
      <c r="B418" s="1186" t="s">
        <v>72</v>
      </c>
      <c r="C418" s="1186"/>
      <c r="D418" s="1186"/>
      <c r="E418" s="1186"/>
      <c r="F418" s="1186"/>
      <c r="G418" s="1186"/>
      <c r="H418" s="1186"/>
      <c r="I418" s="1186"/>
      <c r="J418" s="572"/>
    </row>
    <row r="419" spans="1:10" ht="15">
      <c r="A419" s="114"/>
      <c r="B419" s="162" t="str">
        <f>'Pág 2'!$C$23</f>
        <v xml:space="preserve">A especificação propriamente dita, a forma de execução, se for o caso e o critério de medição são descritas no(s) seguinte(s) documento(s): </v>
      </c>
      <c r="C419" s="168"/>
      <c r="D419" s="168"/>
      <c r="E419" s="168"/>
      <c r="F419" s="168"/>
      <c r="G419" s="168"/>
      <c r="H419" s="162" t="str">
        <f>'Pág 2'!$C$24</f>
        <v>FL.01/302.92/04538 - Especificação Técnica</v>
      </c>
      <c r="I419" s="168"/>
      <c r="J419" s="168"/>
    </row>
    <row r="420" spans="1:10" ht="15">
      <c r="A420" s="114"/>
      <c r="B420" s="163" t="str">
        <f>'Pág 2'!$C$15</f>
        <v xml:space="preserve">Foram utilizadas as premissas descritas no(s) seguinte(s)  documento(s):  </v>
      </c>
      <c r="C420" s="164"/>
      <c r="D420" s="164"/>
      <c r="E420" s="163" t="str">
        <f>'Pág 2'!$C$17</f>
        <v xml:space="preserve">FL.01/302.76/04537 - Memorial de Cálculo e Dimensionamento </v>
      </c>
      <c r="F420" s="114"/>
      <c r="G420" s="164"/>
      <c r="H420" s="164"/>
      <c r="I420" s="164"/>
      <c r="J420" s="164"/>
    </row>
    <row r="421" spans="1:10" ht="15">
      <c r="A421" s="114"/>
      <c r="B421" s="163" t="s">
        <v>73</v>
      </c>
      <c r="C421" s="153"/>
      <c r="D421" s="153"/>
      <c r="E421" s="163"/>
      <c r="F421" s="114"/>
      <c r="G421" s="164"/>
      <c r="H421" s="164"/>
      <c r="I421" s="164"/>
      <c r="J421" s="544"/>
    </row>
    <row r="422" spans="1:10" thickBot="1">
      <c r="A422" s="114"/>
      <c r="B422" s="165"/>
      <c r="C422" s="165"/>
      <c r="D422" s="165"/>
      <c r="E422" s="153"/>
      <c r="F422" s="153"/>
      <c r="G422" s="153"/>
      <c r="H422" s="153"/>
      <c r="I422" s="153"/>
      <c r="J422" s="278"/>
    </row>
    <row r="423" spans="1:10" ht="15">
      <c r="A423" s="114"/>
      <c r="B423" s="1187" t="s">
        <v>74</v>
      </c>
      <c r="C423" s="1187"/>
      <c r="D423" s="1187"/>
      <c r="E423" s="1187"/>
      <c r="F423" s="1187"/>
      <c r="G423" s="1187"/>
      <c r="H423" s="1188"/>
      <c r="I423" s="1189"/>
      <c r="J423" s="546" t="s">
        <v>75</v>
      </c>
    </row>
    <row r="424" spans="1:10" ht="15" customHeight="1">
      <c r="A424" s="114"/>
      <c r="B424" s="1181" t="str">
        <f>TIT.301</f>
        <v>FL.26/304.16/04543 - TERMINAL DE PASSAGEIROS</v>
      </c>
      <c r="C424" s="1181"/>
      <c r="D424" s="1181"/>
      <c r="E424" s="1181"/>
      <c r="F424" s="1181"/>
      <c r="G424" s="1181"/>
      <c r="H424" s="1182"/>
      <c r="I424" s="1183"/>
      <c r="J424" s="553">
        <f>FA.301</f>
        <v>10561.488799999997</v>
      </c>
    </row>
    <row r="425" spans="1:10" ht="15">
      <c r="A425" s="114"/>
      <c r="B425" s="1181"/>
      <c r="C425" s="1181"/>
      <c r="D425" s="1181"/>
      <c r="E425" s="1181"/>
      <c r="F425" s="1181"/>
      <c r="G425" s="1181"/>
      <c r="H425" s="1182"/>
      <c r="I425" s="1183"/>
      <c r="J425" s="548"/>
    </row>
    <row r="426" spans="1:10" thickBot="1">
      <c r="A426" s="114"/>
      <c r="B426" s="1193" t="s">
        <v>76</v>
      </c>
      <c r="C426" s="1193"/>
      <c r="D426" s="1193"/>
      <c r="E426" s="1193"/>
      <c r="F426" s="1193"/>
      <c r="G426" s="1193"/>
      <c r="H426" s="1194"/>
      <c r="I426" s="1195"/>
      <c r="J426" s="549">
        <f>SUM(J424:J424)</f>
        <v>10561.488799999997</v>
      </c>
    </row>
    <row r="427" spans="1:10" thickBot="1">
      <c r="A427" s="114"/>
      <c r="B427" s="1196" t="s">
        <v>77</v>
      </c>
      <c r="C427" s="1196"/>
      <c r="D427" s="1196"/>
      <c r="E427" s="1196"/>
      <c r="F427" s="1196"/>
      <c r="G427" s="1196"/>
      <c r="H427" s="1196"/>
      <c r="I427" s="1196"/>
      <c r="J427" s="573"/>
    </row>
    <row r="428" spans="1:10" ht="15">
      <c r="A428" s="114"/>
      <c r="B428" s="551" t="s">
        <v>1091</v>
      </c>
      <c r="C428" s="154"/>
      <c r="D428" s="154"/>
      <c r="E428" s="154"/>
      <c r="F428" s="154"/>
      <c r="G428" s="154"/>
      <c r="H428" s="154"/>
      <c r="I428" s="154"/>
      <c r="J428" s="278"/>
    </row>
    <row r="429" spans="1:10" thickBot="1">
      <c r="A429" s="114"/>
      <c r="B429" s="155"/>
      <c r="C429" s="155"/>
      <c r="D429" s="155"/>
      <c r="E429" s="155"/>
      <c r="F429" s="155"/>
      <c r="G429" s="155"/>
      <c r="H429" s="155"/>
      <c r="I429" s="155"/>
      <c r="J429" s="574"/>
    </row>
    <row r="430" spans="1:10" thickTop="1">
      <c r="A430" s="114"/>
      <c r="B430" s="1211" t="s">
        <v>57</v>
      </c>
      <c r="C430" s="1211"/>
      <c r="D430" s="1211"/>
      <c r="E430" s="1211"/>
      <c r="F430" s="1211"/>
      <c r="G430" s="1211"/>
      <c r="H430" s="1211"/>
      <c r="I430" s="1211"/>
      <c r="J430" s="1211"/>
    </row>
    <row r="431" spans="1:10" ht="44.25" customHeight="1">
      <c r="A431" s="114"/>
      <c r="B431" s="1213" t="str">
        <f>'PSQ-SUPER'!C122</f>
        <v>Fornecimento e Aplicação de Argila Expandida</v>
      </c>
      <c r="C431" s="1213"/>
      <c r="D431" s="1213"/>
      <c r="E431" s="1213"/>
      <c r="F431" s="1213"/>
      <c r="G431" s="1213"/>
      <c r="H431" s="1213"/>
      <c r="I431" s="1213"/>
      <c r="J431" s="541"/>
    </row>
    <row r="432" spans="1:10" ht="15">
      <c r="A432" s="114"/>
      <c r="B432" s="1267" t="s">
        <v>7</v>
      </c>
      <c r="C432" s="1266"/>
      <c r="D432" s="1262" t="s">
        <v>70</v>
      </c>
      <c r="E432" s="1263"/>
      <c r="F432" s="1263"/>
      <c r="G432" s="1264"/>
      <c r="H432" s="1265" t="s">
        <v>4</v>
      </c>
      <c r="I432" s="1266"/>
      <c r="J432" s="688" t="s">
        <v>71</v>
      </c>
    </row>
    <row r="433" spans="1:10" ht="56.25" customHeight="1" thickBot="1">
      <c r="A433" s="114"/>
      <c r="B433" s="1278" t="str">
        <f>'PSQ-SUPER'!B122</f>
        <v>04.03.340.01</v>
      </c>
      <c r="C433" s="1279"/>
      <c r="D433" s="1218" t="str">
        <f>B431</f>
        <v>Fornecimento e Aplicação de Argila Expandida</v>
      </c>
      <c r="E433" s="1219"/>
      <c r="F433" s="1219"/>
      <c r="G433" s="1195"/>
      <c r="H433" s="1184" t="str">
        <f>'PSQ-SUPER'!D122</f>
        <v>m³</v>
      </c>
      <c r="I433" s="1185"/>
      <c r="J433" s="542">
        <f>J442</f>
        <v>56.032430000000005</v>
      </c>
    </row>
    <row r="434" spans="1:10" ht="15">
      <c r="A434" s="114"/>
      <c r="B434" s="1186" t="s">
        <v>72</v>
      </c>
      <c r="C434" s="1186"/>
      <c r="D434" s="1186"/>
      <c r="E434" s="1186"/>
      <c r="F434" s="1186"/>
      <c r="G434" s="1186"/>
      <c r="H434" s="1186"/>
      <c r="I434" s="1186"/>
      <c r="J434" s="572"/>
    </row>
    <row r="435" spans="1:10" ht="15">
      <c r="A435" s="114"/>
      <c r="B435" s="162" t="str">
        <f>'Pág 2'!$C$23</f>
        <v xml:space="preserve">A especificação propriamente dita, a forma de execução, se for o caso e o critério de medição são descritas no(s) seguinte(s) documento(s): </v>
      </c>
      <c r="C435" s="168"/>
      <c r="D435" s="168"/>
      <c r="E435" s="168"/>
      <c r="F435" s="168"/>
      <c r="G435" s="168"/>
      <c r="H435" s="162" t="str">
        <f>'Pág 2'!$C$24</f>
        <v>FL.01/302.92/04538 - Especificação Técnica</v>
      </c>
      <c r="I435" s="168"/>
      <c r="J435" s="168"/>
    </row>
    <row r="436" spans="1:10" ht="15">
      <c r="A436" s="114"/>
      <c r="B436" s="163" t="str">
        <f>'Pág 2'!$C$15</f>
        <v xml:space="preserve">Foram utilizadas as premissas descritas no(s) seguinte(s)  documento(s):  </v>
      </c>
      <c r="C436" s="164"/>
      <c r="D436" s="164"/>
      <c r="E436" s="163" t="str">
        <f>'Pág 2'!$C$17</f>
        <v xml:space="preserve">FL.01/302.76/04537 - Memorial de Cálculo e Dimensionamento </v>
      </c>
      <c r="F436" s="114"/>
      <c r="G436" s="164"/>
      <c r="H436" s="164"/>
      <c r="I436" s="164"/>
      <c r="J436" s="164"/>
    </row>
    <row r="437" spans="1:10" ht="15">
      <c r="A437" s="114"/>
      <c r="B437" s="163" t="s">
        <v>73</v>
      </c>
      <c r="C437" s="153"/>
      <c r="D437" s="153"/>
      <c r="E437" s="163"/>
      <c r="F437" s="114"/>
      <c r="G437" s="164"/>
      <c r="H437" s="164"/>
      <c r="I437" s="164"/>
      <c r="J437" s="544"/>
    </row>
    <row r="438" spans="1:10" thickBot="1">
      <c r="A438" s="114"/>
      <c r="B438" s="165"/>
      <c r="C438" s="165"/>
      <c r="D438" s="165"/>
      <c r="E438" s="153"/>
      <c r="F438" s="153"/>
      <c r="G438" s="153"/>
      <c r="H438" s="153"/>
      <c r="I438" s="153"/>
      <c r="J438" s="278"/>
    </row>
    <row r="439" spans="1:10" ht="15">
      <c r="A439" s="114"/>
      <c r="B439" s="1187" t="s">
        <v>74</v>
      </c>
      <c r="C439" s="1187"/>
      <c r="D439" s="1187"/>
      <c r="E439" s="1187"/>
      <c r="F439" s="1187"/>
      <c r="G439" s="1187"/>
      <c r="H439" s="1188"/>
      <c r="I439" s="1189"/>
      <c r="J439" s="546" t="s">
        <v>75</v>
      </c>
    </row>
    <row r="440" spans="1:10" ht="15" customHeight="1">
      <c r="A440" s="114"/>
      <c r="B440" s="1181" t="str">
        <f>TIT.301</f>
        <v>FL.26/304.16/04543 - TERMINAL DE PASSAGEIROS</v>
      </c>
      <c r="C440" s="1181"/>
      <c r="D440" s="1181"/>
      <c r="E440" s="1181"/>
      <c r="F440" s="1181"/>
      <c r="G440" s="1181"/>
      <c r="H440" s="1182"/>
      <c r="I440" s="1183"/>
      <c r="J440" s="553">
        <f>ARG.301</f>
        <v>56.032430000000005</v>
      </c>
    </row>
    <row r="441" spans="1:10" ht="15">
      <c r="A441" s="114"/>
      <c r="B441" s="1181"/>
      <c r="C441" s="1181"/>
      <c r="D441" s="1181"/>
      <c r="E441" s="1181"/>
      <c r="F441" s="1181"/>
      <c r="G441" s="1181"/>
      <c r="H441" s="1182"/>
      <c r="I441" s="1183"/>
      <c r="J441" s="548"/>
    </row>
    <row r="442" spans="1:10" thickBot="1">
      <c r="A442" s="114"/>
      <c r="B442" s="1193" t="s">
        <v>76</v>
      </c>
      <c r="C442" s="1193"/>
      <c r="D442" s="1193"/>
      <c r="E442" s="1193"/>
      <c r="F442" s="1193"/>
      <c r="G442" s="1193"/>
      <c r="H442" s="1194"/>
      <c r="I442" s="1195"/>
      <c r="J442" s="549">
        <f>SUM(J440:J440)</f>
        <v>56.032430000000005</v>
      </c>
    </row>
    <row r="443" spans="1:10" thickBot="1">
      <c r="A443" s="114"/>
      <c r="B443" s="1196" t="s">
        <v>77</v>
      </c>
      <c r="C443" s="1196"/>
      <c r="D443" s="1196"/>
      <c r="E443" s="1196"/>
      <c r="F443" s="1196"/>
      <c r="G443" s="1196"/>
      <c r="H443" s="1196"/>
      <c r="I443" s="1196"/>
      <c r="J443" s="573"/>
    </row>
    <row r="444" spans="1:10" ht="15">
      <c r="A444" s="114"/>
      <c r="B444" s="551" t="s">
        <v>1091</v>
      </c>
      <c r="C444" s="154"/>
      <c r="D444" s="154"/>
      <c r="E444" s="154"/>
      <c r="F444" s="154"/>
      <c r="G444" s="154"/>
      <c r="H444" s="154"/>
      <c r="I444" s="154"/>
      <c r="J444" s="278"/>
    </row>
    <row r="445" spans="1:10" thickBot="1">
      <c r="A445" s="114"/>
      <c r="B445" s="155"/>
      <c r="C445" s="155"/>
      <c r="D445" s="155"/>
      <c r="E445" s="155"/>
      <c r="F445" s="155"/>
      <c r="G445" s="155"/>
      <c r="H445" s="155"/>
      <c r="I445" s="155"/>
      <c r="J445" s="574"/>
    </row>
    <row r="446" spans="1:10" thickTop="1">
      <c r="A446" s="114"/>
      <c r="B446" s="1211" t="s">
        <v>57</v>
      </c>
      <c r="C446" s="1211"/>
      <c r="D446" s="1211"/>
      <c r="E446" s="1211"/>
      <c r="F446" s="1211"/>
      <c r="G446" s="1211"/>
      <c r="H446" s="1211"/>
      <c r="I446" s="1211"/>
      <c r="J446" s="1211"/>
    </row>
    <row r="447" spans="1:10" ht="44.25" customHeight="1">
      <c r="A447" s="114"/>
      <c r="B447" s="1213" t="str">
        <f>'PSQ-SUPER'!C118</f>
        <v>Fornecimento, transporte, lançamento, adensamento, acabamento e cura - lastro de concreto  Fck = 10 MPa</v>
      </c>
      <c r="C447" s="1213"/>
      <c r="D447" s="1213"/>
      <c r="E447" s="1213"/>
      <c r="F447" s="1213"/>
      <c r="G447" s="1213"/>
      <c r="H447" s="1213"/>
      <c r="I447" s="1213"/>
      <c r="J447" s="541"/>
    </row>
    <row r="448" spans="1:10" ht="15">
      <c r="A448" s="114"/>
      <c r="B448" s="1267" t="s">
        <v>7</v>
      </c>
      <c r="C448" s="1266"/>
      <c r="D448" s="1262" t="s">
        <v>70</v>
      </c>
      <c r="E448" s="1263"/>
      <c r="F448" s="1263"/>
      <c r="G448" s="1264"/>
      <c r="H448" s="1265" t="s">
        <v>4</v>
      </c>
      <c r="I448" s="1266"/>
      <c r="J448" s="654" t="s">
        <v>71</v>
      </c>
    </row>
    <row r="449" spans="1:10" ht="56.25" customHeight="1" thickBot="1">
      <c r="A449" s="114"/>
      <c r="B449" s="1278" t="str">
        <f>'PSQ-SUPER'!B118</f>
        <v>04.03.330.01</v>
      </c>
      <c r="C449" s="1279"/>
      <c r="D449" s="1218" t="str">
        <f>B447</f>
        <v>Fornecimento, transporte, lançamento, adensamento, acabamento e cura - lastro de concreto  Fck = 10 MPa</v>
      </c>
      <c r="E449" s="1219"/>
      <c r="F449" s="1219"/>
      <c r="G449" s="1195"/>
      <c r="H449" s="1184" t="str">
        <f>'PSQ-SUPER'!D118</f>
        <v>m³</v>
      </c>
      <c r="I449" s="1185"/>
      <c r="J449" s="542">
        <f>J458</f>
        <v>234.27771000000001</v>
      </c>
    </row>
    <row r="450" spans="1:10" ht="15">
      <c r="A450" s="114"/>
      <c r="B450" s="1186" t="s">
        <v>72</v>
      </c>
      <c r="C450" s="1186"/>
      <c r="D450" s="1186"/>
      <c r="E450" s="1186"/>
      <c r="F450" s="1186"/>
      <c r="G450" s="1186"/>
      <c r="H450" s="1186"/>
      <c r="I450" s="1186"/>
      <c r="J450" s="572"/>
    </row>
    <row r="451" spans="1:10" ht="15">
      <c r="A451" s="114"/>
      <c r="B451" s="162" t="str">
        <f>'Pág 2'!$C$23</f>
        <v xml:space="preserve">A especificação propriamente dita, a forma de execução, se for o caso e o critério de medição são descritas no(s) seguinte(s) documento(s): </v>
      </c>
      <c r="C451" s="168"/>
      <c r="D451" s="168"/>
      <c r="E451" s="168"/>
      <c r="F451" s="168"/>
      <c r="G451" s="168"/>
      <c r="H451" s="162" t="str">
        <f>'Pág 2'!$C$24</f>
        <v>FL.01/302.92/04538 - Especificação Técnica</v>
      </c>
      <c r="I451" s="168"/>
      <c r="J451" s="168"/>
    </row>
    <row r="452" spans="1:10" ht="15">
      <c r="A452" s="114"/>
      <c r="B452" s="163" t="str">
        <f>'Pág 2'!$C$15</f>
        <v xml:space="preserve">Foram utilizadas as premissas descritas no(s) seguinte(s)  documento(s):  </v>
      </c>
      <c r="C452" s="164"/>
      <c r="D452" s="164"/>
      <c r="E452" s="163" t="str">
        <f>'Pág 2'!$C$17</f>
        <v xml:space="preserve">FL.01/302.76/04537 - Memorial de Cálculo e Dimensionamento </v>
      </c>
      <c r="F452" s="114"/>
      <c r="G452" s="164"/>
      <c r="H452" s="164"/>
      <c r="I452" s="164"/>
      <c r="J452" s="164"/>
    </row>
    <row r="453" spans="1:10" ht="15">
      <c r="A453" s="114"/>
      <c r="B453" s="163" t="s">
        <v>73</v>
      </c>
      <c r="C453" s="153"/>
      <c r="D453" s="153"/>
      <c r="E453" s="163"/>
      <c r="F453" s="114"/>
      <c r="G453" s="164"/>
      <c r="H453" s="164"/>
      <c r="I453" s="164"/>
      <c r="J453" s="544"/>
    </row>
    <row r="454" spans="1:10" thickBot="1">
      <c r="A454" s="114"/>
      <c r="B454" s="165"/>
      <c r="C454" s="165"/>
      <c r="D454" s="165"/>
      <c r="E454" s="153"/>
      <c r="F454" s="153"/>
      <c r="G454" s="153"/>
      <c r="H454" s="153"/>
      <c r="I454" s="153"/>
      <c r="J454" s="278"/>
    </row>
    <row r="455" spans="1:10" ht="15">
      <c r="A455" s="114"/>
      <c r="B455" s="1187" t="s">
        <v>74</v>
      </c>
      <c r="C455" s="1187"/>
      <c r="D455" s="1187"/>
      <c r="E455" s="1187"/>
      <c r="F455" s="1187"/>
      <c r="G455" s="1187"/>
      <c r="H455" s="1188"/>
      <c r="I455" s="1189"/>
      <c r="J455" s="546" t="s">
        <v>75</v>
      </c>
    </row>
    <row r="456" spans="1:10" ht="15" customHeight="1">
      <c r="A456" s="114"/>
      <c r="B456" s="1181" t="str">
        <f>TIT.301</f>
        <v>FL.26/304.16/04543 - TERMINAL DE PASSAGEIROS</v>
      </c>
      <c r="C456" s="1181"/>
      <c r="D456" s="1181"/>
      <c r="E456" s="1181"/>
      <c r="F456" s="1181"/>
      <c r="G456" s="1181"/>
      <c r="H456" s="1182"/>
      <c r="I456" s="1183"/>
      <c r="J456" s="547">
        <f>LC.301</f>
        <v>234.27771000000001</v>
      </c>
    </row>
    <row r="457" spans="1:10" ht="15">
      <c r="A457" s="114"/>
      <c r="B457" s="1181"/>
      <c r="C457" s="1181"/>
      <c r="D457" s="1181"/>
      <c r="E457" s="1181"/>
      <c r="F457" s="1181"/>
      <c r="G457" s="1181"/>
      <c r="H457" s="1182"/>
      <c r="I457" s="1183"/>
      <c r="J457" s="548"/>
    </row>
    <row r="458" spans="1:10" thickBot="1">
      <c r="A458" s="114"/>
      <c r="B458" s="1193" t="s">
        <v>76</v>
      </c>
      <c r="C458" s="1193"/>
      <c r="D458" s="1193"/>
      <c r="E458" s="1193"/>
      <c r="F458" s="1193"/>
      <c r="G458" s="1193"/>
      <c r="H458" s="1194"/>
      <c r="I458" s="1195"/>
      <c r="J458" s="549">
        <f>SUM(J456:J456)</f>
        <v>234.27771000000001</v>
      </c>
    </row>
    <row r="459" spans="1:10" thickBot="1">
      <c r="A459" s="114"/>
      <c r="B459" s="1196" t="s">
        <v>77</v>
      </c>
      <c r="C459" s="1196"/>
      <c r="D459" s="1196"/>
      <c r="E459" s="1196"/>
      <c r="F459" s="1196"/>
      <c r="G459" s="1196"/>
      <c r="H459" s="1196"/>
      <c r="I459" s="1196"/>
      <c r="J459" s="573"/>
    </row>
    <row r="460" spans="1:10" ht="15">
      <c r="A460" s="114"/>
      <c r="B460" s="551" t="s">
        <v>1091</v>
      </c>
      <c r="C460" s="154"/>
      <c r="D460" s="154"/>
      <c r="E460" s="154"/>
      <c r="F460" s="154"/>
      <c r="G460" s="154"/>
      <c r="H460" s="154"/>
      <c r="I460" s="154"/>
      <c r="J460" s="278"/>
    </row>
    <row r="461" spans="1:10" thickBot="1">
      <c r="A461" s="114"/>
      <c r="B461" s="155"/>
      <c r="C461" s="155"/>
      <c r="D461" s="155"/>
      <c r="E461" s="155"/>
      <c r="F461" s="155"/>
      <c r="G461" s="155"/>
      <c r="H461" s="155"/>
      <c r="I461" s="155"/>
      <c r="J461" s="574"/>
    </row>
    <row r="462" spans="1:10" thickTop="1">
      <c r="A462" s="114"/>
      <c r="B462" s="1211" t="s">
        <v>57</v>
      </c>
      <c r="C462" s="1211"/>
      <c r="D462" s="1211"/>
      <c r="E462" s="1211"/>
      <c r="F462" s="1211"/>
      <c r="G462" s="1211"/>
      <c r="H462" s="1211"/>
      <c r="I462" s="1211"/>
      <c r="J462" s="1211"/>
    </row>
    <row r="463" spans="1:10" ht="44.25" customHeight="1">
      <c r="A463" s="114"/>
      <c r="B463" s="1213" t="str">
        <f>'PSQ-SUPER'!C126</f>
        <v>Fornecimento, transporte, lançamento, adensamento, acabamento e cura - Graute</v>
      </c>
      <c r="C463" s="1213"/>
      <c r="D463" s="1213"/>
      <c r="E463" s="1213"/>
      <c r="F463" s="1213"/>
      <c r="G463" s="1213"/>
      <c r="H463" s="1213"/>
      <c r="I463" s="1213"/>
      <c r="J463" s="541"/>
    </row>
    <row r="464" spans="1:10" ht="15">
      <c r="A464" s="114"/>
      <c r="B464" s="1267" t="s">
        <v>7</v>
      </c>
      <c r="C464" s="1266"/>
      <c r="D464" s="1262" t="s">
        <v>70</v>
      </c>
      <c r="E464" s="1263"/>
      <c r="F464" s="1263"/>
      <c r="G464" s="1264"/>
      <c r="H464" s="1265" t="s">
        <v>4</v>
      </c>
      <c r="I464" s="1266"/>
      <c r="J464" s="723" t="s">
        <v>71</v>
      </c>
    </row>
    <row r="465" spans="1:10" ht="56.25" customHeight="1" thickBot="1">
      <c r="A465" s="114"/>
      <c r="B465" s="1278" t="str">
        <f>'PSQ-SUPER'!B126</f>
        <v>04.03.350.01</v>
      </c>
      <c r="C465" s="1279"/>
      <c r="D465" s="1218" t="str">
        <f>B463</f>
        <v>Fornecimento, transporte, lançamento, adensamento, acabamento e cura - Graute</v>
      </c>
      <c r="E465" s="1219"/>
      <c r="F465" s="1219"/>
      <c r="G465" s="1195"/>
      <c r="H465" s="1184" t="str">
        <f>'PSQ-SUPER'!D126</f>
        <v>m³</v>
      </c>
      <c r="I465" s="1185"/>
      <c r="J465" s="542">
        <f>J474</f>
        <v>36.402287999999999</v>
      </c>
    </row>
    <row r="466" spans="1:10" ht="15">
      <c r="A466" s="114"/>
      <c r="B466" s="1186" t="s">
        <v>72</v>
      </c>
      <c r="C466" s="1186"/>
      <c r="D466" s="1186"/>
      <c r="E466" s="1186"/>
      <c r="F466" s="1186"/>
      <c r="G466" s="1186"/>
      <c r="H466" s="1186"/>
      <c r="I466" s="1186"/>
      <c r="J466" s="572"/>
    </row>
    <row r="467" spans="1:10" ht="15">
      <c r="A467" s="114"/>
      <c r="B467" s="162" t="str">
        <f>'Pág 2'!$C$23</f>
        <v xml:space="preserve">A especificação propriamente dita, a forma de execução, se for o caso e o critério de medição são descritas no(s) seguinte(s) documento(s): </v>
      </c>
      <c r="C467" s="168"/>
      <c r="D467" s="168"/>
      <c r="E467" s="168"/>
      <c r="F467" s="168"/>
      <c r="G467" s="168"/>
      <c r="H467" s="162" t="str">
        <f>'Pág 2'!$C$24</f>
        <v>FL.01/302.92/04538 - Especificação Técnica</v>
      </c>
      <c r="I467" s="168"/>
      <c r="J467" s="168"/>
    </row>
    <row r="468" spans="1:10" ht="15">
      <c r="A468" s="114"/>
      <c r="B468" s="163" t="str">
        <f>'Pág 2'!$C$15</f>
        <v xml:space="preserve">Foram utilizadas as premissas descritas no(s) seguinte(s)  documento(s):  </v>
      </c>
      <c r="C468" s="164"/>
      <c r="D468" s="164"/>
      <c r="E468" s="163" t="str">
        <f>'Pág 2'!$C$17</f>
        <v xml:space="preserve">FL.01/302.76/04537 - Memorial de Cálculo e Dimensionamento </v>
      </c>
      <c r="F468" s="114"/>
      <c r="G468" s="164"/>
      <c r="H468" s="164"/>
      <c r="I468" s="164"/>
      <c r="J468" s="164"/>
    </row>
    <row r="469" spans="1:10" ht="15">
      <c r="A469" s="114"/>
      <c r="B469" s="163" t="s">
        <v>73</v>
      </c>
      <c r="C469" s="153"/>
      <c r="D469" s="153"/>
      <c r="E469" s="163"/>
      <c r="F469" s="114"/>
      <c r="G469" s="164"/>
      <c r="H469" s="164"/>
      <c r="I469" s="164"/>
      <c r="J469" s="544"/>
    </row>
    <row r="470" spans="1:10" thickBot="1">
      <c r="A470" s="114"/>
      <c r="B470" s="165"/>
      <c r="C470" s="165"/>
      <c r="D470" s="165"/>
      <c r="E470" s="153"/>
      <c r="F470" s="153"/>
      <c r="G470" s="153"/>
      <c r="H470" s="153"/>
      <c r="I470" s="153"/>
      <c r="J470" s="278"/>
    </row>
    <row r="471" spans="1:10" ht="15">
      <c r="A471" s="114"/>
      <c r="B471" s="1187" t="s">
        <v>74</v>
      </c>
      <c r="C471" s="1187"/>
      <c r="D471" s="1187"/>
      <c r="E471" s="1187"/>
      <c r="F471" s="1187"/>
      <c r="G471" s="1187"/>
      <c r="H471" s="1188"/>
      <c r="I471" s="1189"/>
      <c r="J471" s="546" t="s">
        <v>75</v>
      </c>
    </row>
    <row r="472" spans="1:10" ht="15" customHeight="1">
      <c r="A472" s="114"/>
      <c r="B472" s="1181" t="str">
        <f>TIT.301</f>
        <v>FL.26/304.16/04543 - TERMINAL DE PASSAGEIROS</v>
      </c>
      <c r="C472" s="1181"/>
      <c r="D472" s="1181"/>
      <c r="E472" s="1181"/>
      <c r="F472" s="1181"/>
      <c r="G472" s="1181"/>
      <c r="H472" s="1182"/>
      <c r="I472" s="1183"/>
      <c r="J472" s="547">
        <f>G.301</f>
        <v>36.402287999999999</v>
      </c>
    </row>
    <row r="473" spans="1:10" ht="15">
      <c r="A473" s="114"/>
      <c r="B473" s="1181"/>
      <c r="C473" s="1181"/>
      <c r="D473" s="1181"/>
      <c r="E473" s="1181"/>
      <c r="F473" s="1181"/>
      <c r="G473" s="1181"/>
      <c r="H473" s="1182"/>
      <c r="I473" s="1183"/>
      <c r="J473" s="548"/>
    </row>
    <row r="474" spans="1:10" thickBot="1">
      <c r="A474" s="114"/>
      <c r="B474" s="1193" t="s">
        <v>76</v>
      </c>
      <c r="C474" s="1193"/>
      <c r="D474" s="1193"/>
      <c r="E474" s="1193"/>
      <c r="F474" s="1193"/>
      <c r="G474" s="1193"/>
      <c r="H474" s="1194"/>
      <c r="I474" s="1195"/>
      <c r="J474" s="549">
        <f>SUM(J472:J472)</f>
        <v>36.402287999999999</v>
      </c>
    </row>
    <row r="475" spans="1:10" thickBot="1">
      <c r="A475" s="114"/>
      <c r="B475" s="1196" t="s">
        <v>77</v>
      </c>
      <c r="C475" s="1196"/>
      <c r="D475" s="1196"/>
      <c r="E475" s="1196"/>
      <c r="F475" s="1196"/>
      <c r="G475" s="1196"/>
      <c r="H475" s="1196"/>
      <c r="I475" s="1196"/>
      <c r="J475" s="573"/>
    </row>
    <row r="476" spans="1:10" ht="15">
      <c r="A476" s="114"/>
      <c r="B476" s="551" t="s">
        <v>1091</v>
      </c>
      <c r="C476" s="154"/>
      <c r="D476" s="154"/>
      <c r="E476" s="154"/>
      <c r="F476" s="154"/>
      <c r="G476" s="154"/>
      <c r="H476" s="154"/>
      <c r="I476" s="154"/>
      <c r="J476" s="278"/>
    </row>
    <row r="477" spans="1:10" thickBot="1">
      <c r="A477" s="114"/>
      <c r="B477" s="155"/>
      <c r="C477" s="155"/>
      <c r="D477" s="155"/>
      <c r="E477" s="155"/>
      <c r="F477" s="155"/>
      <c r="G477" s="155"/>
      <c r="H477" s="155"/>
      <c r="I477" s="155"/>
      <c r="J477" s="574"/>
    </row>
    <row r="478" spans="1:10" thickTop="1">
      <c r="A478" s="114"/>
      <c r="B478" s="1211" t="s">
        <v>57</v>
      </c>
      <c r="C478" s="1211"/>
      <c r="D478" s="1211"/>
      <c r="E478" s="1211"/>
      <c r="F478" s="1211"/>
      <c r="G478" s="1211"/>
      <c r="H478" s="1211"/>
      <c r="I478" s="1211"/>
      <c r="J478" s="1211"/>
    </row>
    <row r="479" spans="1:10" ht="44.25" customHeight="1">
      <c r="A479" s="114"/>
      <c r="B479" s="1213" t="str">
        <f>'PSQ-SUPER'!C130</f>
        <v>Alvenaria com Bloco Estrutural, Fornecimento, transporte e execução</v>
      </c>
      <c r="C479" s="1213"/>
      <c r="D479" s="1213"/>
      <c r="E479" s="1213"/>
      <c r="F479" s="1213"/>
      <c r="G479" s="1213"/>
      <c r="H479" s="1213"/>
      <c r="I479" s="1213"/>
      <c r="J479" s="541"/>
    </row>
    <row r="480" spans="1:10" ht="15">
      <c r="A480" s="114"/>
      <c r="B480" s="1267" t="s">
        <v>7</v>
      </c>
      <c r="C480" s="1266"/>
      <c r="D480" s="1262" t="s">
        <v>70</v>
      </c>
      <c r="E480" s="1263"/>
      <c r="F480" s="1263"/>
      <c r="G480" s="1264"/>
      <c r="H480" s="1265" t="s">
        <v>4</v>
      </c>
      <c r="I480" s="1266"/>
      <c r="J480" s="723" t="s">
        <v>71</v>
      </c>
    </row>
    <row r="481" spans="1:10" ht="56.25" customHeight="1" thickBot="1">
      <c r="A481" s="114"/>
      <c r="B481" s="1278" t="str">
        <f>'PSQ-SUPER'!B130</f>
        <v>04.03.360.01</v>
      </c>
      <c r="C481" s="1279"/>
      <c r="D481" s="1218" t="str">
        <f>B479</f>
        <v>Alvenaria com Bloco Estrutural, Fornecimento, transporte e execução</v>
      </c>
      <c r="E481" s="1219"/>
      <c r="F481" s="1219"/>
      <c r="G481" s="1195"/>
      <c r="H481" s="1184" t="str">
        <f>'PSQ-SUPER'!D130</f>
        <v>m²</v>
      </c>
      <c r="I481" s="1185"/>
      <c r="J481" s="542">
        <f>J490</f>
        <v>793</v>
      </c>
    </row>
    <row r="482" spans="1:10" ht="15">
      <c r="A482" s="114"/>
      <c r="B482" s="1186" t="s">
        <v>72</v>
      </c>
      <c r="C482" s="1186"/>
      <c r="D482" s="1186"/>
      <c r="E482" s="1186"/>
      <c r="F482" s="1186"/>
      <c r="G482" s="1186"/>
      <c r="H482" s="1186"/>
      <c r="I482" s="1186"/>
      <c r="J482" s="572"/>
    </row>
    <row r="483" spans="1:10" ht="15">
      <c r="A483" s="114"/>
      <c r="B483" s="162" t="str">
        <f>'Pág 2'!$C$23</f>
        <v xml:space="preserve">A especificação propriamente dita, a forma de execução, se for o caso e o critério de medição são descritas no(s) seguinte(s) documento(s): </v>
      </c>
      <c r="C483" s="168"/>
      <c r="D483" s="168"/>
      <c r="E483" s="168"/>
      <c r="F483" s="168"/>
      <c r="G483" s="168"/>
      <c r="H483" s="162" t="str">
        <f>'Pág 2'!$C$24</f>
        <v>FL.01/302.92/04538 - Especificação Técnica</v>
      </c>
      <c r="I483" s="168"/>
      <c r="J483" s="168"/>
    </row>
    <row r="484" spans="1:10" ht="15">
      <c r="A484" s="114"/>
      <c r="B484" s="163" t="str">
        <f>'Pág 2'!$C$15</f>
        <v xml:space="preserve">Foram utilizadas as premissas descritas no(s) seguinte(s)  documento(s):  </v>
      </c>
      <c r="C484" s="164"/>
      <c r="D484" s="164"/>
      <c r="E484" s="163" t="str">
        <f>'Pág 2'!$C$17</f>
        <v xml:space="preserve">FL.01/302.76/04537 - Memorial de Cálculo e Dimensionamento </v>
      </c>
      <c r="F484" s="114"/>
      <c r="G484" s="164"/>
      <c r="H484" s="164"/>
      <c r="I484" s="164"/>
      <c r="J484" s="164"/>
    </row>
    <row r="485" spans="1:10" ht="15">
      <c r="A485" s="114"/>
      <c r="B485" s="163" t="s">
        <v>73</v>
      </c>
      <c r="C485" s="153"/>
      <c r="D485" s="153"/>
      <c r="E485" s="163"/>
      <c r="F485" s="114"/>
      <c r="G485" s="164"/>
      <c r="H485" s="164"/>
      <c r="I485" s="164"/>
      <c r="J485" s="544"/>
    </row>
    <row r="486" spans="1:10" thickBot="1">
      <c r="A486" s="114"/>
      <c r="B486" s="165"/>
      <c r="C486" s="165"/>
      <c r="D486" s="165"/>
      <c r="E486" s="153"/>
      <c r="F486" s="153"/>
      <c r="G486" s="153"/>
      <c r="H486" s="153"/>
      <c r="I486" s="153"/>
      <c r="J486" s="278"/>
    </row>
    <row r="487" spans="1:10" ht="15">
      <c r="A487" s="114"/>
      <c r="B487" s="1187" t="s">
        <v>74</v>
      </c>
      <c r="C487" s="1187"/>
      <c r="D487" s="1187"/>
      <c r="E487" s="1187"/>
      <c r="F487" s="1187"/>
      <c r="G487" s="1187"/>
      <c r="H487" s="1188"/>
      <c r="I487" s="1189"/>
      <c r="J487" s="546" t="s">
        <v>75</v>
      </c>
    </row>
    <row r="488" spans="1:10" ht="15" customHeight="1">
      <c r="A488" s="114"/>
      <c r="B488" s="1181" t="str">
        <f>TIT.301</f>
        <v>FL.26/304.16/04543 - TERMINAL DE PASSAGEIROS</v>
      </c>
      <c r="C488" s="1181"/>
      <c r="D488" s="1181"/>
      <c r="E488" s="1181"/>
      <c r="F488" s="1181"/>
      <c r="G488" s="1181"/>
      <c r="H488" s="1182"/>
      <c r="I488" s="1183"/>
      <c r="J488" s="553">
        <f>BE.301</f>
        <v>793</v>
      </c>
    </row>
    <row r="489" spans="1:10" ht="15">
      <c r="A489" s="114"/>
      <c r="B489" s="1181"/>
      <c r="C489" s="1181"/>
      <c r="D489" s="1181"/>
      <c r="E489" s="1181"/>
      <c r="F489" s="1181"/>
      <c r="G489" s="1181"/>
      <c r="H489" s="1182"/>
      <c r="I489" s="1183"/>
      <c r="J489" s="548"/>
    </row>
    <row r="490" spans="1:10" thickBot="1">
      <c r="A490" s="114"/>
      <c r="B490" s="1193" t="s">
        <v>76</v>
      </c>
      <c r="C490" s="1193"/>
      <c r="D490" s="1193"/>
      <c r="E490" s="1193"/>
      <c r="F490" s="1193"/>
      <c r="G490" s="1193"/>
      <c r="H490" s="1194"/>
      <c r="I490" s="1195"/>
      <c r="J490" s="549">
        <f>SUM(J488:J488)</f>
        <v>793</v>
      </c>
    </row>
    <row r="491" spans="1:10" thickBot="1">
      <c r="A491" s="114"/>
      <c r="B491" s="1196" t="s">
        <v>77</v>
      </c>
      <c r="C491" s="1196"/>
      <c r="D491" s="1196"/>
      <c r="E491" s="1196"/>
      <c r="F491" s="1196"/>
      <c r="G491" s="1196"/>
      <c r="H491" s="1196"/>
      <c r="I491" s="1196"/>
      <c r="J491" s="573"/>
    </row>
    <row r="492" spans="1:10" ht="15">
      <c r="A492" s="114"/>
      <c r="B492" s="551" t="s">
        <v>1091</v>
      </c>
      <c r="C492" s="154"/>
      <c r="D492" s="154"/>
      <c r="E492" s="154"/>
      <c r="F492" s="154"/>
      <c r="G492" s="154"/>
      <c r="H492" s="154"/>
      <c r="I492" s="154"/>
      <c r="J492" s="278"/>
    </row>
    <row r="493" spans="1:10" ht="15">
      <c r="A493" s="114"/>
      <c r="B493" s="979"/>
      <c r="C493" s="979"/>
      <c r="D493" s="979"/>
      <c r="E493" s="979"/>
      <c r="F493" s="979"/>
      <c r="G493" s="979"/>
      <c r="H493" s="979"/>
      <c r="I493" s="979"/>
      <c r="J493" s="278"/>
    </row>
    <row r="494" spans="1:10" ht="15">
      <c r="A494" s="114"/>
      <c r="B494" s="980"/>
      <c r="C494" s="980"/>
      <c r="D494" s="980"/>
      <c r="E494" s="980"/>
      <c r="F494" s="980"/>
      <c r="G494" s="980"/>
      <c r="H494" s="980"/>
      <c r="I494" s="980"/>
      <c r="J494" s="980"/>
    </row>
    <row r="495" spans="1:10" ht="44.25" customHeight="1">
      <c r="A495" s="114"/>
      <c r="B495" s="984"/>
      <c r="C495" s="984"/>
      <c r="D495" s="984"/>
      <c r="E495" s="984"/>
      <c r="F495" s="984"/>
      <c r="G495" s="984"/>
      <c r="H495" s="984"/>
      <c r="I495" s="984"/>
      <c r="J495" s="164"/>
    </row>
    <row r="496" spans="1:10" ht="15">
      <c r="A496" s="114"/>
      <c r="B496" s="980"/>
      <c r="C496" s="980"/>
      <c r="D496" s="983"/>
      <c r="E496" s="983"/>
      <c r="F496" s="983"/>
      <c r="G496" s="983"/>
      <c r="H496" s="980"/>
      <c r="I496" s="980"/>
      <c r="J496" s="980"/>
    </row>
    <row r="497" spans="1:10" ht="56.25" customHeight="1">
      <c r="A497" s="114"/>
      <c r="B497" s="985"/>
      <c r="C497" s="986"/>
      <c r="D497" s="987"/>
      <c r="E497" s="988"/>
      <c r="F497" s="988"/>
      <c r="G497" s="168"/>
      <c r="H497" s="987"/>
      <c r="I497" s="168"/>
      <c r="J497" s="981"/>
    </row>
    <row r="498" spans="1:10" ht="15">
      <c r="A498" s="114"/>
      <c r="B498" s="154"/>
      <c r="C498" s="154"/>
      <c r="D498" s="154"/>
      <c r="E498" s="154"/>
      <c r="F498" s="154"/>
      <c r="G498" s="154"/>
      <c r="H498" s="154"/>
      <c r="I498" s="154"/>
      <c r="J498" s="982"/>
    </row>
    <row r="499" spans="1:10" ht="15">
      <c r="A499" s="114"/>
      <c r="B499" s="162"/>
      <c r="C499" s="168"/>
      <c r="D499" s="168"/>
      <c r="E499" s="168"/>
      <c r="F499" s="168"/>
      <c r="G499" s="168"/>
      <c r="H499" s="162"/>
      <c r="I499" s="168"/>
      <c r="J499" s="168"/>
    </row>
    <row r="500" spans="1:10" ht="15">
      <c r="A500" s="114"/>
      <c r="B500" s="163"/>
      <c r="C500" s="164"/>
      <c r="D500" s="164"/>
      <c r="E500" s="163"/>
      <c r="F500" s="114"/>
      <c r="G500" s="164"/>
      <c r="H500" s="164"/>
      <c r="I500" s="164"/>
      <c r="J500" s="164"/>
    </row>
    <row r="501" spans="1:10" ht="15">
      <c r="A501" s="114"/>
      <c r="B501" s="163"/>
      <c r="C501" s="153"/>
      <c r="D501" s="153"/>
      <c r="E501" s="163"/>
      <c r="F501" s="114"/>
      <c r="G501" s="164"/>
      <c r="H501" s="164"/>
      <c r="I501" s="164"/>
      <c r="J501" s="544"/>
    </row>
    <row r="502" spans="1:10" ht="15">
      <c r="A502" s="114"/>
      <c r="B502" s="114"/>
      <c r="C502" s="114"/>
      <c r="D502" s="114"/>
      <c r="E502" s="153"/>
      <c r="F502" s="153"/>
      <c r="G502" s="153"/>
      <c r="H502" s="153"/>
      <c r="I502" s="153"/>
      <c r="J502" s="278"/>
    </row>
    <row r="503" spans="1:10" ht="15">
      <c r="A503" s="114"/>
      <c r="B503" s="154"/>
      <c r="C503" s="154"/>
      <c r="D503" s="154"/>
      <c r="E503" s="154"/>
      <c r="F503" s="154"/>
      <c r="G503" s="154"/>
      <c r="H503" s="164"/>
      <c r="I503" s="164"/>
      <c r="J503" s="983"/>
    </row>
    <row r="504" spans="1:10" ht="15" customHeight="1">
      <c r="A504" s="114"/>
      <c r="B504" s="989"/>
      <c r="C504" s="989"/>
      <c r="D504" s="989"/>
      <c r="E504" s="989"/>
      <c r="F504" s="989"/>
      <c r="G504" s="989"/>
      <c r="H504" s="168"/>
      <c r="I504" s="168"/>
      <c r="J504" s="981"/>
    </row>
    <row r="505" spans="1:10" ht="15">
      <c r="A505" s="114"/>
      <c r="B505" s="989"/>
      <c r="C505" s="989"/>
      <c r="D505" s="989"/>
      <c r="E505" s="989"/>
      <c r="F505" s="989"/>
      <c r="G505" s="989"/>
      <c r="H505" s="168"/>
      <c r="I505" s="168"/>
      <c r="J505" s="981"/>
    </row>
    <row r="506" spans="1:10" ht="15">
      <c r="A506" s="114"/>
      <c r="B506" s="990"/>
      <c r="C506" s="990"/>
      <c r="D506" s="990"/>
      <c r="E506" s="990"/>
      <c r="F506" s="990"/>
      <c r="G506" s="990"/>
      <c r="H506" s="168"/>
      <c r="I506" s="168"/>
      <c r="J506" s="981"/>
    </row>
    <row r="507" spans="1:10" ht="15">
      <c r="A507" s="114"/>
      <c r="B507" s="154"/>
      <c r="C507" s="154"/>
      <c r="D507" s="154"/>
      <c r="E507" s="154"/>
      <c r="F507" s="154"/>
      <c r="G507" s="154"/>
      <c r="H507" s="154"/>
      <c r="I507" s="154"/>
      <c r="J507" s="982"/>
    </row>
    <row r="508" spans="1:10" ht="15">
      <c r="A508" s="114"/>
      <c r="B508" s="162"/>
      <c r="C508" s="154"/>
      <c r="D508" s="154"/>
      <c r="E508" s="154"/>
      <c r="F508" s="154"/>
      <c r="G508" s="154"/>
      <c r="H508" s="154"/>
      <c r="I508" s="154"/>
      <c r="J508" s="278"/>
    </row>
    <row r="509" spans="1:10" thickBot="1">
      <c r="A509" s="114"/>
      <c r="B509" s="155"/>
      <c r="C509" s="155"/>
      <c r="D509" s="155"/>
      <c r="E509" s="155"/>
      <c r="F509" s="155"/>
      <c r="G509" s="155"/>
      <c r="H509" s="155"/>
      <c r="I509" s="155"/>
      <c r="J509" s="574"/>
    </row>
    <row r="510" spans="1:10" s="86" customFormat="1" ht="21" customHeight="1" thickTop="1">
      <c r="B510" s="110"/>
      <c r="C510" s="104"/>
      <c r="D510" s="191"/>
      <c r="E510" s="191"/>
      <c r="F510" s="104"/>
      <c r="J510" s="570"/>
    </row>
    <row r="511" spans="1:10" s="86" customFormat="1" ht="21" customHeight="1">
      <c r="B511" s="571" t="s">
        <v>2138</v>
      </c>
      <c r="C511" s="104"/>
      <c r="D511" s="191"/>
      <c r="E511" s="191"/>
      <c r="F511" s="104"/>
      <c r="J511" s="570"/>
    </row>
    <row r="512" spans="1:10" s="86" customFormat="1" ht="21" customHeight="1" thickBot="1">
      <c r="B512" s="110"/>
      <c r="C512" s="104"/>
      <c r="D512" s="191"/>
      <c r="E512" s="191"/>
      <c r="F512" s="104"/>
      <c r="J512" s="570"/>
    </row>
    <row r="513" spans="1:10" thickTop="1">
      <c r="A513" s="114"/>
      <c r="B513" s="1211" t="s">
        <v>57</v>
      </c>
      <c r="C513" s="1211"/>
      <c r="D513" s="1211"/>
      <c r="E513" s="1211"/>
      <c r="F513" s="1211"/>
      <c r="G513" s="1211"/>
      <c r="H513" s="1211"/>
      <c r="I513" s="1211"/>
      <c r="J513" s="1211"/>
    </row>
    <row r="514" spans="1:10" ht="44.25" customHeight="1">
      <c r="A514" s="114"/>
      <c r="B514" s="1213" t="str">
        <f>'PSQ-SUPER'!C142</f>
        <v>Forma plana para estruturas de concreto, fornecimento e aplicação</v>
      </c>
      <c r="C514" s="1213"/>
      <c r="D514" s="1213"/>
      <c r="E514" s="1213"/>
      <c r="F514" s="1213"/>
      <c r="G514" s="1213"/>
      <c r="H514" s="1213"/>
      <c r="I514" s="1213"/>
      <c r="J514" s="541"/>
    </row>
    <row r="515" spans="1:10" ht="15">
      <c r="A515" s="114"/>
      <c r="B515" s="1214" t="s">
        <v>7</v>
      </c>
      <c r="C515" s="1215"/>
      <c r="D515" s="1220" t="s">
        <v>70</v>
      </c>
      <c r="E515" s="1221"/>
      <c r="F515" s="1221"/>
      <c r="G515" s="1222"/>
      <c r="H515" s="1223" t="s">
        <v>4</v>
      </c>
      <c r="I515" s="1224"/>
      <c r="J515" s="796" t="s">
        <v>71</v>
      </c>
    </row>
    <row r="516" spans="1:10" ht="56.25" customHeight="1" thickBot="1">
      <c r="A516" s="114"/>
      <c r="B516" s="1255" t="str">
        <f>'PSQ-SUPER'!B142</f>
        <v>04.03.110.01</v>
      </c>
      <c r="C516" s="1256"/>
      <c r="D516" s="1218" t="str">
        <f>B514</f>
        <v>Forma plana para estruturas de concreto, fornecimento e aplicação</v>
      </c>
      <c r="E516" s="1219"/>
      <c r="F516" s="1219"/>
      <c r="G516" s="1195"/>
      <c r="H516" s="1184" t="str">
        <f>'PSQ-SUPER'!D142</f>
        <v>m²</v>
      </c>
      <c r="I516" s="1185"/>
      <c r="J516" s="542">
        <f>J538</f>
        <v>3621.4798965600007</v>
      </c>
    </row>
    <row r="517" spans="1:10" ht="15">
      <c r="A517" s="114"/>
      <c r="B517" s="1186" t="s">
        <v>72</v>
      </c>
      <c r="C517" s="1186"/>
      <c r="D517" s="1186"/>
      <c r="E517" s="1186"/>
      <c r="F517" s="1186"/>
      <c r="G517" s="1186"/>
      <c r="H517" s="1186"/>
      <c r="I517" s="1186"/>
      <c r="J517" s="572"/>
    </row>
    <row r="518" spans="1:10" ht="15" customHeight="1">
      <c r="A518" s="114"/>
      <c r="B518" s="162" t="str">
        <f>'Pág 2'!$C$23</f>
        <v xml:space="preserve">A especificação propriamente dita, a forma de execução, se for o caso e o critério de medição são descritas no(s) seguinte(s) documento(s): </v>
      </c>
      <c r="C518" s="168"/>
      <c r="D518" s="168"/>
      <c r="E518" s="168"/>
      <c r="F518" s="168"/>
      <c r="G518" s="168"/>
      <c r="H518" s="162" t="str">
        <f>'Pág 2'!$C$24</f>
        <v>FL.01/302.92/04538 - Especificação Técnica</v>
      </c>
      <c r="I518" s="168"/>
      <c r="J518" s="168"/>
    </row>
    <row r="519" spans="1:10" ht="15" customHeight="1">
      <c r="A519" s="114"/>
      <c r="B519" s="163" t="str">
        <f>'Pág 2'!$C$15</f>
        <v xml:space="preserve">Foram utilizadas as premissas descritas no(s) seguinte(s)  documento(s):  </v>
      </c>
      <c r="C519" s="164"/>
      <c r="D519" s="164"/>
      <c r="E519" s="163" t="str">
        <f>'Pág 2'!$C$17</f>
        <v xml:space="preserve">FL.01/302.76/04537 - Memorial de Cálculo e Dimensionamento </v>
      </c>
      <c r="F519" s="114"/>
      <c r="G519" s="164"/>
      <c r="H519" s="164"/>
      <c r="I519" s="164"/>
      <c r="J519" s="164"/>
    </row>
    <row r="520" spans="1:10" ht="15" customHeight="1">
      <c r="A520" s="114"/>
      <c r="B520" s="163" t="s">
        <v>73</v>
      </c>
      <c r="C520" s="153"/>
      <c r="D520" s="153"/>
      <c r="E520" s="163"/>
      <c r="F520" s="114"/>
      <c r="G520" s="164"/>
      <c r="H520" s="164"/>
      <c r="I520" s="164"/>
      <c r="J520" s="544"/>
    </row>
    <row r="521" spans="1:10" thickBot="1">
      <c r="A521" s="114"/>
      <c r="B521" s="165"/>
      <c r="C521" s="165"/>
      <c r="D521" s="165"/>
      <c r="E521" s="153"/>
      <c r="F521" s="153"/>
      <c r="G521" s="153"/>
      <c r="H521" s="153"/>
      <c r="I521" s="153"/>
      <c r="J521" s="278"/>
    </row>
    <row r="522" spans="1:10" ht="15">
      <c r="A522" s="114"/>
      <c r="B522" s="1187" t="s">
        <v>74</v>
      </c>
      <c r="C522" s="1187"/>
      <c r="D522" s="1187"/>
      <c r="E522" s="1187"/>
      <c r="F522" s="1187"/>
      <c r="G522" s="1187"/>
      <c r="H522" s="1188"/>
      <c r="I522" s="1189"/>
      <c r="J522" s="546" t="s">
        <v>75</v>
      </c>
    </row>
    <row r="523" spans="1:10" ht="15">
      <c r="A523" s="114"/>
      <c r="B523" s="1181" t="str">
        <f>TIT.701</f>
        <v xml:space="preserve">FL.11/304.13/05778 - EDIFÍCIO DE OPERAÇÕES </v>
      </c>
      <c r="C523" s="1181"/>
      <c r="D523" s="1181"/>
      <c r="E523" s="1181"/>
      <c r="F523" s="1181"/>
      <c r="G523" s="1181"/>
      <c r="H523" s="1182"/>
      <c r="I523" s="1183"/>
      <c r="J523" s="553">
        <f>F.701</f>
        <v>279.53199999999998</v>
      </c>
    </row>
    <row r="524" spans="1:10" ht="15">
      <c r="A524" s="114"/>
      <c r="B524" s="1181" t="str">
        <f>TIT.702</f>
        <v>FL.11/302.13/05792 - TANQUE DE EQUALIZAÇÃO DE LODO</v>
      </c>
      <c r="C524" s="1181"/>
      <c r="D524" s="1181"/>
      <c r="E524" s="1181"/>
      <c r="F524" s="1181"/>
      <c r="G524" s="1181"/>
      <c r="H524" s="1182"/>
      <c r="I524" s="1183"/>
      <c r="J524" s="553">
        <f>F.702</f>
        <v>98.75</v>
      </c>
    </row>
    <row r="525" spans="1:10" ht="15">
      <c r="A525" s="114"/>
      <c r="B525" s="1181" t="str">
        <f>TIT.703</f>
        <v>FL.11/302.13/05803 - EPAR - ESTAÇÃO ELEVATÓRIA DE ESGOTO BRUTO</v>
      </c>
      <c r="C525" s="1181"/>
      <c r="D525" s="1181"/>
      <c r="E525" s="1181"/>
      <c r="F525" s="1181"/>
      <c r="G525" s="1181"/>
      <c r="H525" s="1182"/>
      <c r="I525" s="1183"/>
      <c r="J525" s="553">
        <f>F.703</f>
        <v>126.12387199999999</v>
      </c>
    </row>
    <row r="526" spans="1:10" ht="15">
      <c r="A526" s="114"/>
      <c r="B526" s="1181" t="str">
        <f>TIT.704</f>
        <v>FL.11/302.13/05786 - ESTAÇÃO DE TRATAMENTO DE ÁGUA - BASE</v>
      </c>
      <c r="C526" s="1181"/>
      <c r="D526" s="1181"/>
      <c r="E526" s="1181"/>
      <c r="F526" s="1181"/>
      <c r="G526" s="1181"/>
      <c r="H526" s="1182"/>
      <c r="I526" s="1183"/>
      <c r="J526" s="553">
        <f>F.704</f>
        <v>11</v>
      </c>
    </row>
    <row r="527" spans="1:10" ht="15">
      <c r="A527" s="114"/>
      <c r="B527" s="1181" t="str">
        <f>TIT.705</f>
        <v>FL.11/302.13/05790 - CAIXA SEPARADORA DE ESCUMA E TANQUE DE RECEBIMENTO DE LODO</v>
      </c>
      <c r="C527" s="1181"/>
      <c r="D527" s="1181"/>
      <c r="E527" s="1181"/>
      <c r="F527" s="1181"/>
      <c r="G527" s="1181"/>
      <c r="H527" s="1182"/>
      <c r="I527" s="1183"/>
      <c r="J527" s="553">
        <f>F.705</f>
        <v>36.160000000000004</v>
      </c>
    </row>
    <row r="528" spans="1:10" ht="15">
      <c r="A528" s="114"/>
      <c r="B528" s="1181" t="str">
        <f>TIT.706</f>
        <v>FL.11/302.13/05794 - ESTAÇÃO ELEVATÓRIA DE ÁGUAS PLUVIAIS</v>
      </c>
      <c r="C528" s="1181"/>
      <c r="D528" s="1181"/>
      <c r="E528" s="1181"/>
      <c r="F528" s="1181"/>
      <c r="G528" s="1181"/>
      <c r="H528" s="1182"/>
      <c r="I528" s="1183"/>
      <c r="J528" s="553">
        <f>F.706</f>
        <v>159.71359999999999</v>
      </c>
    </row>
    <row r="529" spans="1:10" ht="15">
      <c r="A529" s="114"/>
      <c r="B529" s="1181" t="str">
        <f>TIT.707</f>
        <v>FL.11/304.13/05806 - TRATAMENTO PRELIMINAR E TANQUES DE AERAÇÃO</v>
      </c>
      <c r="C529" s="1181"/>
      <c r="D529" s="1181"/>
      <c r="E529" s="1181"/>
      <c r="F529" s="1181"/>
      <c r="G529" s="1181"/>
      <c r="H529" s="1182"/>
      <c r="I529" s="1183"/>
      <c r="J529" s="553">
        <f>F.707</f>
        <v>1802.2813100000001</v>
      </c>
    </row>
    <row r="530" spans="1:10" ht="15">
      <c r="A530" s="114"/>
      <c r="B530" s="1181" t="str">
        <f>TIT.708</f>
        <v>FL.11/304.13/05796 - RESERVATÓRIOS DE ÁGUA  DE REUSO E ÁGUAS PLUVIAIS</v>
      </c>
      <c r="C530" s="1181"/>
      <c r="D530" s="1181"/>
      <c r="E530" s="1181"/>
      <c r="F530" s="1181"/>
      <c r="G530" s="1181"/>
      <c r="H530" s="1182"/>
      <c r="I530" s="1183"/>
      <c r="J530" s="553">
        <f>F.708</f>
        <v>677.38250000000005</v>
      </c>
    </row>
    <row r="531" spans="1:10" ht="15">
      <c r="A531" s="114"/>
      <c r="B531" s="1181" t="str">
        <f>TIT.709</f>
        <v>FL.11/302.13/05788 - SISTEMA DE PRODUTOS QUÍMICOS - TANQUES</v>
      </c>
      <c r="C531" s="1181"/>
      <c r="D531" s="1181"/>
      <c r="E531" s="1181"/>
      <c r="F531" s="1181"/>
      <c r="G531" s="1181"/>
      <c r="H531" s="1182"/>
      <c r="I531" s="1183"/>
      <c r="J531" s="553">
        <f>F.709</f>
        <v>117.26000000000002</v>
      </c>
    </row>
    <row r="532" spans="1:10" ht="15">
      <c r="A532" s="114"/>
      <c r="B532" s="1181" t="str">
        <f>TIT.710</f>
        <v>FL.11/302.13/05787 - DESIDRATAÇÃO DE LODO - CENTRÍFUGAS</v>
      </c>
      <c r="C532" s="1181"/>
      <c r="D532" s="1181"/>
      <c r="E532" s="1181"/>
      <c r="F532" s="1181"/>
      <c r="G532" s="1181"/>
      <c r="H532" s="1182"/>
      <c r="I532" s="1183"/>
      <c r="J532" s="553">
        <f>F.710</f>
        <v>7.3599999999999994</v>
      </c>
    </row>
    <row r="533" spans="1:10" ht="15">
      <c r="A533" s="114"/>
      <c r="B533" s="1181" t="str">
        <f>TIT.711</f>
        <v>FL.11/302.13/05783 - ABRIGO DOS SOPRADORES</v>
      </c>
      <c r="C533" s="1181"/>
      <c r="D533" s="1181"/>
      <c r="E533" s="1181"/>
      <c r="F533" s="1181"/>
      <c r="G533" s="1181"/>
      <c r="H533" s="1182"/>
      <c r="I533" s="1183"/>
      <c r="J533" s="553">
        <f>F.711</f>
        <v>83.89</v>
      </c>
    </row>
    <row r="534" spans="1:10" ht="15" customHeight="1">
      <c r="A534" s="114"/>
      <c r="B534" s="1181" t="str">
        <f>TIT.712</f>
        <v>FL.11/302.13/05803 - EPAR - ESTAÇÃO ELEVATÓRIA DE RETORNO</v>
      </c>
      <c r="C534" s="1181"/>
      <c r="D534" s="1181"/>
      <c r="E534" s="1181"/>
      <c r="F534" s="1181"/>
      <c r="G534" s="1181"/>
      <c r="H534" s="1182"/>
      <c r="I534" s="1183"/>
      <c r="J534" s="548">
        <f>F.712</f>
        <v>167.84013200000004</v>
      </c>
    </row>
    <row r="535" spans="1:10" ht="15">
      <c r="A535" s="114"/>
      <c r="B535" s="1181" t="str">
        <f>TIT.713</f>
        <v>FL.11/302.13/05803 - EPAR - MEDIDOR DE VAZÃO</v>
      </c>
      <c r="C535" s="1181"/>
      <c r="D535" s="1181"/>
      <c r="E535" s="1181"/>
      <c r="F535" s="1181"/>
      <c r="G535" s="1181"/>
      <c r="H535" s="1182"/>
      <c r="I535" s="1183"/>
      <c r="J535" s="548">
        <f>F.713</f>
        <v>13.395536</v>
      </c>
    </row>
    <row r="536" spans="1:10" ht="15">
      <c r="A536" s="114"/>
      <c r="B536" s="1181" t="str">
        <f>TIT.714</f>
        <v>FL.11/302.13/05803 - EPAR - CAIXA DE DESCARGA</v>
      </c>
      <c r="C536" s="1181"/>
      <c r="D536" s="1181"/>
      <c r="E536" s="1181"/>
      <c r="F536" s="1181"/>
      <c r="G536" s="1181"/>
      <c r="H536" s="1182"/>
      <c r="I536" s="1183"/>
      <c r="J536" s="548">
        <f>F.714</f>
        <v>40.790946559999995</v>
      </c>
    </row>
    <row r="537" spans="1:10" ht="15" customHeight="1">
      <c r="A537" s="114"/>
      <c r="B537" s="1181"/>
      <c r="C537" s="1181"/>
      <c r="D537" s="1181"/>
      <c r="E537" s="1181"/>
      <c r="F537" s="1181"/>
      <c r="G537" s="1181"/>
      <c r="H537" s="1182"/>
      <c r="I537" s="1183"/>
      <c r="J537" s="548"/>
    </row>
    <row r="538" spans="1:10" ht="15" customHeight="1" thickBot="1">
      <c r="A538" s="114"/>
      <c r="B538" s="1193" t="s">
        <v>76</v>
      </c>
      <c r="C538" s="1193"/>
      <c r="D538" s="1193"/>
      <c r="E538" s="1193"/>
      <c r="F538" s="1193"/>
      <c r="G538" s="1193"/>
      <c r="H538" s="1194"/>
      <c r="I538" s="1195"/>
      <c r="J538" s="549">
        <f>SUM(J523:J536)</f>
        <v>3621.4798965600007</v>
      </c>
    </row>
    <row r="539" spans="1:10" thickBot="1">
      <c r="A539" s="114"/>
      <c r="B539" s="1196" t="s">
        <v>77</v>
      </c>
      <c r="C539" s="1196"/>
      <c r="D539" s="1196"/>
      <c r="E539" s="1196"/>
      <c r="F539" s="1196"/>
      <c r="G539" s="1196"/>
      <c r="H539" s="1196"/>
      <c r="I539" s="1196"/>
      <c r="J539" s="573"/>
    </row>
    <row r="540" spans="1:10" ht="15">
      <c r="A540" s="114"/>
      <c r="B540" s="551" t="s">
        <v>2011</v>
      </c>
      <c r="C540" s="154"/>
      <c r="D540" s="154"/>
      <c r="E540" s="154"/>
      <c r="F540" s="154"/>
      <c r="G540" s="154"/>
      <c r="H540" s="154"/>
      <c r="I540" s="154"/>
      <c r="J540" s="278"/>
    </row>
    <row r="541" spans="1:10" thickBot="1">
      <c r="A541" s="114"/>
      <c r="B541" s="155"/>
      <c r="C541" s="155"/>
      <c r="D541" s="155"/>
      <c r="E541" s="155"/>
      <c r="F541" s="155"/>
      <c r="G541" s="155"/>
      <c r="H541" s="155"/>
      <c r="I541" s="155"/>
      <c r="J541" s="574"/>
    </row>
    <row r="542" spans="1:10" thickTop="1">
      <c r="A542" s="114"/>
      <c r="B542" s="1211" t="s">
        <v>57</v>
      </c>
      <c r="C542" s="1211"/>
      <c r="D542" s="1211"/>
      <c r="E542" s="1211"/>
      <c r="F542" s="1211"/>
      <c r="G542" s="1211"/>
      <c r="H542" s="1211"/>
      <c r="I542" s="1211"/>
      <c r="J542" s="1211"/>
    </row>
    <row r="543" spans="1:10" ht="44.25" customHeight="1">
      <c r="A543" s="114"/>
      <c r="B543" s="1213" t="str">
        <f>'PSQ-SUPER'!C148</f>
        <v>Fornecimento, Dobra e Montagem de Aço CA-50</v>
      </c>
      <c r="C543" s="1213"/>
      <c r="D543" s="1213"/>
      <c r="E543" s="1213"/>
      <c r="F543" s="1213"/>
      <c r="G543" s="1213"/>
      <c r="H543" s="1213"/>
      <c r="I543" s="1213"/>
      <c r="J543" s="541"/>
    </row>
    <row r="544" spans="1:10" ht="15">
      <c r="A544" s="114"/>
      <c r="B544" s="1214" t="s">
        <v>7</v>
      </c>
      <c r="C544" s="1215"/>
      <c r="D544" s="1220" t="s">
        <v>70</v>
      </c>
      <c r="E544" s="1221"/>
      <c r="F544" s="1221"/>
      <c r="G544" s="1222"/>
      <c r="H544" s="1223" t="s">
        <v>4</v>
      </c>
      <c r="I544" s="1224"/>
      <c r="J544" s="796" t="s">
        <v>71</v>
      </c>
    </row>
    <row r="545" spans="1:10" ht="56.25" customHeight="1" thickBot="1">
      <c r="A545" s="114"/>
      <c r="B545" s="1278" t="str">
        <f>'PSQ-SUPER'!B148</f>
        <v>04.03.120.01</v>
      </c>
      <c r="C545" s="1279"/>
      <c r="D545" s="1218" t="str">
        <f>B543</f>
        <v>Fornecimento, Dobra e Montagem de Aço CA-50</v>
      </c>
      <c r="E545" s="1219"/>
      <c r="F545" s="1219"/>
      <c r="G545" s="1195"/>
      <c r="H545" s="1184" t="str">
        <f>'PSQ-SUPER'!D148</f>
        <v>kg</v>
      </c>
      <c r="I545" s="1185"/>
      <c r="J545" s="542">
        <f>J567</f>
        <v>80241</v>
      </c>
    </row>
    <row r="546" spans="1:10" ht="15">
      <c r="A546" s="114"/>
      <c r="B546" s="1186" t="s">
        <v>72</v>
      </c>
      <c r="C546" s="1186"/>
      <c r="D546" s="1186"/>
      <c r="E546" s="1186"/>
      <c r="F546" s="1186"/>
      <c r="G546" s="1186"/>
      <c r="H546" s="1186"/>
      <c r="I546" s="1186"/>
      <c r="J546" s="572"/>
    </row>
    <row r="547" spans="1:10" ht="15" customHeight="1">
      <c r="A547" s="114"/>
      <c r="B547" s="162" t="str">
        <f>'Pág 2'!$C$23</f>
        <v xml:space="preserve">A especificação propriamente dita, a forma de execução, se for o caso e o critério de medição são descritas no(s) seguinte(s) documento(s): </v>
      </c>
      <c r="C547" s="168"/>
      <c r="D547" s="168"/>
      <c r="E547" s="168"/>
      <c r="F547" s="168"/>
      <c r="G547" s="168"/>
      <c r="H547" s="162" t="str">
        <f>'Pág 2'!$C$24</f>
        <v>FL.01/302.92/04538 - Especificação Técnica</v>
      </c>
      <c r="I547" s="168"/>
      <c r="J547" s="168"/>
    </row>
    <row r="548" spans="1:10" ht="15" customHeight="1">
      <c r="A548" s="114"/>
      <c r="B548" s="163" t="str">
        <f>'Pág 2'!$C$15</f>
        <v xml:space="preserve">Foram utilizadas as premissas descritas no(s) seguinte(s)  documento(s):  </v>
      </c>
      <c r="C548" s="164"/>
      <c r="D548" s="164"/>
      <c r="E548" s="163" t="str">
        <f>'Pág 2'!$C$17</f>
        <v xml:space="preserve">FL.01/302.76/04537 - Memorial de Cálculo e Dimensionamento </v>
      </c>
      <c r="F548" s="114"/>
      <c r="G548" s="164"/>
      <c r="H548" s="164"/>
      <c r="I548" s="164"/>
      <c r="J548" s="164"/>
    </row>
    <row r="549" spans="1:10" ht="15" customHeight="1">
      <c r="A549" s="114"/>
      <c r="B549" s="163" t="s">
        <v>1803</v>
      </c>
      <c r="C549" s="153"/>
      <c r="D549" s="153"/>
      <c r="E549" s="163"/>
      <c r="F549" s="114"/>
      <c r="G549" s="164"/>
      <c r="H549" s="164"/>
      <c r="I549" s="164"/>
      <c r="J549" s="544"/>
    </row>
    <row r="550" spans="1:10" thickBot="1">
      <c r="A550" s="114"/>
      <c r="B550" s="721"/>
      <c r="C550" s="165"/>
      <c r="D550" s="165"/>
      <c r="E550" s="153"/>
      <c r="F550" s="153"/>
      <c r="G550" s="153"/>
      <c r="H550" s="153"/>
      <c r="I550" s="153"/>
      <c r="J550" s="278"/>
    </row>
    <row r="551" spans="1:10" ht="15">
      <c r="A551" s="114"/>
      <c r="B551" s="1187" t="s">
        <v>74</v>
      </c>
      <c r="C551" s="1187"/>
      <c r="D551" s="1187"/>
      <c r="E551" s="1187"/>
      <c r="F551" s="1187"/>
      <c r="G551" s="1187"/>
      <c r="H551" s="1188"/>
      <c r="I551" s="1189"/>
      <c r="J551" s="546" t="s">
        <v>75</v>
      </c>
    </row>
    <row r="552" spans="1:10" ht="15">
      <c r="A552" s="114"/>
      <c r="B552" s="1181" t="str">
        <f>TIT.701</f>
        <v xml:space="preserve">FL.11/304.13/05778 - EDIFÍCIO DE OPERAÇÕES </v>
      </c>
      <c r="C552" s="1181"/>
      <c r="D552" s="1181"/>
      <c r="E552" s="1181"/>
      <c r="F552" s="1181"/>
      <c r="G552" s="1181"/>
      <c r="H552" s="1182"/>
      <c r="I552" s="1183"/>
      <c r="J552" s="547">
        <f>A50.701</f>
        <v>2691</v>
      </c>
    </row>
    <row r="553" spans="1:10" ht="15">
      <c r="A553" s="114"/>
      <c r="B553" s="1181" t="str">
        <f>TIT.702</f>
        <v>FL.11/302.13/05792 - TANQUE DE EQUALIZAÇÃO DE LODO</v>
      </c>
      <c r="C553" s="1181"/>
      <c r="D553" s="1181"/>
      <c r="E553" s="1181"/>
      <c r="F553" s="1181"/>
      <c r="G553" s="1181"/>
      <c r="H553" s="1182"/>
      <c r="I553" s="1183"/>
      <c r="J553" s="547">
        <f>A50.702</f>
        <v>1579</v>
      </c>
    </row>
    <row r="554" spans="1:10" ht="15">
      <c r="A554" s="114"/>
      <c r="B554" s="1181" t="str">
        <f>TIT.703</f>
        <v>FL.11/302.13/05803 - EPAR - ESTAÇÃO ELEVATÓRIA DE ESGOTO BRUTO</v>
      </c>
      <c r="C554" s="1181"/>
      <c r="D554" s="1181"/>
      <c r="E554" s="1181"/>
      <c r="F554" s="1181"/>
      <c r="G554" s="1181"/>
      <c r="H554" s="1182"/>
      <c r="I554" s="1183"/>
      <c r="J554" s="547">
        <f>A50.703</f>
        <v>1960</v>
      </c>
    </row>
    <row r="555" spans="1:10" ht="15">
      <c r="A555" s="114"/>
      <c r="B555" s="1181" t="str">
        <f>TIT.704</f>
        <v>FL.11/302.13/05786 - ESTAÇÃO DE TRATAMENTO DE ÁGUA - BASE</v>
      </c>
      <c r="C555" s="1181"/>
      <c r="D555" s="1181"/>
      <c r="E555" s="1181"/>
      <c r="F555" s="1181"/>
      <c r="G555" s="1181"/>
      <c r="H555" s="1182"/>
      <c r="I555" s="1183"/>
      <c r="J555" s="547">
        <f>A50.704</f>
        <v>953</v>
      </c>
    </row>
    <row r="556" spans="1:10" ht="15">
      <c r="A556" s="114"/>
      <c r="B556" s="1181" t="str">
        <f>TIT.705</f>
        <v>FL.11/302.13/05790 - CAIXA SEPARADORA DE ESCUMA E TANQUE DE RECEBIMENTO DE LODO</v>
      </c>
      <c r="C556" s="1181"/>
      <c r="D556" s="1181"/>
      <c r="E556" s="1181"/>
      <c r="F556" s="1181"/>
      <c r="G556" s="1181"/>
      <c r="H556" s="1182"/>
      <c r="I556" s="1183"/>
      <c r="J556" s="547">
        <f>A50.705</f>
        <v>534</v>
      </c>
    </row>
    <row r="557" spans="1:10" ht="15">
      <c r="A557" s="114"/>
      <c r="B557" s="1181" t="str">
        <f>TIT.706</f>
        <v>FL.11/302.13/05794 - ESTAÇÃO ELEVATÓRIA DE ÁGUAS PLUVIAIS</v>
      </c>
      <c r="C557" s="1181"/>
      <c r="D557" s="1181"/>
      <c r="E557" s="1181"/>
      <c r="F557" s="1181"/>
      <c r="G557" s="1181"/>
      <c r="H557" s="1182"/>
      <c r="I557" s="1183"/>
      <c r="J557" s="547">
        <f>A50.706</f>
        <v>2643</v>
      </c>
    </row>
    <row r="558" spans="1:10" ht="15">
      <c r="A558" s="114"/>
      <c r="B558" s="1181" t="str">
        <f>TIT.707</f>
        <v>FL.11/304.13/05806 - TRATAMENTO PRELIMINAR E TANQUES DE AERAÇÃO</v>
      </c>
      <c r="C558" s="1181"/>
      <c r="D558" s="1181"/>
      <c r="E558" s="1181"/>
      <c r="F558" s="1181"/>
      <c r="G558" s="1181"/>
      <c r="H558" s="1182"/>
      <c r="I558" s="1183"/>
      <c r="J558" s="547">
        <f>A50.707</f>
        <v>45996</v>
      </c>
    </row>
    <row r="559" spans="1:10" ht="15">
      <c r="A559" s="114"/>
      <c r="B559" s="1181" t="str">
        <f>TIT.708</f>
        <v>FL.11/304.13/05796 - RESERVATÓRIOS DE ÁGUA  DE REUSO E ÁGUAS PLUVIAIS</v>
      </c>
      <c r="C559" s="1181"/>
      <c r="D559" s="1181"/>
      <c r="E559" s="1181"/>
      <c r="F559" s="1181"/>
      <c r="G559" s="1181"/>
      <c r="H559" s="1182"/>
      <c r="I559" s="1183"/>
      <c r="J559" s="547">
        <f>A50.708</f>
        <v>16779</v>
      </c>
    </row>
    <row r="560" spans="1:10" ht="15">
      <c r="A560" s="114"/>
      <c r="B560" s="1181" t="str">
        <f>TIT.709</f>
        <v>FL.11/302.13/05788 - SISTEMA DE PRODUTOS QUÍMICOS - TANQUES</v>
      </c>
      <c r="C560" s="1181"/>
      <c r="D560" s="1181"/>
      <c r="E560" s="1181"/>
      <c r="F560" s="1181"/>
      <c r="G560" s="1181"/>
      <c r="H560" s="1182"/>
      <c r="I560" s="1183"/>
      <c r="J560" s="547">
        <f>A50.709</f>
        <v>2366</v>
      </c>
    </row>
    <row r="561" spans="1:10" ht="15">
      <c r="A561" s="114"/>
      <c r="B561" s="1181" t="str">
        <f>TIT.710</f>
        <v>FL.11/302.13/05787 - DESIDRATAÇÃO DE LODO - CENTRÍFUGAS</v>
      </c>
      <c r="C561" s="1181"/>
      <c r="D561" s="1181"/>
      <c r="E561" s="1181"/>
      <c r="F561" s="1181"/>
      <c r="G561" s="1181"/>
      <c r="H561" s="1182"/>
      <c r="I561" s="1183"/>
      <c r="J561" s="547">
        <f>A50.710</f>
        <v>501</v>
      </c>
    </row>
    <row r="562" spans="1:10" ht="15">
      <c r="A562" s="114"/>
      <c r="B562" s="1181" t="str">
        <f>TIT.711</f>
        <v>FL.11/302.13/05783 - ABRIGO DOS SOPRADORES</v>
      </c>
      <c r="C562" s="1181"/>
      <c r="D562" s="1181"/>
      <c r="E562" s="1181"/>
      <c r="F562" s="1181"/>
      <c r="G562" s="1181"/>
      <c r="H562" s="1182"/>
      <c r="I562" s="1183"/>
      <c r="J562" s="547">
        <f>A50.711</f>
        <v>1212</v>
      </c>
    </row>
    <row r="563" spans="1:10" ht="15">
      <c r="A563" s="114"/>
      <c r="B563" s="1181" t="str">
        <f>TIT.712</f>
        <v>FL.11/302.13/05803 - EPAR - ESTAÇÃO ELEVATÓRIA DE RETORNO</v>
      </c>
      <c r="C563" s="1181"/>
      <c r="D563" s="1181"/>
      <c r="E563" s="1181"/>
      <c r="F563" s="1181"/>
      <c r="G563" s="1181"/>
      <c r="H563" s="1182"/>
      <c r="I563" s="1183"/>
      <c r="J563" s="561">
        <f>A50.712</f>
        <v>2424</v>
      </c>
    </row>
    <row r="564" spans="1:10" ht="15">
      <c r="A564" s="114"/>
      <c r="B564" s="1181" t="str">
        <f>TIT.713</f>
        <v>FL.11/302.13/05803 - EPAR - MEDIDOR DE VAZÃO</v>
      </c>
      <c r="C564" s="1181"/>
      <c r="D564" s="1181"/>
      <c r="E564" s="1181"/>
      <c r="F564" s="1181"/>
      <c r="G564" s="1181"/>
      <c r="H564" s="1182"/>
      <c r="I564" s="1183"/>
      <c r="J564" s="561">
        <f>A50.713</f>
        <v>112</v>
      </c>
    </row>
    <row r="565" spans="1:10" ht="15">
      <c r="A565" s="114"/>
      <c r="B565" s="1181" t="str">
        <f>TIT.714</f>
        <v>FL.11/302.13/05803 - EPAR - CAIXA DE DESCARGA</v>
      </c>
      <c r="C565" s="1181"/>
      <c r="D565" s="1181"/>
      <c r="E565" s="1181"/>
      <c r="F565" s="1181"/>
      <c r="G565" s="1181"/>
      <c r="H565" s="1182"/>
      <c r="I565" s="1183"/>
      <c r="J565" s="561">
        <f>A50.714</f>
        <v>491</v>
      </c>
    </row>
    <row r="566" spans="1:10" ht="15" customHeight="1">
      <c r="A566" s="114"/>
      <c r="B566" s="1181"/>
      <c r="C566" s="1181"/>
      <c r="D566" s="1181"/>
      <c r="E566" s="1181"/>
      <c r="F566" s="1181"/>
      <c r="G566" s="1181"/>
      <c r="H566" s="1181"/>
      <c r="I566" s="1209"/>
      <c r="J566" s="548"/>
    </row>
    <row r="567" spans="1:10" ht="15" customHeight="1" thickBot="1">
      <c r="A567" s="114"/>
      <c r="B567" s="1193" t="s">
        <v>76</v>
      </c>
      <c r="C567" s="1193"/>
      <c r="D567" s="1193"/>
      <c r="E567" s="1193"/>
      <c r="F567" s="1193"/>
      <c r="G567" s="1193"/>
      <c r="H567" s="1193"/>
      <c r="I567" s="1208"/>
      <c r="J567" s="549">
        <f>SUM(J552:J565)</f>
        <v>80241</v>
      </c>
    </row>
    <row r="568" spans="1:10" ht="15" customHeight="1" thickBot="1">
      <c r="A568" s="114"/>
      <c r="B568" s="1196" t="s">
        <v>77</v>
      </c>
      <c r="C568" s="1196"/>
      <c r="D568" s="1196"/>
      <c r="E568" s="1196"/>
      <c r="F568" s="1196"/>
      <c r="G568" s="1196"/>
      <c r="H568" s="1196"/>
      <c r="I568" s="1196"/>
      <c r="J568" s="573"/>
    </row>
    <row r="569" spans="1:10" ht="15" customHeight="1">
      <c r="A569" s="114"/>
      <c r="B569" s="551" t="s">
        <v>2011</v>
      </c>
      <c r="C569" s="154"/>
      <c r="D569" s="154"/>
      <c r="E569" s="154"/>
      <c r="F569" s="154"/>
      <c r="G569" s="154"/>
      <c r="H569" s="154"/>
      <c r="I569" s="154"/>
      <c r="J569" s="278"/>
    </row>
    <row r="570" spans="1:10" ht="15" customHeight="1" thickBot="1">
      <c r="A570" s="114"/>
      <c r="B570" s="155"/>
      <c r="C570" s="155"/>
      <c r="D570" s="155"/>
      <c r="E570" s="155"/>
      <c r="F570" s="155"/>
      <c r="G570" s="155"/>
      <c r="H570" s="155"/>
      <c r="I570" s="155"/>
      <c r="J570" s="574"/>
    </row>
    <row r="571" spans="1:10" thickTop="1">
      <c r="A571" s="114"/>
      <c r="B571" s="1290" t="s">
        <v>57</v>
      </c>
      <c r="C571" s="1290"/>
      <c r="D571" s="1290"/>
      <c r="E571" s="1290"/>
      <c r="F571" s="1290"/>
      <c r="G571" s="1290"/>
      <c r="H571" s="1290"/>
      <c r="I571" s="1290"/>
      <c r="J571" s="1290"/>
    </row>
    <row r="572" spans="1:10" ht="44.25" customHeight="1">
      <c r="A572" s="114"/>
      <c r="B572" s="1213" t="str">
        <f>'PSQ-SUPER'!C150</f>
        <v>Fornecimento, Dobra e Montagem de Aço CA-60</v>
      </c>
      <c r="C572" s="1213"/>
      <c r="D572" s="1213"/>
      <c r="E572" s="1213"/>
      <c r="F572" s="1213"/>
      <c r="G572" s="1213"/>
      <c r="H572" s="1213"/>
      <c r="I572" s="1213"/>
      <c r="J572" s="541"/>
    </row>
    <row r="573" spans="1:10" ht="15">
      <c r="A573" s="114"/>
      <c r="B573" s="1214" t="s">
        <v>7</v>
      </c>
      <c r="C573" s="1215"/>
      <c r="D573" s="1220" t="s">
        <v>70</v>
      </c>
      <c r="E573" s="1221"/>
      <c r="F573" s="1221"/>
      <c r="G573" s="1222"/>
      <c r="H573" s="1223" t="s">
        <v>4</v>
      </c>
      <c r="I573" s="1224"/>
      <c r="J573" s="796" t="s">
        <v>71</v>
      </c>
    </row>
    <row r="574" spans="1:10" ht="56.25" customHeight="1" thickBot="1">
      <c r="A574" s="114"/>
      <c r="B574" s="1278" t="str">
        <f>'PSQ-SUPER'!B150</f>
        <v>04.03.120.02</v>
      </c>
      <c r="C574" s="1279"/>
      <c r="D574" s="1218" t="str">
        <f>B572</f>
        <v>Fornecimento, Dobra e Montagem de Aço CA-60</v>
      </c>
      <c r="E574" s="1219"/>
      <c r="F574" s="1219"/>
      <c r="G574" s="1195"/>
      <c r="H574" s="1184" t="str">
        <f>'PSQ-SUPER'!D150</f>
        <v>kg</v>
      </c>
      <c r="I574" s="1185"/>
      <c r="J574" s="542">
        <f>J585</f>
        <v>479</v>
      </c>
    </row>
    <row r="575" spans="1:10" ht="15">
      <c r="A575" s="114"/>
      <c r="B575" s="1186" t="s">
        <v>72</v>
      </c>
      <c r="C575" s="1186"/>
      <c r="D575" s="1186"/>
      <c r="E575" s="1186"/>
      <c r="F575" s="1186"/>
      <c r="G575" s="1186"/>
      <c r="H575" s="1186"/>
      <c r="I575" s="1186"/>
      <c r="J575" s="572"/>
    </row>
    <row r="576" spans="1:10" ht="15" customHeight="1">
      <c r="A576" s="114"/>
      <c r="B576" s="162" t="str">
        <f>'Pág 2'!$C$23</f>
        <v xml:space="preserve">A especificação propriamente dita, a forma de execução, se for o caso e o critério de medição são descritas no(s) seguinte(s) documento(s): </v>
      </c>
      <c r="C576" s="168"/>
      <c r="D576" s="168"/>
      <c r="E576" s="168"/>
      <c r="F576" s="168"/>
      <c r="G576" s="168"/>
      <c r="H576" s="162" t="str">
        <f>'Pág 2'!$C$24</f>
        <v>FL.01/302.92/04538 - Especificação Técnica</v>
      </c>
      <c r="I576" s="168"/>
      <c r="J576" s="168"/>
    </row>
    <row r="577" spans="1:10" ht="15" customHeight="1">
      <c r="A577" s="114"/>
      <c r="B577" s="163" t="str">
        <f>'Pág 2'!$C$15</f>
        <v xml:space="preserve">Foram utilizadas as premissas descritas no(s) seguinte(s)  documento(s):  </v>
      </c>
      <c r="C577" s="164"/>
      <c r="D577" s="164"/>
      <c r="E577" s="163" t="str">
        <f>'Pág 2'!$C$17</f>
        <v xml:space="preserve">FL.01/302.76/04537 - Memorial de Cálculo e Dimensionamento </v>
      </c>
      <c r="F577" s="114"/>
      <c r="G577" s="164"/>
      <c r="H577" s="164"/>
      <c r="I577" s="164"/>
      <c r="J577" s="164"/>
    </row>
    <row r="578" spans="1:10" ht="15" customHeight="1">
      <c r="A578" s="114"/>
      <c r="B578" s="163" t="s">
        <v>1803</v>
      </c>
      <c r="C578" s="153"/>
      <c r="D578" s="153"/>
      <c r="E578" s="163"/>
      <c r="F578" s="114"/>
      <c r="G578" s="164"/>
      <c r="H578" s="164"/>
      <c r="I578" s="164"/>
      <c r="J578" s="544"/>
    </row>
    <row r="579" spans="1:10" thickBot="1">
      <c r="A579" s="114"/>
      <c r="B579" s="165"/>
      <c r="C579" s="165"/>
      <c r="D579" s="165"/>
      <c r="E579" s="153"/>
      <c r="F579" s="153"/>
      <c r="G579" s="153"/>
      <c r="H579" s="153"/>
      <c r="I579" s="153"/>
      <c r="J579" s="278"/>
    </row>
    <row r="580" spans="1:10" ht="15">
      <c r="A580" s="114"/>
      <c r="B580" s="1187" t="s">
        <v>74</v>
      </c>
      <c r="C580" s="1187"/>
      <c r="D580" s="1187"/>
      <c r="E580" s="1187"/>
      <c r="F580" s="1187"/>
      <c r="G580" s="1187"/>
      <c r="H580" s="1188"/>
      <c r="I580" s="1189"/>
      <c r="J580" s="546" t="s">
        <v>75</v>
      </c>
    </row>
    <row r="581" spans="1:10" ht="15">
      <c r="A581" s="114"/>
      <c r="B581" s="1181" t="str">
        <f>TIT.701</f>
        <v xml:space="preserve">FL.11/304.13/05778 - EDIFÍCIO DE OPERAÇÕES </v>
      </c>
      <c r="C581" s="1181"/>
      <c r="D581" s="1181"/>
      <c r="E581" s="1181"/>
      <c r="F581" s="1181"/>
      <c r="G581" s="1181"/>
      <c r="H581" s="1182"/>
      <c r="I581" s="1183"/>
      <c r="J581" s="547">
        <f>A60.701</f>
        <v>328</v>
      </c>
    </row>
    <row r="582" spans="1:10" ht="15">
      <c r="A582" s="114"/>
      <c r="B582" s="1181" t="str">
        <f>TIT.707</f>
        <v>FL.11/304.13/05806 - TRATAMENTO PRELIMINAR E TANQUES DE AERAÇÃO</v>
      </c>
      <c r="C582" s="1181"/>
      <c r="D582" s="1181"/>
      <c r="E582" s="1181"/>
      <c r="F582" s="1181"/>
      <c r="G582" s="1181"/>
      <c r="H582" s="1182"/>
      <c r="I582" s="1183"/>
      <c r="J582" s="547">
        <f>A60.707</f>
        <v>101</v>
      </c>
    </row>
    <row r="583" spans="1:10" ht="15">
      <c r="A583" s="114"/>
      <c r="B583" s="1181" t="str">
        <f>TIT.711</f>
        <v>FL.11/302.13/05783 - ABRIGO DOS SOPRADORES</v>
      </c>
      <c r="C583" s="1181"/>
      <c r="D583" s="1181"/>
      <c r="E583" s="1181"/>
      <c r="F583" s="1181"/>
      <c r="G583" s="1181"/>
      <c r="H583" s="1182"/>
      <c r="I583" s="1183"/>
      <c r="J583" s="547">
        <f>A60.711</f>
        <v>50</v>
      </c>
    </row>
    <row r="584" spans="1:10" ht="15" customHeight="1">
      <c r="A584" s="114"/>
      <c r="B584" s="1181"/>
      <c r="C584" s="1181"/>
      <c r="D584" s="1181"/>
      <c r="E584" s="1181"/>
      <c r="F584" s="1181"/>
      <c r="G584" s="1181"/>
      <c r="H584" s="1181"/>
      <c r="I584" s="1209"/>
      <c r="J584" s="548"/>
    </row>
    <row r="585" spans="1:10" ht="15" customHeight="1" thickBot="1">
      <c r="A585" s="114"/>
      <c r="B585" s="1193" t="s">
        <v>76</v>
      </c>
      <c r="C585" s="1193"/>
      <c r="D585" s="1193"/>
      <c r="E585" s="1193"/>
      <c r="F585" s="1193"/>
      <c r="G585" s="1193"/>
      <c r="H585" s="1193"/>
      <c r="I585" s="1208"/>
      <c r="J585" s="549">
        <f>SUM(J581:J583)</f>
        <v>479</v>
      </c>
    </row>
    <row r="586" spans="1:10" ht="15" customHeight="1" thickBot="1">
      <c r="A586" s="114"/>
      <c r="B586" s="1196" t="s">
        <v>77</v>
      </c>
      <c r="C586" s="1196"/>
      <c r="D586" s="1196"/>
      <c r="E586" s="1196"/>
      <c r="F586" s="1196"/>
      <c r="G586" s="1196"/>
      <c r="H586" s="1196"/>
      <c r="I586" s="1196"/>
      <c r="J586" s="573"/>
    </row>
    <row r="587" spans="1:10" ht="15" customHeight="1">
      <c r="A587" s="114"/>
      <c r="B587" s="551" t="s">
        <v>2011</v>
      </c>
      <c r="C587" s="154"/>
      <c r="D587" s="154"/>
      <c r="E587" s="154"/>
      <c r="F587" s="154"/>
      <c r="G587" s="154"/>
      <c r="H587" s="154"/>
      <c r="I587" s="154"/>
      <c r="J587" s="278"/>
    </row>
    <row r="588" spans="1:10" ht="15" customHeight="1" thickBot="1">
      <c r="A588" s="114"/>
      <c r="B588" s="155"/>
      <c r="C588" s="155"/>
      <c r="D588" s="155"/>
      <c r="E588" s="155"/>
      <c r="F588" s="155"/>
      <c r="G588" s="155"/>
      <c r="H588" s="155"/>
      <c r="I588" s="155"/>
      <c r="J588" s="574"/>
    </row>
    <row r="589" spans="1:10" thickTop="1">
      <c r="A589" s="114"/>
      <c r="B589" s="1211" t="s">
        <v>57</v>
      </c>
      <c r="C589" s="1211"/>
      <c r="D589" s="1211"/>
      <c r="E589" s="1211"/>
      <c r="F589" s="1211"/>
      <c r="G589" s="1211"/>
      <c r="H589" s="1211"/>
      <c r="I589" s="1211"/>
      <c r="J589" s="1211"/>
    </row>
    <row r="590" spans="1:10" ht="44.25" customHeight="1">
      <c r="A590" s="114"/>
      <c r="B590" s="1213" t="str">
        <f>'PSQ-SUPER'!C152</f>
        <v>Fornecimento, Dobra e Montagem de Aço CA-25</v>
      </c>
      <c r="C590" s="1213"/>
      <c r="D590" s="1213"/>
      <c r="E590" s="1213"/>
      <c r="F590" s="1213"/>
      <c r="G590" s="1213"/>
      <c r="H590" s="1213"/>
      <c r="I590" s="1213"/>
      <c r="J590" s="541"/>
    </row>
    <row r="591" spans="1:10" ht="15">
      <c r="A591" s="114"/>
      <c r="B591" s="1214" t="s">
        <v>7</v>
      </c>
      <c r="C591" s="1215"/>
      <c r="D591" s="1220" t="s">
        <v>70</v>
      </c>
      <c r="E591" s="1221"/>
      <c r="F591" s="1221"/>
      <c r="G591" s="1222"/>
      <c r="H591" s="1223" t="s">
        <v>4</v>
      </c>
      <c r="I591" s="1224"/>
      <c r="J591" s="796" t="s">
        <v>71</v>
      </c>
    </row>
    <row r="592" spans="1:10" ht="56.25" customHeight="1" thickBot="1">
      <c r="A592" s="114"/>
      <c r="B592" s="1278" t="str">
        <f>'PSQ-SUPER'!B152</f>
        <v>04.03.120.03</v>
      </c>
      <c r="C592" s="1279"/>
      <c r="D592" s="1218" t="str">
        <f>B590</f>
        <v>Fornecimento, Dobra e Montagem de Aço CA-25</v>
      </c>
      <c r="E592" s="1219"/>
      <c r="F592" s="1219"/>
      <c r="G592" s="1195"/>
      <c r="H592" s="1184" t="str">
        <f>'PSQ-SUPER'!D152</f>
        <v>kg</v>
      </c>
      <c r="I592" s="1185"/>
      <c r="J592" s="542">
        <f>J601</f>
        <v>2</v>
      </c>
    </row>
    <row r="593" spans="1:10" ht="15">
      <c r="A593" s="114"/>
      <c r="B593" s="1186" t="s">
        <v>72</v>
      </c>
      <c r="C593" s="1186"/>
      <c r="D593" s="1186"/>
      <c r="E593" s="1186"/>
      <c r="F593" s="1186"/>
      <c r="G593" s="1186"/>
      <c r="H593" s="1186"/>
      <c r="I593" s="1186"/>
      <c r="J593" s="572"/>
    </row>
    <row r="594" spans="1:10" ht="15" customHeight="1">
      <c r="A594" s="114"/>
      <c r="B594" s="162" t="str">
        <f>'Pág 2'!$C$23</f>
        <v xml:space="preserve">A especificação propriamente dita, a forma de execução, se for o caso e o critério de medição são descritas no(s) seguinte(s) documento(s): </v>
      </c>
      <c r="C594" s="168"/>
      <c r="D594" s="168"/>
      <c r="E594" s="168"/>
      <c r="F594" s="168"/>
      <c r="G594" s="168"/>
      <c r="H594" s="162" t="str">
        <f>'Pág 2'!$C$24</f>
        <v>FL.01/302.92/04538 - Especificação Técnica</v>
      </c>
      <c r="I594" s="168"/>
      <c r="J594" s="168"/>
    </row>
    <row r="595" spans="1:10" ht="15" customHeight="1">
      <c r="A595" s="114"/>
      <c r="B595" s="163" t="str">
        <f>'Pág 2'!$C$15</f>
        <v xml:space="preserve">Foram utilizadas as premissas descritas no(s) seguinte(s)  documento(s):  </v>
      </c>
      <c r="C595" s="164"/>
      <c r="D595" s="164"/>
      <c r="E595" s="163" t="str">
        <f>'Pág 2'!$C$17</f>
        <v xml:space="preserve">FL.01/302.76/04537 - Memorial de Cálculo e Dimensionamento </v>
      </c>
      <c r="F595" s="114"/>
      <c r="G595" s="164"/>
      <c r="H595" s="164"/>
      <c r="I595" s="164"/>
      <c r="J595" s="164"/>
    </row>
    <row r="596" spans="1:10" ht="15" customHeight="1">
      <c r="A596" s="114"/>
      <c r="B596" s="163" t="s">
        <v>1803</v>
      </c>
      <c r="C596" s="153"/>
      <c r="D596" s="153"/>
      <c r="E596" s="163"/>
      <c r="F596" s="114"/>
      <c r="G596" s="164"/>
      <c r="H596" s="164"/>
      <c r="I596" s="164"/>
      <c r="J596" s="544"/>
    </row>
    <row r="597" spans="1:10" thickBot="1">
      <c r="A597" s="114"/>
      <c r="B597" s="721"/>
      <c r="C597" s="165"/>
      <c r="D597" s="165"/>
      <c r="E597" s="153"/>
      <c r="F597" s="153"/>
      <c r="G597" s="153"/>
      <c r="H597" s="153"/>
      <c r="I597" s="153"/>
      <c r="J597" s="278"/>
    </row>
    <row r="598" spans="1:10" ht="15">
      <c r="A598" s="114"/>
      <c r="B598" s="1187" t="s">
        <v>74</v>
      </c>
      <c r="C598" s="1187"/>
      <c r="D598" s="1187"/>
      <c r="E598" s="1187"/>
      <c r="F598" s="1187"/>
      <c r="G598" s="1187"/>
      <c r="H598" s="1188"/>
      <c r="I598" s="1189"/>
      <c r="J598" s="546" t="s">
        <v>75</v>
      </c>
    </row>
    <row r="599" spans="1:10" ht="15">
      <c r="A599" s="114"/>
      <c r="B599" s="1181" t="str">
        <f>TIT.705</f>
        <v>FL.11/302.13/05790 - CAIXA SEPARADORA DE ESCUMA E TANQUE DE RECEBIMENTO DE LODO</v>
      </c>
      <c r="C599" s="1181"/>
      <c r="D599" s="1181"/>
      <c r="E599" s="1181"/>
      <c r="F599" s="1181"/>
      <c r="G599" s="1181"/>
      <c r="H599" s="1182"/>
      <c r="I599" s="1183"/>
      <c r="J599" s="547">
        <f>A25.705</f>
        <v>2</v>
      </c>
    </row>
    <row r="600" spans="1:10" ht="15" customHeight="1">
      <c r="A600" s="114"/>
      <c r="B600" s="1181"/>
      <c r="C600" s="1181"/>
      <c r="D600" s="1181"/>
      <c r="E600" s="1181"/>
      <c r="F600" s="1181"/>
      <c r="G600" s="1181"/>
      <c r="H600" s="1181"/>
      <c r="I600" s="1209"/>
      <c r="J600" s="548"/>
    </row>
    <row r="601" spans="1:10" ht="15" customHeight="1" thickBot="1">
      <c r="A601" s="114"/>
      <c r="B601" s="1193" t="s">
        <v>76</v>
      </c>
      <c r="C601" s="1193"/>
      <c r="D601" s="1193"/>
      <c r="E601" s="1193"/>
      <c r="F601" s="1193"/>
      <c r="G601" s="1193"/>
      <c r="H601" s="1193"/>
      <c r="I601" s="1208"/>
      <c r="J601" s="549">
        <f>SUM(J599:J599)</f>
        <v>2</v>
      </c>
    </row>
    <row r="602" spans="1:10" ht="15" customHeight="1" thickBot="1">
      <c r="A602" s="114"/>
      <c r="B602" s="1196" t="s">
        <v>77</v>
      </c>
      <c r="C602" s="1196"/>
      <c r="D602" s="1196"/>
      <c r="E602" s="1196"/>
      <c r="F602" s="1196"/>
      <c r="G602" s="1196"/>
      <c r="H602" s="1196"/>
      <c r="I602" s="1196"/>
      <c r="J602" s="573"/>
    </row>
    <row r="603" spans="1:10" ht="15" customHeight="1">
      <c r="A603" s="114"/>
      <c r="B603" s="551" t="s">
        <v>2011</v>
      </c>
      <c r="C603" s="154"/>
      <c r="D603" s="154"/>
      <c r="E603" s="154"/>
      <c r="F603" s="154"/>
      <c r="G603" s="154"/>
      <c r="H603" s="154"/>
      <c r="I603" s="154"/>
      <c r="J603" s="278"/>
    </row>
    <row r="604" spans="1:10" ht="15" customHeight="1" thickBot="1">
      <c r="A604" s="114"/>
      <c r="B604" s="155"/>
      <c r="C604" s="155"/>
      <c r="D604" s="155"/>
      <c r="E604" s="155"/>
      <c r="F604" s="155"/>
      <c r="G604" s="155"/>
      <c r="H604" s="155"/>
      <c r="I604" s="155"/>
      <c r="J604" s="574"/>
    </row>
    <row r="605" spans="1:10" ht="15" customHeight="1" thickTop="1">
      <c r="A605" s="114"/>
      <c r="B605" s="1211" t="s">
        <v>57</v>
      </c>
      <c r="C605" s="1211"/>
      <c r="D605" s="1211"/>
      <c r="E605" s="1211"/>
      <c r="F605" s="1211"/>
      <c r="G605" s="1211"/>
      <c r="H605" s="1211"/>
      <c r="I605" s="1211"/>
      <c r="J605" s="1211"/>
    </row>
    <row r="606" spans="1:10" ht="44.25" customHeight="1">
      <c r="A606" s="114"/>
      <c r="B606" s="1213" t="str">
        <f>'PSQ-SUPER'!C156</f>
        <v>Fornecimento e Aplicação de Concreto (fck=30MPa)</v>
      </c>
      <c r="C606" s="1213"/>
      <c r="D606" s="1213"/>
      <c r="E606" s="1213"/>
      <c r="F606" s="1213"/>
      <c r="G606" s="1213"/>
      <c r="H606" s="1213"/>
      <c r="I606" s="1213"/>
      <c r="J606" s="541"/>
    </row>
    <row r="607" spans="1:10" ht="15" customHeight="1">
      <c r="A607" s="114"/>
      <c r="B607" s="1267" t="s">
        <v>7</v>
      </c>
      <c r="C607" s="1266"/>
      <c r="D607" s="1262" t="s">
        <v>70</v>
      </c>
      <c r="E607" s="1263"/>
      <c r="F607" s="1263"/>
      <c r="G607" s="1264"/>
      <c r="H607" s="1265" t="s">
        <v>4</v>
      </c>
      <c r="I607" s="1266"/>
      <c r="J607" s="796" t="s">
        <v>71</v>
      </c>
    </row>
    <row r="608" spans="1:10" ht="56.25" customHeight="1" thickBot="1">
      <c r="A608" s="114"/>
      <c r="B608" s="1278" t="str">
        <f>'PSQ-SUPER'!B156</f>
        <v>04.03.130.01</v>
      </c>
      <c r="C608" s="1279"/>
      <c r="D608" s="1218" t="str">
        <f>B606</f>
        <v>Fornecimento e Aplicação de Concreto (fck=30MPa)</v>
      </c>
      <c r="E608" s="1219"/>
      <c r="F608" s="1219"/>
      <c r="G608" s="1195"/>
      <c r="H608" s="1184" t="str">
        <f>'PSQ-SUPER'!D156</f>
        <v>m³</v>
      </c>
      <c r="I608" s="1185"/>
      <c r="J608" s="542">
        <f>J630</f>
        <v>724.34554035600001</v>
      </c>
    </row>
    <row r="609" spans="1:10" ht="15">
      <c r="A609" s="114"/>
      <c r="B609" s="1186" t="s">
        <v>72</v>
      </c>
      <c r="C609" s="1186"/>
      <c r="D609" s="1186"/>
      <c r="E609" s="1186"/>
      <c r="F609" s="1186"/>
      <c r="G609" s="1186"/>
      <c r="H609" s="1186"/>
      <c r="I609" s="1186"/>
      <c r="J609" s="572"/>
    </row>
    <row r="610" spans="1:10" ht="15" customHeight="1">
      <c r="A610" s="114"/>
      <c r="B610" s="162" t="str">
        <f>'Pág 2'!$C$23</f>
        <v xml:space="preserve">A especificação propriamente dita, a forma de execução, se for o caso e o critério de medição são descritas no(s) seguinte(s) documento(s): </v>
      </c>
      <c r="C610" s="168"/>
      <c r="D610" s="168"/>
      <c r="E610" s="168"/>
      <c r="F610" s="168"/>
      <c r="G610" s="168"/>
      <c r="H610" s="162" t="str">
        <f>'Pág 2'!$C$24</f>
        <v>FL.01/302.92/04538 - Especificação Técnica</v>
      </c>
      <c r="I610" s="168"/>
      <c r="J610" s="168"/>
    </row>
    <row r="611" spans="1:10" ht="15" customHeight="1">
      <c r="A611" s="114"/>
      <c r="B611" s="163" t="str">
        <f>'Pág 2'!$C$15</f>
        <v xml:space="preserve">Foram utilizadas as premissas descritas no(s) seguinte(s)  documento(s):  </v>
      </c>
      <c r="C611" s="164"/>
      <c r="D611" s="164"/>
      <c r="E611" s="163" t="str">
        <f>'Pág 2'!$C$17</f>
        <v xml:space="preserve">FL.01/302.76/04537 - Memorial de Cálculo e Dimensionamento </v>
      </c>
      <c r="F611" s="114"/>
      <c r="G611" s="164"/>
      <c r="H611" s="164"/>
      <c r="I611" s="164"/>
      <c r="J611" s="164"/>
    </row>
    <row r="612" spans="1:10" ht="15" customHeight="1">
      <c r="A612" s="114"/>
      <c r="B612" s="163" t="s">
        <v>73</v>
      </c>
      <c r="C612" s="153"/>
      <c r="D612" s="153"/>
      <c r="E612" s="163"/>
      <c r="F612" s="114"/>
      <c r="G612" s="164"/>
      <c r="H612" s="164"/>
      <c r="I612" s="164"/>
      <c r="J612" s="544"/>
    </row>
    <row r="613" spans="1:10" thickBot="1">
      <c r="A613" s="114"/>
      <c r="B613" s="165"/>
      <c r="C613" s="165"/>
      <c r="D613" s="165"/>
      <c r="E613" s="153"/>
      <c r="F613" s="153"/>
      <c r="G613" s="153"/>
      <c r="H613" s="153"/>
      <c r="I613" s="153"/>
      <c r="J613" s="278"/>
    </row>
    <row r="614" spans="1:10" ht="15">
      <c r="A614" s="114"/>
      <c r="B614" s="1187" t="s">
        <v>74</v>
      </c>
      <c r="C614" s="1187"/>
      <c r="D614" s="1187"/>
      <c r="E614" s="1187"/>
      <c r="F614" s="1187"/>
      <c r="G614" s="1187"/>
      <c r="H614" s="1188"/>
      <c r="I614" s="1189"/>
      <c r="J614" s="546" t="s">
        <v>75</v>
      </c>
    </row>
    <row r="615" spans="1:10" ht="15">
      <c r="A615" s="114"/>
      <c r="B615" s="1181" t="str">
        <f>TIT.701</f>
        <v xml:space="preserve">FL.11/304.13/05778 - EDIFÍCIO DE OPERAÇÕES </v>
      </c>
      <c r="C615" s="1181"/>
      <c r="D615" s="1181"/>
      <c r="E615" s="1181"/>
      <c r="F615" s="1181"/>
      <c r="G615" s="1181"/>
      <c r="H615" s="1182"/>
      <c r="I615" s="1183"/>
      <c r="J615" s="547">
        <f>C.701</f>
        <v>31.318760000000001</v>
      </c>
    </row>
    <row r="616" spans="1:10" ht="15">
      <c r="A616" s="114"/>
      <c r="B616" s="1181" t="str">
        <f>TIT.702</f>
        <v>FL.11/302.13/05792 - TANQUE DE EQUALIZAÇÃO DE LODO</v>
      </c>
      <c r="C616" s="1181"/>
      <c r="D616" s="1181"/>
      <c r="E616" s="1181"/>
      <c r="F616" s="1181"/>
      <c r="G616" s="1181"/>
      <c r="H616" s="1182"/>
      <c r="I616" s="1183"/>
      <c r="J616" s="547">
        <f>C.702</f>
        <v>17.623750000000001</v>
      </c>
    </row>
    <row r="617" spans="1:10" ht="15">
      <c r="A617" s="114"/>
      <c r="B617" s="1181" t="str">
        <f>TIT.703</f>
        <v>FL.11/302.13/05803 - EPAR - ESTAÇÃO ELEVATÓRIA DE ESGOTO BRUTO</v>
      </c>
      <c r="C617" s="1181"/>
      <c r="D617" s="1181"/>
      <c r="E617" s="1181"/>
      <c r="F617" s="1181"/>
      <c r="G617" s="1181"/>
      <c r="H617" s="1182"/>
      <c r="I617" s="1183"/>
      <c r="J617" s="547">
        <f>C.703</f>
        <v>20.422234</v>
      </c>
    </row>
    <row r="618" spans="1:10" ht="15">
      <c r="A618" s="114"/>
      <c r="B618" s="1181" t="str">
        <f>TIT.704</f>
        <v>FL.11/302.13/05786 - ESTAÇÃO DE TRATAMENTO DE ÁGUA - BASE</v>
      </c>
      <c r="C618" s="1181"/>
      <c r="D618" s="1181"/>
      <c r="E618" s="1181"/>
      <c r="F618" s="1181"/>
      <c r="G618" s="1181"/>
      <c r="H618" s="1182"/>
      <c r="I618" s="1183"/>
      <c r="J618" s="547">
        <f>C.704</f>
        <v>12</v>
      </c>
    </row>
    <row r="619" spans="1:10" ht="15">
      <c r="A619" s="114"/>
      <c r="B619" s="1181" t="str">
        <f>TIT.705</f>
        <v>FL.11/302.13/05790 - CAIXA SEPARADORA DE ESCUMA E TANQUE DE RECEBIMENTO DE LODO</v>
      </c>
      <c r="C619" s="1181"/>
      <c r="D619" s="1181"/>
      <c r="E619" s="1181"/>
      <c r="F619" s="1181"/>
      <c r="G619" s="1181"/>
      <c r="H619" s="1182"/>
      <c r="I619" s="1183"/>
      <c r="J619" s="547">
        <f>C.705</f>
        <v>5.886400000000001</v>
      </c>
    </row>
    <row r="620" spans="1:10" ht="15">
      <c r="A620" s="114"/>
      <c r="B620" s="1181" t="str">
        <f>TIT.706</f>
        <v>FL.11/302.13/05794 - ESTAÇÃO ELEVATÓRIA DE ÁGUAS PLUVIAIS</v>
      </c>
      <c r="C620" s="1181"/>
      <c r="D620" s="1181"/>
      <c r="E620" s="1181"/>
      <c r="F620" s="1181"/>
      <c r="G620" s="1181"/>
      <c r="H620" s="1182"/>
      <c r="I620" s="1183"/>
      <c r="J620" s="547">
        <f>C.706</f>
        <v>23.888949999999998</v>
      </c>
    </row>
    <row r="621" spans="1:10" ht="15">
      <c r="A621" s="114"/>
      <c r="B621" s="1181" t="str">
        <f>TIT.707</f>
        <v>FL.11/304.13/05806 - TRATAMENTO PRELIMINAR E TANQUES DE AERAÇÃO</v>
      </c>
      <c r="C621" s="1181"/>
      <c r="D621" s="1181"/>
      <c r="E621" s="1181"/>
      <c r="F621" s="1181"/>
      <c r="G621" s="1181"/>
      <c r="H621" s="1182"/>
      <c r="I621" s="1183"/>
      <c r="J621" s="547">
        <f>C.707</f>
        <v>365.79699999999997</v>
      </c>
    </row>
    <row r="622" spans="1:10" ht="15">
      <c r="A622" s="114"/>
      <c r="B622" s="1181" t="str">
        <f>TIT.708</f>
        <v>FL.11/304.13/05796 - RESERVATÓRIOS DE ÁGUA  DE REUSO E ÁGUAS PLUVIAIS</v>
      </c>
      <c r="C622" s="1181"/>
      <c r="D622" s="1181"/>
      <c r="E622" s="1181"/>
      <c r="F622" s="1181"/>
      <c r="G622" s="1181"/>
      <c r="H622" s="1182"/>
      <c r="I622" s="1183"/>
      <c r="J622" s="547">
        <f>C.708</f>
        <v>158.45249999999999</v>
      </c>
    </row>
    <row r="623" spans="1:10" ht="15">
      <c r="A623" s="114"/>
      <c r="B623" s="1181" t="str">
        <f>TIT.709</f>
        <v>FL.11/302.13/05788 - SISTEMA DE PRODUTOS QUÍMICOS - TANQUES</v>
      </c>
      <c r="C623" s="1181"/>
      <c r="D623" s="1181"/>
      <c r="E623" s="1181"/>
      <c r="F623" s="1181"/>
      <c r="G623" s="1181"/>
      <c r="H623" s="1182"/>
      <c r="I623" s="1183"/>
      <c r="J623" s="547">
        <f>C.709</f>
        <v>34.522000000000006</v>
      </c>
    </row>
    <row r="624" spans="1:10" ht="15">
      <c r="A624" s="114"/>
      <c r="B624" s="1181" t="str">
        <f>TIT.710</f>
        <v>FL.11/302.13/05787 - DESIDRATAÇÃO DE LODO - CENTRÍFUGAS</v>
      </c>
      <c r="C624" s="1181"/>
      <c r="D624" s="1181"/>
      <c r="E624" s="1181"/>
      <c r="F624" s="1181"/>
      <c r="G624" s="1181"/>
      <c r="H624" s="1182"/>
      <c r="I624" s="1183"/>
      <c r="J624" s="547">
        <f>C.710</f>
        <v>7.168000000000001</v>
      </c>
    </row>
    <row r="625" spans="1:10" ht="15">
      <c r="A625" s="114"/>
      <c r="B625" s="1181" t="str">
        <f>TIT.711</f>
        <v>FL.11/302.13/05783 - ABRIGO DOS SOPRADORES</v>
      </c>
      <c r="C625" s="1181"/>
      <c r="D625" s="1181"/>
      <c r="E625" s="1181"/>
      <c r="F625" s="1181"/>
      <c r="G625" s="1181"/>
      <c r="H625" s="1182"/>
      <c r="I625" s="1183"/>
      <c r="J625" s="547">
        <f>C.711</f>
        <v>13.084999999999997</v>
      </c>
    </row>
    <row r="626" spans="1:10" ht="15">
      <c r="A626" s="114"/>
      <c r="B626" s="1181" t="str">
        <f>TIT.712</f>
        <v>FL.11/302.13/05803 - EPAR - ESTAÇÃO ELEVATÓRIA DE RETORNO</v>
      </c>
      <c r="C626" s="1181"/>
      <c r="D626" s="1181"/>
      <c r="E626" s="1181"/>
      <c r="F626" s="1181"/>
      <c r="G626" s="1181"/>
      <c r="H626" s="1182"/>
      <c r="I626" s="1183"/>
      <c r="J626" s="561">
        <f>C.712</f>
        <v>26.943766500000002</v>
      </c>
    </row>
    <row r="627" spans="1:10" ht="15">
      <c r="A627" s="114"/>
      <c r="B627" s="1181" t="str">
        <f>TIT.713</f>
        <v>FL.11/302.13/05803 - EPAR - MEDIDOR DE VAZÃO</v>
      </c>
      <c r="C627" s="1181"/>
      <c r="D627" s="1181"/>
      <c r="E627" s="1181"/>
      <c r="F627" s="1181"/>
      <c r="G627" s="1181"/>
      <c r="H627" s="1182"/>
      <c r="I627" s="1183"/>
      <c r="J627" s="561">
        <f>C.713</f>
        <v>2.3261352</v>
      </c>
    </row>
    <row r="628" spans="1:10" ht="15">
      <c r="A628" s="114"/>
      <c r="B628" s="1181" t="str">
        <f>TIT.714</f>
        <v>FL.11/302.13/05803 - EPAR - CAIXA DE DESCARGA</v>
      </c>
      <c r="C628" s="1181"/>
      <c r="D628" s="1181"/>
      <c r="E628" s="1181"/>
      <c r="F628" s="1181"/>
      <c r="G628" s="1181"/>
      <c r="H628" s="1182"/>
      <c r="I628" s="1183"/>
      <c r="J628" s="561">
        <f>C.714</f>
        <v>4.9110446559999996</v>
      </c>
    </row>
    <row r="629" spans="1:10" ht="15">
      <c r="A629" s="114"/>
      <c r="B629" s="1181"/>
      <c r="C629" s="1181"/>
      <c r="D629" s="1181"/>
      <c r="E629" s="1181"/>
      <c r="F629" s="1181"/>
      <c r="G629" s="1181"/>
      <c r="H629" s="1182"/>
      <c r="I629" s="1183"/>
      <c r="J629" s="548"/>
    </row>
    <row r="630" spans="1:10" thickBot="1">
      <c r="A630" s="114"/>
      <c r="B630" s="1193" t="s">
        <v>76</v>
      </c>
      <c r="C630" s="1193"/>
      <c r="D630" s="1193"/>
      <c r="E630" s="1193"/>
      <c r="F630" s="1193"/>
      <c r="G630" s="1193"/>
      <c r="H630" s="1194"/>
      <c r="I630" s="1195"/>
      <c r="J630" s="549">
        <f>SUM(J615:J628)</f>
        <v>724.34554035600001</v>
      </c>
    </row>
    <row r="631" spans="1:10" thickBot="1">
      <c r="A631" s="114"/>
      <c r="B631" s="1196" t="s">
        <v>77</v>
      </c>
      <c r="C631" s="1196"/>
      <c r="D631" s="1196"/>
      <c r="E631" s="1196"/>
      <c r="F631" s="1196"/>
      <c r="G631" s="1196"/>
      <c r="H631" s="1196"/>
      <c r="I631" s="1196"/>
      <c r="J631" s="573"/>
    </row>
    <row r="632" spans="1:10" ht="15">
      <c r="A632" s="114"/>
      <c r="B632" s="551" t="s">
        <v>2011</v>
      </c>
      <c r="C632" s="154"/>
      <c r="D632" s="154"/>
      <c r="E632" s="154"/>
      <c r="F632" s="154"/>
      <c r="G632" s="154"/>
      <c r="H632" s="154"/>
      <c r="I632" s="154"/>
      <c r="J632" s="278"/>
    </row>
    <row r="633" spans="1:10" thickBot="1">
      <c r="A633" s="114"/>
      <c r="B633" s="155"/>
      <c r="C633" s="155"/>
      <c r="D633" s="155"/>
      <c r="E633" s="155"/>
      <c r="F633" s="155"/>
      <c r="G633" s="155"/>
      <c r="H633" s="155"/>
      <c r="I633" s="155"/>
      <c r="J633" s="574"/>
    </row>
    <row r="634" spans="1:10" thickTop="1">
      <c r="A634" s="114"/>
      <c r="B634" s="1211" t="s">
        <v>57</v>
      </c>
      <c r="C634" s="1211"/>
      <c r="D634" s="1211"/>
      <c r="E634" s="1211"/>
      <c r="F634" s="1211"/>
      <c r="G634" s="1211"/>
      <c r="H634" s="1211"/>
      <c r="I634" s="1211"/>
      <c r="J634" s="1211"/>
    </row>
    <row r="635" spans="1:10" ht="44.25" customHeight="1">
      <c r="A635" s="114"/>
      <c r="B635" s="1213" t="str">
        <f>'PSQ-SUPER'!C162</f>
        <v>Fornecimento e Aplicação de Junta de Encontro</v>
      </c>
      <c r="C635" s="1213"/>
      <c r="D635" s="1213"/>
      <c r="E635" s="1213"/>
      <c r="F635" s="1213"/>
      <c r="G635" s="1213"/>
      <c r="H635" s="1213"/>
      <c r="I635" s="1213"/>
      <c r="J635" s="541"/>
    </row>
    <row r="636" spans="1:10" ht="15">
      <c r="A636" s="114"/>
      <c r="B636" s="1267" t="s">
        <v>7</v>
      </c>
      <c r="C636" s="1266"/>
      <c r="D636" s="1262" t="s">
        <v>70</v>
      </c>
      <c r="E636" s="1263"/>
      <c r="F636" s="1263"/>
      <c r="G636" s="1264"/>
      <c r="H636" s="1265" t="s">
        <v>4</v>
      </c>
      <c r="I636" s="1266"/>
      <c r="J636" s="796" t="s">
        <v>71</v>
      </c>
    </row>
    <row r="637" spans="1:10" ht="56.25" customHeight="1" thickBot="1">
      <c r="A637" s="114"/>
      <c r="B637" s="1278" t="str">
        <f>'PSQ-SUPER'!B162</f>
        <v>04.03.310.02</v>
      </c>
      <c r="C637" s="1279"/>
      <c r="D637" s="1218" t="str">
        <f>B635</f>
        <v>Fornecimento e Aplicação de Junta de Encontro</v>
      </c>
      <c r="E637" s="1219"/>
      <c r="F637" s="1219"/>
      <c r="G637" s="1195"/>
      <c r="H637" s="1184" t="str">
        <f>'PSQ-SUPER'!D162</f>
        <v>m</v>
      </c>
      <c r="I637" s="1185"/>
      <c r="J637" s="542">
        <f>J646</f>
        <v>60.6</v>
      </c>
    </row>
    <row r="638" spans="1:10" ht="15">
      <c r="A638" s="114"/>
      <c r="B638" s="1186" t="s">
        <v>72</v>
      </c>
      <c r="C638" s="1186"/>
      <c r="D638" s="1186"/>
      <c r="E638" s="1186"/>
      <c r="F638" s="1186"/>
      <c r="G638" s="1186"/>
      <c r="H638" s="1186"/>
      <c r="I638" s="1186"/>
      <c r="J638" s="572"/>
    </row>
    <row r="639" spans="1:10" ht="15">
      <c r="A639" s="114"/>
      <c r="B639" s="162" t="str">
        <f>'Pág 2'!$C$23</f>
        <v xml:space="preserve">A especificação propriamente dita, a forma de execução, se for o caso e o critério de medição são descritas no(s) seguinte(s) documento(s): </v>
      </c>
      <c r="C639" s="168"/>
      <c r="D639" s="168"/>
      <c r="E639" s="168"/>
      <c r="F639" s="168"/>
      <c r="G639" s="168"/>
      <c r="H639" s="162" t="str">
        <f>'Pág 2'!$C$24</f>
        <v>FL.01/302.92/04538 - Especificação Técnica</v>
      </c>
      <c r="I639" s="168"/>
      <c r="J639" s="168"/>
    </row>
    <row r="640" spans="1:10" ht="15">
      <c r="A640" s="114"/>
      <c r="B640" s="163" t="str">
        <f>'Pág 2'!$C$15</f>
        <v xml:space="preserve">Foram utilizadas as premissas descritas no(s) seguinte(s)  documento(s):  </v>
      </c>
      <c r="C640" s="164"/>
      <c r="D640" s="164"/>
      <c r="E640" s="163" t="str">
        <f>'Pág 2'!$C$17</f>
        <v xml:space="preserve">FL.01/302.76/04537 - Memorial de Cálculo e Dimensionamento </v>
      </c>
      <c r="F640" s="114"/>
      <c r="G640" s="164"/>
      <c r="H640" s="164"/>
      <c r="I640" s="164"/>
      <c r="J640" s="164"/>
    </row>
    <row r="641" spans="1:10" ht="15">
      <c r="A641" s="114"/>
      <c r="B641" s="163" t="s">
        <v>73</v>
      </c>
      <c r="C641" s="153"/>
      <c r="D641" s="153"/>
      <c r="E641" s="163"/>
      <c r="F641" s="114"/>
      <c r="G641" s="164"/>
      <c r="H641" s="164"/>
      <c r="I641" s="164"/>
      <c r="J641" s="544"/>
    </row>
    <row r="642" spans="1:10" thickBot="1">
      <c r="A642" s="114"/>
      <c r="B642" s="165"/>
      <c r="C642" s="165"/>
      <c r="D642" s="165"/>
      <c r="E642" s="153"/>
      <c r="F642" s="153"/>
      <c r="G642" s="153"/>
      <c r="H642" s="153"/>
      <c r="I642" s="153"/>
      <c r="J642" s="278"/>
    </row>
    <row r="643" spans="1:10" ht="15">
      <c r="A643" s="114"/>
      <c r="B643" s="1187" t="s">
        <v>74</v>
      </c>
      <c r="C643" s="1187"/>
      <c r="D643" s="1187"/>
      <c r="E643" s="1187"/>
      <c r="F643" s="1187"/>
      <c r="G643" s="1187"/>
      <c r="H643" s="1188"/>
      <c r="I643" s="1189"/>
      <c r="J643" s="546" t="s">
        <v>75</v>
      </c>
    </row>
    <row r="644" spans="1:10" ht="15" customHeight="1">
      <c r="A644" s="114"/>
      <c r="B644" s="1181" t="str">
        <f>TIT.701</f>
        <v xml:space="preserve">FL.11/304.13/05778 - EDIFÍCIO DE OPERAÇÕES </v>
      </c>
      <c r="C644" s="1181"/>
      <c r="D644" s="1181"/>
      <c r="E644" s="1181"/>
      <c r="F644" s="1181"/>
      <c r="G644" s="1181"/>
      <c r="H644" s="1182"/>
      <c r="I644" s="1183"/>
      <c r="J644" s="553">
        <f>JE.701</f>
        <v>60.6</v>
      </c>
    </row>
    <row r="645" spans="1:10" ht="15">
      <c r="A645" s="114"/>
      <c r="B645" s="1181"/>
      <c r="C645" s="1181"/>
      <c r="D645" s="1181"/>
      <c r="E645" s="1181"/>
      <c r="F645" s="1181"/>
      <c r="G645" s="1181"/>
      <c r="H645" s="1182"/>
      <c r="I645" s="1183"/>
      <c r="J645" s="548"/>
    </row>
    <row r="646" spans="1:10" thickBot="1">
      <c r="A646" s="114"/>
      <c r="B646" s="1193" t="s">
        <v>76</v>
      </c>
      <c r="C646" s="1193"/>
      <c r="D646" s="1193"/>
      <c r="E646" s="1193"/>
      <c r="F646" s="1193"/>
      <c r="G646" s="1193"/>
      <c r="H646" s="1194"/>
      <c r="I646" s="1195"/>
      <c r="J646" s="549">
        <f>SUM(J644:J644)</f>
        <v>60.6</v>
      </c>
    </row>
    <row r="647" spans="1:10" thickBot="1">
      <c r="A647" s="114"/>
      <c r="B647" s="1196" t="s">
        <v>77</v>
      </c>
      <c r="C647" s="1196"/>
      <c r="D647" s="1196"/>
      <c r="E647" s="1196"/>
      <c r="F647" s="1196"/>
      <c r="G647" s="1196"/>
      <c r="H647" s="1196"/>
      <c r="I647" s="1196"/>
      <c r="J647" s="573"/>
    </row>
    <row r="648" spans="1:10" ht="15">
      <c r="A648" s="114"/>
      <c r="B648" s="551" t="s">
        <v>1091</v>
      </c>
      <c r="C648" s="154"/>
      <c r="D648" s="154"/>
      <c r="E648" s="154"/>
      <c r="F648" s="154"/>
      <c r="G648" s="154"/>
      <c r="H648" s="154"/>
      <c r="I648" s="154"/>
      <c r="J648" s="278"/>
    </row>
    <row r="649" spans="1:10" thickBot="1">
      <c r="A649" s="114"/>
      <c r="B649" s="155"/>
      <c r="C649" s="155"/>
      <c r="D649" s="155"/>
      <c r="E649" s="155"/>
      <c r="F649" s="155"/>
      <c r="G649" s="155"/>
      <c r="H649" s="155"/>
      <c r="I649" s="155"/>
      <c r="J649" s="574"/>
    </row>
    <row r="650" spans="1:10" thickTop="1">
      <c r="A650" s="114"/>
      <c r="B650" s="1211" t="s">
        <v>57</v>
      </c>
      <c r="C650" s="1211"/>
      <c r="D650" s="1211"/>
      <c r="E650" s="1211"/>
      <c r="F650" s="1211"/>
      <c r="G650" s="1211"/>
      <c r="H650" s="1211"/>
      <c r="I650" s="1211"/>
      <c r="J650" s="1211"/>
    </row>
    <row r="651" spans="1:10" ht="44.25" customHeight="1">
      <c r="A651" s="114"/>
      <c r="B651" s="1213" t="str">
        <f>'PSQ-SUPER'!C166</f>
        <v>Fornecimento, transporte, lançamento, adensamento, acabamento e cura - lastro de concreto  Fck &gt;= 10 MPa</v>
      </c>
      <c r="C651" s="1213"/>
      <c r="D651" s="1213"/>
      <c r="E651" s="1213"/>
      <c r="F651" s="1213"/>
      <c r="G651" s="1213"/>
      <c r="H651" s="1213"/>
      <c r="I651" s="1213"/>
      <c r="J651" s="541"/>
    </row>
    <row r="652" spans="1:10" ht="15">
      <c r="A652" s="114"/>
      <c r="B652" s="1267" t="s">
        <v>7</v>
      </c>
      <c r="C652" s="1266"/>
      <c r="D652" s="1262" t="s">
        <v>70</v>
      </c>
      <c r="E652" s="1263"/>
      <c r="F652" s="1263"/>
      <c r="G652" s="1264"/>
      <c r="H652" s="1265" t="s">
        <v>4</v>
      </c>
      <c r="I652" s="1266"/>
      <c r="J652" s="796" t="s">
        <v>71</v>
      </c>
    </row>
    <row r="653" spans="1:10" ht="56.25" customHeight="1" thickBot="1">
      <c r="A653" s="114"/>
      <c r="B653" s="1278" t="str">
        <f>'PSQ-SUPER'!B166</f>
        <v>04.03.330.01</v>
      </c>
      <c r="C653" s="1279"/>
      <c r="D653" s="1218" t="str">
        <f>B651</f>
        <v>Fornecimento, transporte, lançamento, adensamento, acabamento e cura - lastro de concreto  Fck &gt;= 10 MPa</v>
      </c>
      <c r="E653" s="1219"/>
      <c r="F653" s="1219"/>
      <c r="G653" s="1195"/>
      <c r="H653" s="1184" t="str">
        <f>'PSQ-SUPER'!D166</f>
        <v>m³</v>
      </c>
      <c r="I653" s="1185"/>
      <c r="J653" s="542">
        <f>J674</f>
        <v>54.423449999999995</v>
      </c>
    </row>
    <row r="654" spans="1:10" ht="15">
      <c r="A654" s="114"/>
      <c r="B654" s="1186" t="s">
        <v>72</v>
      </c>
      <c r="C654" s="1186"/>
      <c r="D654" s="1186"/>
      <c r="E654" s="1186"/>
      <c r="F654" s="1186"/>
      <c r="G654" s="1186"/>
      <c r="H654" s="1186"/>
      <c r="I654" s="1186"/>
      <c r="J654" s="572"/>
    </row>
    <row r="655" spans="1:10" ht="15">
      <c r="A655" s="114"/>
      <c r="B655" s="162" t="str">
        <f>'Pág 2'!$C$23</f>
        <v xml:space="preserve">A especificação propriamente dita, a forma de execução, se for o caso e o critério de medição são descritas no(s) seguinte(s) documento(s): </v>
      </c>
      <c r="C655" s="168"/>
      <c r="D655" s="168"/>
      <c r="E655" s="168"/>
      <c r="F655" s="168"/>
      <c r="G655" s="168"/>
      <c r="H655" s="162" t="str">
        <f>'Pág 2'!$C$24</f>
        <v>FL.01/302.92/04538 - Especificação Técnica</v>
      </c>
      <c r="I655" s="168"/>
      <c r="J655" s="168"/>
    </row>
    <row r="656" spans="1:10" ht="15">
      <c r="A656" s="114"/>
      <c r="B656" s="163" t="str">
        <f>'Pág 2'!$C$15</f>
        <v xml:space="preserve">Foram utilizadas as premissas descritas no(s) seguinte(s)  documento(s):  </v>
      </c>
      <c r="C656" s="164"/>
      <c r="D656" s="164"/>
      <c r="E656" s="163" t="str">
        <f>'Pág 2'!$C$17</f>
        <v xml:space="preserve">FL.01/302.76/04537 - Memorial de Cálculo e Dimensionamento </v>
      </c>
      <c r="F656" s="114"/>
      <c r="G656" s="164"/>
      <c r="H656" s="164"/>
      <c r="I656" s="164"/>
      <c r="J656" s="164"/>
    </row>
    <row r="657" spans="1:10" ht="15">
      <c r="A657" s="114"/>
      <c r="B657" s="163" t="s">
        <v>73</v>
      </c>
      <c r="C657" s="153"/>
      <c r="D657" s="153"/>
      <c r="E657" s="163"/>
      <c r="F657" s="114"/>
      <c r="G657" s="164"/>
      <c r="H657" s="164"/>
      <c r="I657" s="164"/>
      <c r="J657" s="544"/>
    </row>
    <row r="658" spans="1:10" thickBot="1">
      <c r="A658" s="114"/>
      <c r="B658" s="165"/>
      <c r="C658" s="165"/>
      <c r="D658" s="165"/>
      <c r="E658" s="153"/>
      <c r="F658" s="153"/>
      <c r="G658" s="153"/>
      <c r="H658" s="153"/>
      <c r="I658" s="153"/>
      <c r="J658" s="278"/>
    </row>
    <row r="659" spans="1:10" ht="15">
      <c r="A659" s="114"/>
      <c r="B659" s="1187" t="s">
        <v>74</v>
      </c>
      <c r="C659" s="1187"/>
      <c r="D659" s="1187"/>
      <c r="E659" s="1187"/>
      <c r="F659" s="1187"/>
      <c r="G659" s="1187"/>
      <c r="H659" s="1188"/>
      <c r="I659" s="1189"/>
      <c r="J659" s="546" t="s">
        <v>75</v>
      </c>
    </row>
    <row r="660" spans="1:10" ht="15">
      <c r="A660" s="114"/>
      <c r="B660" s="1181" t="str">
        <f>TIT.701</f>
        <v xml:space="preserve">FL.11/304.13/05778 - EDIFÍCIO DE OPERAÇÕES </v>
      </c>
      <c r="C660" s="1181"/>
      <c r="D660" s="1181"/>
      <c r="E660" s="1181"/>
      <c r="F660" s="1181"/>
      <c r="G660" s="1181"/>
      <c r="H660" s="1182"/>
      <c r="I660" s="1183"/>
      <c r="J660" s="547">
        <f>LC.701</f>
        <v>2.9950000000000001</v>
      </c>
    </row>
    <row r="661" spans="1:10" ht="15">
      <c r="A661" s="114"/>
      <c r="B661" s="1181" t="str">
        <f>TIT.702</f>
        <v>FL.11/302.13/05792 - TANQUE DE EQUALIZAÇÃO DE LODO</v>
      </c>
      <c r="C661" s="1181"/>
      <c r="D661" s="1181"/>
      <c r="E661" s="1181"/>
      <c r="F661" s="1181"/>
      <c r="G661" s="1181"/>
      <c r="H661" s="1182"/>
      <c r="I661" s="1183"/>
      <c r="J661" s="547">
        <f>LC.702</f>
        <v>0.90312500000000007</v>
      </c>
    </row>
    <row r="662" spans="1:10" ht="15">
      <c r="A662" s="114"/>
      <c r="B662" s="1181" t="str">
        <f>TIT.703</f>
        <v>FL.11/302.13/05803 - EPAR - ESTAÇÃO ELEVATÓRIA DE ESGOTO BRUTO</v>
      </c>
      <c r="C662" s="1181"/>
      <c r="D662" s="1181"/>
      <c r="E662" s="1181"/>
      <c r="F662" s="1181"/>
      <c r="G662" s="1181"/>
      <c r="H662" s="1182"/>
      <c r="I662" s="1183"/>
      <c r="J662" s="547">
        <f>LC.703</f>
        <v>1.7632500000000002</v>
      </c>
    </row>
    <row r="663" spans="1:10" ht="15">
      <c r="A663" s="114"/>
      <c r="B663" s="1181" t="str">
        <f>TIT.704</f>
        <v>FL.11/302.13/05786 - ESTAÇÃO DE TRATAMENTO DE ÁGUA - BASE</v>
      </c>
      <c r="C663" s="1181"/>
      <c r="D663" s="1181"/>
      <c r="E663" s="1181"/>
      <c r="F663" s="1181"/>
      <c r="G663" s="1181"/>
      <c r="H663" s="1182"/>
      <c r="I663" s="1183"/>
      <c r="J663" s="547">
        <f>LC.704</f>
        <v>1.2000000000000002</v>
      </c>
    </row>
    <row r="664" spans="1:10" ht="15">
      <c r="A664" s="114"/>
      <c r="B664" s="1181" t="str">
        <f>TIT.705</f>
        <v>FL.11/302.13/05790 - CAIXA SEPARADORA DE ESCUMA E TANQUE DE RECEBIMENTO DE LODO</v>
      </c>
      <c r="C664" s="1181"/>
      <c r="D664" s="1181"/>
      <c r="E664" s="1181"/>
      <c r="F664" s="1181"/>
      <c r="G664" s="1181"/>
      <c r="H664" s="1182"/>
      <c r="I664" s="1183"/>
      <c r="J664" s="547">
        <f>LC.705</f>
        <v>9.6000000000000002E-2</v>
      </c>
    </row>
    <row r="665" spans="1:10" ht="15">
      <c r="A665" s="114"/>
      <c r="B665" s="1181" t="str">
        <f>TIT.706</f>
        <v>FL.11/302.13/05794 - ESTAÇÃO ELEVATÓRIA DE ÁGUAS PLUVIAIS</v>
      </c>
      <c r="C665" s="1181"/>
      <c r="D665" s="1181"/>
      <c r="E665" s="1181"/>
      <c r="F665" s="1181"/>
      <c r="G665" s="1181"/>
      <c r="H665" s="1182"/>
      <c r="I665" s="1183"/>
      <c r="J665" s="547">
        <f>LC.706</f>
        <v>2.4041250000000001</v>
      </c>
    </row>
    <row r="666" spans="1:10" ht="15">
      <c r="A666" s="114"/>
      <c r="B666" s="1181" t="str">
        <f>TIT.707</f>
        <v>FL.11/304.13/05806 - TRATAMENTO PRELIMINAR E TANQUES DE AERAÇÃO</v>
      </c>
      <c r="C666" s="1181"/>
      <c r="D666" s="1181"/>
      <c r="E666" s="1181"/>
      <c r="F666" s="1181"/>
      <c r="G666" s="1181"/>
      <c r="H666" s="1182"/>
      <c r="I666" s="1183"/>
      <c r="J666" s="547">
        <f>LC.707</f>
        <v>15.506</v>
      </c>
    </row>
    <row r="667" spans="1:10" ht="15">
      <c r="A667" s="114"/>
      <c r="B667" s="1181" t="str">
        <f>TIT.708</f>
        <v>FL.11/304.13/05796 - RESERVATÓRIOS DE ÁGUA  DE REUSO E ÁGUAS PLUVIAIS</v>
      </c>
      <c r="C667" s="1181"/>
      <c r="D667" s="1181"/>
      <c r="E667" s="1181"/>
      <c r="F667" s="1181"/>
      <c r="G667" s="1181"/>
      <c r="H667" s="1182"/>
      <c r="I667" s="1183"/>
      <c r="J667" s="547">
        <f>LC.708</f>
        <v>22.756250000000001</v>
      </c>
    </row>
    <row r="668" spans="1:10" ht="15">
      <c r="A668" s="114"/>
      <c r="B668" s="1181" t="str">
        <f>TIT.709</f>
        <v>FL.11/302.13/05788 - SISTEMA DE PRODUTOS QUÍMICOS - TANQUES</v>
      </c>
      <c r="C668" s="1181"/>
      <c r="D668" s="1181"/>
      <c r="E668" s="1181"/>
      <c r="F668" s="1181"/>
      <c r="G668" s="1181"/>
      <c r="H668" s="1182"/>
      <c r="I668" s="1183"/>
      <c r="J668" s="547">
        <f>LC.709</f>
        <v>1.806</v>
      </c>
    </row>
    <row r="669" spans="1:10" ht="15">
      <c r="A669" s="114"/>
      <c r="B669" s="1181" t="str">
        <f>TIT.710</f>
        <v>FL.11/302.13/05787 - DESIDRATAÇÃO DE LODO - CENTRÍFUGAS</v>
      </c>
      <c r="C669" s="1181"/>
      <c r="D669" s="1181"/>
      <c r="E669" s="1181"/>
      <c r="F669" s="1181"/>
      <c r="G669" s="1181"/>
      <c r="H669" s="1182"/>
      <c r="I669" s="1183"/>
      <c r="J669" s="547">
        <f>LC.710</f>
        <v>0.89599999999999991</v>
      </c>
    </row>
    <row r="670" spans="1:10" ht="15">
      <c r="A670" s="114"/>
      <c r="B670" s="1181" t="str">
        <f>TIT.712</f>
        <v>FL.11/302.13/05803 - EPAR - ESTAÇÃO ELEVATÓRIA DE RETORNO</v>
      </c>
      <c r="C670" s="1181"/>
      <c r="D670" s="1181"/>
      <c r="E670" s="1181"/>
      <c r="F670" s="1181"/>
      <c r="G670" s="1181"/>
      <c r="H670" s="1182"/>
      <c r="I670" s="1183"/>
      <c r="J670" s="561">
        <f>LC.712</f>
        <v>2.9875000000000003</v>
      </c>
    </row>
    <row r="671" spans="1:10" ht="15">
      <c r="A671" s="114"/>
      <c r="B671" s="1181" t="str">
        <f>TIT.713</f>
        <v>FL.11/302.13/05803 - EPAR - MEDIDOR DE VAZÃO</v>
      </c>
      <c r="C671" s="1181"/>
      <c r="D671" s="1181"/>
      <c r="E671" s="1181"/>
      <c r="F671" s="1181"/>
      <c r="G671" s="1181"/>
      <c r="H671" s="1182"/>
      <c r="I671" s="1183"/>
      <c r="J671" s="561">
        <f>LC.713</f>
        <v>0.48480000000000006</v>
      </c>
    </row>
    <row r="672" spans="1:10" ht="15">
      <c r="A672" s="114"/>
      <c r="B672" s="1181" t="str">
        <f>TIT.714</f>
        <v>FL.11/302.13/05803 - EPAR - CAIXA DE DESCARGA</v>
      </c>
      <c r="C672" s="1181"/>
      <c r="D672" s="1181"/>
      <c r="E672" s="1181"/>
      <c r="F672" s="1181"/>
      <c r="G672" s="1181"/>
      <c r="H672" s="1182"/>
      <c r="I672" s="1183"/>
      <c r="J672" s="561">
        <f>LC.714</f>
        <v>0.62539999999999996</v>
      </c>
    </row>
    <row r="673" spans="1:10" ht="15">
      <c r="A673" s="114"/>
      <c r="B673" s="1181"/>
      <c r="C673" s="1181"/>
      <c r="D673" s="1181"/>
      <c r="E673" s="1181"/>
      <c r="F673" s="1181"/>
      <c r="G673" s="1181"/>
      <c r="H673" s="1182"/>
      <c r="I673" s="1183"/>
      <c r="J673" s="548"/>
    </row>
    <row r="674" spans="1:10" thickBot="1">
      <c r="A674" s="114"/>
      <c r="B674" s="1193" t="s">
        <v>76</v>
      </c>
      <c r="C674" s="1193"/>
      <c r="D674" s="1193"/>
      <c r="E674" s="1193"/>
      <c r="F674" s="1193"/>
      <c r="G674" s="1193"/>
      <c r="H674" s="1194"/>
      <c r="I674" s="1195"/>
      <c r="J674" s="549">
        <f>SUM(J660:J672)</f>
        <v>54.423449999999995</v>
      </c>
    </row>
    <row r="675" spans="1:10" thickBot="1">
      <c r="A675" s="114"/>
      <c r="B675" s="1196" t="s">
        <v>77</v>
      </c>
      <c r="C675" s="1196"/>
      <c r="D675" s="1196"/>
      <c r="E675" s="1196"/>
      <c r="F675" s="1196"/>
      <c r="G675" s="1196"/>
      <c r="H675" s="1196"/>
      <c r="I675" s="1196"/>
      <c r="J675" s="573"/>
    </row>
    <row r="676" spans="1:10" ht="15">
      <c r="A676" s="114"/>
      <c r="B676" s="551" t="s">
        <v>2011</v>
      </c>
      <c r="C676" s="154"/>
      <c r="D676" s="154"/>
      <c r="E676" s="154"/>
      <c r="F676" s="154"/>
      <c r="G676" s="154"/>
      <c r="H676" s="154"/>
      <c r="I676" s="154"/>
      <c r="J676" s="278"/>
    </row>
    <row r="677" spans="1:10" thickBot="1">
      <c r="A677" s="114"/>
      <c r="B677" s="155"/>
      <c r="C677" s="155"/>
      <c r="D677" s="155"/>
      <c r="E677" s="155"/>
      <c r="F677" s="155"/>
      <c r="G677" s="155"/>
      <c r="H677" s="155"/>
      <c r="I677" s="155"/>
      <c r="J677" s="574"/>
    </row>
    <row r="678" spans="1:10" ht="24.75" customHeight="1" thickTop="1">
      <c r="A678" s="114"/>
      <c r="B678" s="115"/>
      <c r="C678" s="115"/>
      <c r="D678" s="115"/>
      <c r="E678" s="115"/>
      <c r="F678" s="115"/>
      <c r="G678" s="115"/>
      <c r="H678" s="115"/>
      <c r="I678" s="115"/>
      <c r="J678" s="115"/>
    </row>
    <row r="679" spans="1:10" ht="15">
      <c r="A679" s="114"/>
      <c r="B679" s="564"/>
      <c r="C679" s="180"/>
      <c r="D679" s="180"/>
      <c r="E679" s="180"/>
      <c r="F679" s="180"/>
      <c r="G679" s="180"/>
      <c r="H679" s="234"/>
      <c r="I679" s="234"/>
      <c r="J679" s="234"/>
    </row>
    <row r="680" spans="1:10" ht="15">
      <c r="A680" s="114"/>
      <c r="B680" s="564"/>
      <c r="C680" s="180"/>
      <c r="D680" s="180"/>
      <c r="E680" s="180"/>
      <c r="F680" s="180"/>
      <c r="G680" s="180"/>
      <c r="H680" s="234"/>
      <c r="I680" s="234"/>
      <c r="J680" s="234"/>
    </row>
    <row r="681" spans="1:10" ht="15">
      <c r="A681" s="114"/>
      <c r="B681" s="564"/>
      <c r="C681" s="180"/>
      <c r="D681" s="180"/>
      <c r="E681" s="180"/>
      <c r="F681" s="180"/>
      <c r="G681" s="180"/>
      <c r="H681" s="234"/>
      <c r="I681" s="234"/>
      <c r="J681" s="234"/>
    </row>
    <row r="682" spans="1:10" ht="15">
      <c r="A682" s="114"/>
      <c r="B682" s="564"/>
      <c r="C682" s="180"/>
      <c r="D682" s="180"/>
      <c r="E682" s="180"/>
      <c r="F682" s="180"/>
      <c r="G682" s="180"/>
      <c r="H682" s="234"/>
      <c r="I682" s="234"/>
      <c r="J682" s="234"/>
    </row>
    <row r="683" spans="1:10" ht="15">
      <c r="A683" s="114"/>
      <c r="B683" s="564"/>
      <c r="C683" s="180"/>
      <c r="D683" s="180"/>
      <c r="E683" s="180"/>
      <c r="F683" s="180"/>
      <c r="G683" s="180"/>
      <c r="H683" s="234"/>
      <c r="I683" s="234"/>
      <c r="J683" s="234"/>
    </row>
    <row r="684" spans="1:10" ht="15">
      <c r="A684" s="114"/>
      <c r="B684" s="564"/>
      <c r="C684" s="180"/>
      <c r="D684" s="180"/>
      <c r="E684" s="180"/>
      <c r="F684" s="180"/>
      <c r="G684" s="180"/>
      <c r="H684" s="234"/>
      <c r="I684" s="234"/>
      <c r="J684" s="234"/>
    </row>
    <row r="685" spans="1:10" ht="15">
      <c r="A685" s="114"/>
      <c r="B685" s="564"/>
      <c r="C685" s="180"/>
      <c r="D685" s="180"/>
      <c r="E685" s="180"/>
      <c r="F685" s="180"/>
      <c r="G685" s="180"/>
      <c r="H685" s="234"/>
      <c r="I685" s="234"/>
      <c r="J685" s="234"/>
    </row>
    <row r="686" spans="1:10" ht="15">
      <c r="A686" s="114"/>
      <c r="B686" s="564"/>
      <c r="C686" s="180"/>
      <c r="D686" s="180"/>
      <c r="E686" s="180"/>
      <c r="F686" s="180"/>
      <c r="G686" s="180"/>
      <c r="H686" s="234"/>
      <c r="I686" s="234"/>
      <c r="J686" s="234"/>
    </row>
    <row r="687" spans="1:10" ht="15">
      <c r="A687" s="114"/>
      <c r="B687" s="564"/>
      <c r="C687" s="180"/>
      <c r="D687" s="180"/>
      <c r="E687" s="180"/>
      <c r="F687" s="180"/>
      <c r="G687" s="180"/>
      <c r="H687" s="234"/>
      <c r="I687" s="234"/>
      <c r="J687" s="234"/>
    </row>
    <row r="688" spans="1:10" ht="15">
      <c r="A688" s="114"/>
      <c r="B688" s="564"/>
      <c r="C688" s="180"/>
      <c r="D688" s="180"/>
      <c r="E688" s="180"/>
      <c r="F688" s="180"/>
      <c r="G688" s="180"/>
      <c r="H688" s="234"/>
      <c r="I688" s="234"/>
      <c r="J688" s="234"/>
    </row>
    <row r="689" spans="1:56" ht="15">
      <c r="A689" s="114"/>
      <c r="B689" s="564"/>
      <c r="C689" s="180"/>
      <c r="D689" s="180"/>
      <c r="E689" s="180"/>
      <c r="F689" s="180"/>
      <c r="G689" s="180"/>
      <c r="H689" s="234"/>
      <c r="I689" s="234"/>
      <c r="J689" s="234"/>
    </row>
    <row r="690" spans="1:56" thickBot="1">
      <c r="A690" s="114"/>
      <c r="B690" s="564"/>
      <c r="C690" s="180"/>
      <c r="D690" s="180"/>
      <c r="E690" s="180"/>
      <c r="F690" s="180"/>
      <c r="G690" s="180"/>
      <c r="H690" s="234"/>
      <c r="I690" s="234"/>
      <c r="J690" s="234"/>
    </row>
    <row r="691" spans="1:56" ht="24.75" thickTop="1" thickBot="1">
      <c r="A691" s="114"/>
      <c r="B691" s="579" t="s">
        <v>81</v>
      </c>
      <c r="C691" s="186"/>
      <c r="D691" s="186"/>
      <c r="E691" s="186"/>
      <c r="F691" s="186"/>
      <c r="G691" s="186"/>
      <c r="H691" s="186"/>
      <c r="I691" s="186"/>
      <c r="J691" s="186"/>
    </row>
    <row r="692" spans="1:56" thickTop="1">
      <c r="A692" s="114"/>
      <c r="B692" s="564"/>
      <c r="C692" s="180"/>
      <c r="D692" s="180"/>
      <c r="E692" s="180"/>
      <c r="F692" s="180"/>
      <c r="G692" s="180"/>
      <c r="H692" s="234"/>
      <c r="I692" s="234"/>
      <c r="J692" s="234"/>
    </row>
    <row r="693" spans="1:56" ht="15">
      <c r="A693" s="114"/>
      <c r="B693" s="778" t="s">
        <v>2310</v>
      </c>
      <c r="C693" s="239"/>
      <c r="D693" s="239"/>
      <c r="E693" s="239"/>
      <c r="F693" s="239"/>
      <c r="G693" s="239"/>
      <c r="H693" s="240"/>
      <c r="I693" s="240"/>
      <c r="J693" s="351"/>
      <c r="BB693" s="117"/>
      <c r="BC693" s="117"/>
      <c r="BD693" s="117"/>
    </row>
    <row r="694" spans="1:56" s="470" customFormat="1" ht="15">
      <c r="A694" s="264"/>
      <c r="B694" s="713"/>
      <c r="C694" s="714"/>
      <c r="D694" s="714"/>
      <c r="E694" s="714"/>
      <c r="F694" s="714"/>
      <c r="G694" s="714"/>
      <c r="H694" s="715"/>
      <c r="I694" s="715"/>
      <c r="J694" s="264"/>
      <c r="K694" s="264"/>
      <c r="L694" s="264"/>
      <c r="M694" s="264"/>
      <c r="N694" s="264"/>
      <c r="O694" s="264"/>
      <c r="P694" s="264"/>
      <c r="Q694" s="264"/>
      <c r="R694" s="264"/>
      <c r="S694" s="264"/>
      <c r="T694" s="264"/>
      <c r="U694" s="264"/>
      <c r="V694" s="264"/>
      <c r="W694" s="264"/>
      <c r="X694" s="264"/>
      <c r="Y694" s="264"/>
      <c r="Z694" s="264"/>
      <c r="AA694" s="264"/>
      <c r="AB694" s="264"/>
      <c r="AC694" s="264"/>
      <c r="AD694" s="264"/>
      <c r="AE694" s="264"/>
      <c r="AF694" s="264"/>
      <c r="AG694" s="264"/>
      <c r="AH694" s="264"/>
      <c r="AI694" s="264"/>
      <c r="AJ694" s="264"/>
      <c r="AK694" s="264"/>
      <c r="AL694" s="264"/>
      <c r="AM694" s="264"/>
      <c r="AN694" s="264"/>
      <c r="AO694" s="264"/>
      <c r="AP694" s="264"/>
      <c r="AQ694" s="264"/>
      <c r="AR694" s="264"/>
      <c r="AS694" s="264"/>
      <c r="AT694" s="264"/>
      <c r="AU694" s="264"/>
      <c r="AV694" s="264"/>
      <c r="AW694" s="264"/>
      <c r="AX694" s="264"/>
      <c r="AY694" s="264"/>
      <c r="AZ694" s="264"/>
      <c r="BA694" s="264"/>
    </row>
    <row r="695" spans="1:56" ht="15">
      <c r="A695" s="114"/>
      <c r="B695" s="241" t="s">
        <v>183</v>
      </c>
      <c r="C695" s="81"/>
      <c r="D695" s="81"/>
      <c r="E695" s="81"/>
      <c r="F695" s="81"/>
      <c r="G695" s="81"/>
      <c r="H695" s="82"/>
      <c r="I695" s="82"/>
      <c r="J695" s="114"/>
      <c r="BB695" s="117"/>
      <c r="BC695" s="117"/>
      <c r="BD695" s="117"/>
    </row>
    <row r="696" spans="1:56" ht="15">
      <c r="A696" s="114"/>
      <c r="B696" s="241" t="s">
        <v>1787</v>
      </c>
      <c r="C696" s="230"/>
      <c r="D696" s="230"/>
      <c r="E696" s="384"/>
      <c r="F696" s="196"/>
      <c r="G696" s="196"/>
      <c r="H696" s="196"/>
      <c r="I696" s="196"/>
      <c r="J696" s="114"/>
      <c r="AW696" s="117"/>
      <c r="AX696" s="117"/>
      <c r="AY696" s="117"/>
      <c r="AZ696" s="117"/>
      <c r="BA696" s="117"/>
      <c r="BB696" s="117"/>
      <c r="BC696" s="117"/>
      <c r="BD696" s="117"/>
    </row>
    <row r="697" spans="1:56" ht="15">
      <c r="A697" s="114"/>
      <c r="B697" s="114"/>
      <c r="C697" s="114"/>
      <c r="D697" s="114"/>
      <c r="E697" s="114"/>
      <c r="F697" s="114"/>
      <c r="G697" s="114"/>
      <c r="H697" s="114"/>
      <c r="I697" s="82"/>
      <c r="J697" s="114"/>
      <c r="BB697" s="117"/>
      <c r="BC697" s="117"/>
      <c r="BD697" s="117"/>
    </row>
    <row r="698" spans="1:56" ht="15">
      <c r="A698" s="114"/>
      <c r="B698" s="242" t="s">
        <v>135</v>
      </c>
      <c r="C698" s="199" t="s">
        <v>61</v>
      </c>
      <c r="D698" s="199" t="s">
        <v>82</v>
      </c>
      <c r="E698" s="199" t="s">
        <v>66</v>
      </c>
      <c r="F698" s="199" t="s">
        <v>62</v>
      </c>
      <c r="G698" s="243" t="s">
        <v>99</v>
      </c>
      <c r="H698" s="243" t="s">
        <v>68</v>
      </c>
      <c r="I698" s="82"/>
      <c r="J698" s="114"/>
      <c r="BB698" s="117"/>
      <c r="BC698" s="117"/>
      <c r="BD698" s="117"/>
    </row>
    <row r="699" spans="1:56" ht="15">
      <c r="A699" s="114"/>
      <c r="B699" s="244" t="s">
        <v>184</v>
      </c>
      <c r="C699" s="200">
        <v>1</v>
      </c>
      <c r="D699" s="245">
        <v>0.2</v>
      </c>
      <c r="E699" s="201">
        <v>0.85</v>
      </c>
      <c r="F699" s="201">
        <v>11.88</v>
      </c>
      <c r="G699" s="202">
        <f t="shared" ref="G699:G738" si="0">D699*E699*F699*C699</f>
        <v>2.0196000000000001</v>
      </c>
      <c r="H699" s="202">
        <f t="shared" ref="H699:H738" si="1">((E699*2)+D699)*F699*C699</f>
        <v>22.571999999999999</v>
      </c>
      <c r="I699" s="82"/>
      <c r="J699" s="114"/>
      <c r="BB699" s="117"/>
      <c r="BC699" s="117"/>
      <c r="BD699" s="117"/>
    </row>
    <row r="700" spans="1:56" ht="15">
      <c r="A700" s="114"/>
      <c r="B700" s="244" t="s">
        <v>185</v>
      </c>
      <c r="C700" s="200">
        <v>1</v>
      </c>
      <c r="D700" s="245">
        <v>0.2</v>
      </c>
      <c r="E700" s="201">
        <v>0.85</v>
      </c>
      <c r="F700" s="201">
        <v>13.58</v>
      </c>
      <c r="G700" s="202">
        <f t="shared" si="0"/>
        <v>2.3086000000000002</v>
      </c>
      <c r="H700" s="202">
        <f t="shared" si="1"/>
        <v>25.802</v>
      </c>
      <c r="I700" s="82"/>
      <c r="J700" s="114"/>
      <c r="BB700" s="117"/>
      <c r="BC700" s="117"/>
      <c r="BD700" s="117"/>
    </row>
    <row r="701" spans="1:56" ht="15">
      <c r="A701" s="114"/>
      <c r="B701" s="244" t="s">
        <v>156</v>
      </c>
      <c r="C701" s="200">
        <v>1</v>
      </c>
      <c r="D701" s="245">
        <v>0.2</v>
      </c>
      <c r="E701" s="201">
        <v>0.85</v>
      </c>
      <c r="F701" s="201">
        <v>14.3</v>
      </c>
      <c r="G701" s="202">
        <f t="shared" si="0"/>
        <v>2.4310000000000005</v>
      </c>
      <c r="H701" s="202">
        <f t="shared" si="1"/>
        <v>27.17</v>
      </c>
      <c r="I701" s="82"/>
      <c r="J701" s="114"/>
      <c r="BB701" s="117"/>
      <c r="BC701" s="117"/>
      <c r="BD701" s="117"/>
    </row>
    <row r="702" spans="1:56" ht="15">
      <c r="A702" s="114"/>
      <c r="B702" s="244" t="s">
        <v>136</v>
      </c>
      <c r="C702" s="200">
        <v>1</v>
      </c>
      <c r="D702" s="245">
        <v>0.2</v>
      </c>
      <c r="E702" s="201">
        <v>0.7</v>
      </c>
      <c r="F702" s="201">
        <v>14.3</v>
      </c>
      <c r="G702" s="202">
        <f t="shared" si="0"/>
        <v>2.0019999999999998</v>
      </c>
      <c r="H702" s="202">
        <f t="shared" si="1"/>
        <v>22.88</v>
      </c>
      <c r="I702" s="82"/>
      <c r="J702" s="114"/>
      <c r="BB702" s="117"/>
      <c r="BC702" s="117"/>
      <c r="BD702" s="117"/>
    </row>
    <row r="703" spans="1:56" ht="15">
      <c r="A703" s="114"/>
      <c r="B703" s="244" t="s">
        <v>137</v>
      </c>
      <c r="C703" s="200">
        <v>1</v>
      </c>
      <c r="D703" s="245">
        <v>0.2</v>
      </c>
      <c r="E703" s="201">
        <v>0.7</v>
      </c>
      <c r="F703" s="201">
        <v>14.3</v>
      </c>
      <c r="G703" s="202">
        <f t="shared" si="0"/>
        <v>2.0019999999999998</v>
      </c>
      <c r="H703" s="202">
        <f t="shared" si="1"/>
        <v>22.88</v>
      </c>
      <c r="I703" s="82"/>
      <c r="J703" s="114"/>
      <c r="BB703" s="117"/>
      <c r="BC703" s="117"/>
      <c r="BD703" s="117"/>
    </row>
    <row r="704" spans="1:56" ht="15">
      <c r="A704" s="114"/>
      <c r="B704" s="244" t="s">
        <v>138</v>
      </c>
      <c r="C704" s="200">
        <v>1</v>
      </c>
      <c r="D704" s="245">
        <v>0.2</v>
      </c>
      <c r="E704" s="201">
        <v>0.85</v>
      </c>
      <c r="F704" s="201">
        <v>14.3</v>
      </c>
      <c r="G704" s="202">
        <f t="shared" si="0"/>
        <v>2.4310000000000005</v>
      </c>
      <c r="H704" s="202">
        <f t="shared" si="1"/>
        <v>27.17</v>
      </c>
      <c r="I704" s="82"/>
      <c r="J704" s="114"/>
      <c r="BB704" s="117"/>
      <c r="BC704" s="117"/>
      <c r="BD704" s="117"/>
    </row>
    <row r="705" spans="1:56" ht="15">
      <c r="A705" s="114"/>
      <c r="B705" s="244" t="s">
        <v>139</v>
      </c>
      <c r="C705" s="200">
        <v>1</v>
      </c>
      <c r="D705" s="245">
        <v>0.2</v>
      </c>
      <c r="E705" s="201">
        <v>0.85</v>
      </c>
      <c r="F705" s="201">
        <v>14.3</v>
      </c>
      <c r="G705" s="202">
        <f t="shared" si="0"/>
        <v>2.4310000000000005</v>
      </c>
      <c r="H705" s="202">
        <f t="shared" si="1"/>
        <v>27.17</v>
      </c>
      <c r="I705" s="82"/>
      <c r="J705" s="114"/>
      <c r="BB705" s="117"/>
      <c r="BC705" s="117"/>
      <c r="BD705" s="117"/>
    </row>
    <row r="706" spans="1:56" ht="15">
      <c r="A706" s="114"/>
      <c r="B706" s="244" t="s">
        <v>186</v>
      </c>
      <c r="C706" s="200">
        <v>1</v>
      </c>
      <c r="D706" s="245">
        <v>0.2</v>
      </c>
      <c r="E706" s="201">
        <v>0.85</v>
      </c>
      <c r="F706" s="201">
        <v>14.3</v>
      </c>
      <c r="G706" s="202">
        <f t="shared" si="0"/>
        <v>2.4310000000000005</v>
      </c>
      <c r="H706" s="202">
        <f t="shared" si="1"/>
        <v>27.17</v>
      </c>
      <c r="I706" s="82"/>
      <c r="J706" s="114"/>
      <c r="BB706" s="117"/>
      <c r="BC706" s="117"/>
      <c r="BD706" s="117"/>
    </row>
    <row r="707" spans="1:56" ht="15">
      <c r="A707" s="114"/>
      <c r="B707" s="244" t="s">
        <v>187</v>
      </c>
      <c r="C707" s="200">
        <v>1</v>
      </c>
      <c r="D707" s="245">
        <v>0.2</v>
      </c>
      <c r="E707" s="201">
        <v>0.7</v>
      </c>
      <c r="F707" s="201">
        <v>14.3</v>
      </c>
      <c r="G707" s="202">
        <f t="shared" si="0"/>
        <v>2.0019999999999998</v>
      </c>
      <c r="H707" s="202">
        <f t="shared" si="1"/>
        <v>22.88</v>
      </c>
      <c r="I707" s="82"/>
      <c r="J707" s="114"/>
      <c r="BB707" s="117"/>
      <c r="BC707" s="117"/>
      <c r="BD707" s="117"/>
    </row>
    <row r="708" spans="1:56" ht="15">
      <c r="A708" s="114"/>
      <c r="B708" s="244" t="s">
        <v>188</v>
      </c>
      <c r="C708" s="200">
        <v>1</v>
      </c>
      <c r="D708" s="245">
        <v>0.2</v>
      </c>
      <c r="E708" s="201">
        <v>0.7</v>
      </c>
      <c r="F708" s="201">
        <v>23.69</v>
      </c>
      <c r="G708" s="202">
        <f t="shared" si="0"/>
        <v>3.3165999999999998</v>
      </c>
      <c r="H708" s="202">
        <f t="shared" si="1"/>
        <v>37.903999999999996</v>
      </c>
      <c r="I708" s="82"/>
      <c r="J708" s="114"/>
      <c r="BB708" s="117"/>
      <c r="BC708" s="117"/>
      <c r="BD708" s="117"/>
    </row>
    <row r="709" spans="1:56" ht="15">
      <c r="A709" s="114"/>
      <c r="B709" s="244" t="s">
        <v>189</v>
      </c>
      <c r="C709" s="200">
        <v>1</v>
      </c>
      <c r="D709" s="245">
        <v>0.2</v>
      </c>
      <c r="E709" s="201">
        <v>0.7</v>
      </c>
      <c r="F709" s="201">
        <v>8.5649999999999995</v>
      </c>
      <c r="G709" s="202">
        <f t="shared" si="0"/>
        <v>1.1990999999999998</v>
      </c>
      <c r="H709" s="202">
        <f t="shared" si="1"/>
        <v>13.703999999999999</v>
      </c>
      <c r="I709" s="82"/>
      <c r="J709" s="114"/>
      <c r="BB709" s="117"/>
      <c r="BC709" s="117"/>
      <c r="BD709" s="117"/>
    </row>
    <row r="710" spans="1:56" ht="15">
      <c r="A710" s="114"/>
      <c r="B710" s="244" t="s">
        <v>140</v>
      </c>
      <c r="C710" s="200">
        <v>1</v>
      </c>
      <c r="D710" s="245">
        <v>0.75</v>
      </c>
      <c r="E710" s="201">
        <v>0.5</v>
      </c>
      <c r="F710" s="201">
        <v>7.7750000000000004</v>
      </c>
      <c r="G710" s="202">
        <f t="shared" si="0"/>
        <v>2.9156250000000004</v>
      </c>
      <c r="H710" s="202">
        <f t="shared" si="1"/>
        <v>13.606250000000001</v>
      </c>
      <c r="I710" s="82"/>
      <c r="J710" s="114"/>
      <c r="BB710" s="117"/>
      <c r="BC710" s="117"/>
      <c r="BD710" s="117"/>
    </row>
    <row r="711" spans="1:56" ht="15">
      <c r="A711" s="114"/>
      <c r="B711" s="244" t="s">
        <v>141</v>
      </c>
      <c r="C711" s="200">
        <v>1</v>
      </c>
      <c r="D711" s="245">
        <v>0.2</v>
      </c>
      <c r="E711" s="201">
        <v>0.4</v>
      </c>
      <c r="F711" s="201">
        <v>2.5499999999999998</v>
      </c>
      <c r="G711" s="202">
        <f t="shared" si="0"/>
        <v>0.20400000000000001</v>
      </c>
      <c r="H711" s="202">
        <f t="shared" si="1"/>
        <v>2.5499999999999998</v>
      </c>
      <c r="I711" s="82"/>
      <c r="J711" s="114"/>
      <c r="BB711" s="117"/>
      <c r="BC711" s="117"/>
      <c r="BD711" s="117"/>
    </row>
    <row r="712" spans="1:56" ht="15">
      <c r="A712" s="114"/>
      <c r="B712" s="244" t="s">
        <v>142</v>
      </c>
      <c r="C712" s="200">
        <v>1</v>
      </c>
      <c r="D712" s="245">
        <v>0.2</v>
      </c>
      <c r="E712" s="201">
        <v>0.55000000000000004</v>
      </c>
      <c r="F712" s="201">
        <v>7.375</v>
      </c>
      <c r="G712" s="202">
        <f t="shared" si="0"/>
        <v>0.81125000000000014</v>
      </c>
      <c r="H712" s="202">
        <f t="shared" si="1"/>
        <v>9.5875000000000004</v>
      </c>
      <c r="I712" s="82"/>
      <c r="J712" s="114"/>
      <c r="BB712" s="117"/>
      <c r="BC712" s="117"/>
      <c r="BD712" s="117"/>
    </row>
    <row r="713" spans="1:56" ht="15">
      <c r="A713" s="114"/>
      <c r="B713" s="244" t="s">
        <v>143</v>
      </c>
      <c r="C713" s="200">
        <v>1</v>
      </c>
      <c r="D713" s="245">
        <v>0.2</v>
      </c>
      <c r="E713" s="201">
        <v>0.4</v>
      </c>
      <c r="F713" s="201">
        <v>2.5499999999999998</v>
      </c>
      <c r="G713" s="202">
        <f t="shared" si="0"/>
        <v>0.20400000000000001</v>
      </c>
      <c r="H713" s="202">
        <f t="shared" si="1"/>
        <v>2.5499999999999998</v>
      </c>
      <c r="I713" s="82"/>
      <c r="J713" s="114"/>
      <c r="BB713" s="117"/>
      <c r="BC713" s="117"/>
      <c r="BD713" s="117"/>
    </row>
    <row r="714" spans="1:56" ht="15">
      <c r="A714" s="114"/>
      <c r="B714" s="244" t="s">
        <v>144</v>
      </c>
      <c r="C714" s="200">
        <v>1</v>
      </c>
      <c r="D714" s="245">
        <v>0.2</v>
      </c>
      <c r="E714" s="201">
        <v>0.4</v>
      </c>
      <c r="F714" s="201">
        <v>1.75</v>
      </c>
      <c r="G714" s="202">
        <f t="shared" si="0"/>
        <v>0.14000000000000001</v>
      </c>
      <c r="H714" s="202">
        <f t="shared" si="1"/>
        <v>1.75</v>
      </c>
      <c r="I714" s="82"/>
      <c r="J714" s="114"/>
      <c r="BB714" s="117"/>
      <c r="BC714" s="117"/>
      <c r="BD714" s="117"/>
    </row>
    <row r="715" spans="1:56" ht="15">
      <c r="A715" s="114"/>
      <c r="B715" s="244" t="s">
        <v>145</v>
      </c>
      <c r="C715" s="200">
        <v>1</v>
      </c>
      <c r="D715" s="245">
        <v>0.2</v>
      </c>
      <c r="E715" s="201">
        <v>0.7</v>
      </c>
      <c r="F715" s="201">
        <v>23.69</v>
      </c>
      <c r="G715" s="202">
        <f t="shared" si="0"/>
        <v>3.3165999999999998</v>
      </c>
      <c r="H715" s="202">
        <f t="shared" si="1"/>
        <v>37.903999999999996</v>
      </c>
      <c r="I715" s="82"/>
      <c r="J715" s="114"/>
      <c r="BB715" s="117"/>
      <c r="BC715" s="117"/>
      <c r="BD715" s="117"/>
    </row>
    <row r="716" spans="1:56" ht="15">
      <c r="A716" s="114"/>
      <c r="B716" s="244" t="s">
        <v>190</v>
      </c>
      <c r="C716" s="200">
        <v>1</v>
      </c>
      <c r="D716" s="245">
        <v>0.2</v>
      </c>
      <c r="E716" s="201">
        <v>0.7</v>
      </c>
      <c r="F716" s="201">
        <v>5.74</v>
      </c>
      <c r="G716" s="202">
        <f t="shared" si="0"/>
        <v>0.80359999999999998</v>
      </c>
      <c r="H716" s="202">
        <f t="shared" si="1"/>
        <v>9.1839999999999993</v>
      </c>
      <c r="I716" s="82"/>
      <c r="J716" s="114"/>
      <c r="BB716" s="117"/>
      <c r="BC716" s="117"/>
      <c r="BD716" s="117"/>
    </row>
    <row r="717" spans="1:56" ht="15">
      <c r="A717" s="114"/>
      <c r="B717" s="244" t="s">
        <v>146</v>
      </c>
      <c r="C717" s="200">
        <v>1</v>
      </c>
      <c r="D717" s="245">
        <v>0.2</v>
      </c>
      <c r="E717" s="201">
        <v>0.55000000000000004</v>
      </c>
      <c r="F717" s="201">
        <v>7.375</v>
      </c>
      <c r="G717" s="202">
        <f t="shared" si="0"/>
        <v>0.81125000000000014</v>
      </c>
      <c r="H717" s="202">
        <f t="shared" si="1"/>
        <v>9.5875000000000004</v>
      </c>
      <c r="I717" s="82"/>
      <c r="J717" s="114"/>
      <c r="BB717" s="117"/>
      <c r="BC717" s="117"/>
      <c r="BD717" s="117"/>
    </row>
    <row r="718" spans="1:56" ht="15">
      <c r="A718" s="114"/>
      <c r="B718" s="244" t="s">
        <v>147</v>
      </c>
      <c r="C718" s="200">
        <v>1</v>
      </c>
      <c r="D718" s="245">
        <v>0.2</v>
      </c>
      <c r="E718" s="201">
        <v>0.4</v>
      </c>
      <c r="F718" s="201">
        <v>1.75</v>
      </c>
      <c r="G718" s="202">
        <f t="shared" si="0"/>
        <v>0.14000000000000001</v>
      </c>
      <c r="H718" s="202">
        <f t="shared" si="1"/>
        <v>1.75</v>
      </c>
      <c r="I718" s="82"/>
      <c r="J718" s="114"/>
      <c r="BB718" s="117"/>
      <c r="BC718" s="117"/>
      <c r="BD718" s="117"/>
    </row>
    <row r="719" spans="1:56" ht="15">
      <c r="A719" s="114"/>
      <c r="B719" s="244" t="s">
        <v>148</v>
      </c>
      <c r="C719" s="200">
        <v>1</v>
      </c>
      <c r="D719" s="245">
        <v>0.2</v>
      </c>
      <c r="E719" s="201">
        <v>0.4</v>
      </c>
      <c r="F719" s="201">
        <v>1.75</v>
      </c>
      <c r="G719" s="202">
        <f t="shared" si="0"/>
        <v>0.14000000000000001</v>
      </c>
      <c r="H719" s="202">
        <f t="shared" si="1"/>
        <v>1.75</v>
      </c>
      <c r="I719" s="82"/>
      <c r="J719" s="114"/>
      <c r="BB719" s="117"/>
      <c r="BC719" s="117"/>
      <c r="BD719" s="117"/>
    </row>
    <row r="720" spans="1:56" ht="15">
      <c r="A720" s="114"/>
      <c r="B720" s="244" t="s">
        <v>149</v>
      </c>
      <c r="C720" s="200">
        <v>1</v>
      </c>
      <c r="D720" s="245">
        <v>0.75</v>
      </c>
      <c r="E720" s="201">
        <v>0.5</v>
      </c>
      <c r="F720" s="201">
        <v>7.7750000000000004</v>
      </c>
      <c r="G720" s="202">
        <f t="shared" si="0"/>
        <v>2.9156250000000004</v>
      </c>
      <c r="H720" s="202">
        <f t="shared" si="1"/>
        <v>13.606250000000001</v>
      </c>
      <c r="I720" s="82"/>
      <c r="J720" s="114"/>
      <c r="BB720" s="117"/>
      <c r="BC720" s="117"/>
      <c r="BD720" s="117"/>
    </row>
    <row r="721" spans="1:56" ht="15">
      <c r="A721" s="114"/>
      <c r="B721" s="244" t="s">
        <v>191</v>
      </c>
      <c r="C721" s="200">
        <v>1</v>
      </c>
      <c r="D721" s="245">
        <v>0.2</v>
      </c>
      <c r="E721" s="201">
        <v>0.7</v>
      </c>
      <c r="F721" s="201">
        <v>23.69</v>
      </c>
      <c r="G721" s="202">
        <f t="shared" si="0"/>
        <v>3.3165999999999998</v>
      </c>
      <c r="H721" s="202">
        <f t="shared" si="1"/>
        <v>37.903999999999996</v>
      </c>
      <c r="I721" s="82"/>
      <c r="J721" s="114"/>
      <c r="BB721" s="117"/>
      <c r="BC721" s="117"/>
      <c r="BD721" s="117"/>
    </row>
    <row r="722" spans="1:56" ht="15">
      <c r="A722" s="114"/>
      <c r="B722" s="246" t="s">
        <v>192</v>
      </c>
      <c r="C722" s="247">
        <v>1</v>
      </c>
      <c r="D722" s="248">
        <v>0.2</v>
      </c>
      <c r="E722" s="249">
        <v>0.7</v>
      </c>
      <c r="F722" s="250">
        <v>8.5649999999999995</v>
      </c>
      <c r="G722" s="251">
        <f t="shared" si="0"/>
        <v>1.1990999999999998</v>
      </c>
      <c r="H722" s="251">
        <f t="shared" si="1"/>
        <v>13.703999999999999</v>
      </c>
      <c r="I722" s="82"/>
      <c r="J722" s="114"/>
      <c r="BB722" s="117"/>
      <c r="BC722" s="117"/>
      <c r="BD722" s="117"/>
    </row>
    <row r="723" spans="1:56" ht="15">
      <c r="A723" s="114"/>
      <c r="B723" s="252"/>
      <c r="C723" s="197"/>
      <c r="D723" s="253"/>
      <c r="E723" s="198"/>
      <c r="F723" s="254" t="s">
        <v>76</v>
      </c>
      <c r="G723" s="255">
        <f>SUM(G699:G722)</f>
        <v>41.491550000000018</v>
      </c>
      <c r="H723" s="255">
        <f>SUM(H699:H722)</f>
        <v>432.7355</v>
      </c>
      <c r="I723" s="82"/>
      <c r="J723" s="114"/>
      <c r="BB723" s="117"/>
      <c r="BC723" s="117"/>
      <c r="BD723" s="117"/>
    </row>
    <row r="724" spans="1:56" ht="15">
      <c r="A724" s="114"/>
      <c r="B724" s="252"/>
      <c r="C724" s="197"/>
      <c r="D724" s="253"/>
      <c r="E724" s="198"/>
      <c r="F724" s="198"/>
      <c r="G724" s="198"/>
      <c r="H724" s="198"/>
      <c r="I724" s="82"/>
      <c r="J724" s="114"/>
      <c r="BB724" s="117"/>
      <c r="BC724" s="117"/>
      <c r="BD724" s="117"/>
    </row>
    <row r="725" spans="1:56" ht="15">
      <c r="A725" s="114"/>
      <c r="B725" s="242" t="s">
        <v>118</v>
      </c>
      <c r="C725" s="199" t="s">
        <v>61</v>
      </c>
      <c r="D725" s="199" t="s">
        <v>82</v>
      </c>
      <c r="E725" s="199" t="s">
        <v>66</v>
      </c>
      <c r="F725" s="199" t="s">
        <v>62</v>
      </c>
      <c r="G725" s="243" t="s">
        <v>99</v>
      </c>
      <c r="H725" s="243" t="s">
        <v>68</v>
      </c>
      <c r="I725" s="82"/>
      <c r="J725" s="114"/>
      <c r="BB725" s="117"/>
      <c r="BC725" s="117"/>
      <c r="BD725" s="117"/>
    </row>
    <row r="726" spans="1:56" ht="15">
      <c r="A726" s="114"/>
      <c r="B726" s="244" t="s">
        <v>157</v>
      </c>
      <c r="C726" s="200">
        <v>1</v>
      </c>
      <c r="D726" s="245">
        <v>0.2</v>
      </c>
      <c r="E726" s="201">
        <v>0.65</v>
      </c>
      <c r="F726" s="201">
        <v>14.3</v>
      </c>
      <c r="G726" s="256">
        <f t="shared" si="0"/>
        <v>1.8590000000000002</v>
      </c>
      <c r="H726" s="256">
        <f t="shared" si="1"/>
        <v>21.450000000000003</v>
      </c>
      <c r="I726" s="82"/>
      <c r="J726" s="114"/>
      <c r="BB726" s="117"/>
      <c r="BC726" s="117"/>
      <c r="BD726" s="117"/>
    </row>
    <row r="727" spans="1:56" ht="15">
      <c r="A727" s="114"/>
      <c r="B727" s="244" t="s">
        <v>119</v>
      </c>
      <c r="C727" s="200">
        <v>1</v>
      </c>
      <c r="D727" s="245">
        <v>0.2</v>
      </c>
      <c r="E727" s="201">
        <v>0.65</v>
      </c>
      <c r="F727" s="201">
        <v>14.3</v>
      </c>
      <c r="G727" s="202">
        <f t="shared" si="0"/>
        <v>1.8590000000000002</v>
      </c>
      <c r="H727" s="202">
        <f t="shared" si="1"/>
        <v>21.450000000000003</v>
      </c>
      <c r="I727" s="82"/>
      <c r="J727" s="114"/>
      <c r="BB727" s="117"/>
      <c r="BC727" s="117"/>
      <c r="BD727" s="117"/>
    </row>
    <row r="728" spans="1:56" ht="15">
      <c r="A728" s="114"/>
      <c r="B728" s="244" t="s">
        <v>158</v>
      </c>
      <c r="C728" s="200">
        <v>1</v>
      </c>
      <c r="D728" s="245">
        <v>0.2</v>
      </c>
      <c r="E728" s="201">
        <v>0.65</v>
      </c>
      <c r="F728" s="201">
        <v>14.3</v>
      </c>
      <c r="G728" s="202">
        <f t="shared" si="0"/>
        <v>1.8590000000000002</v>
      </c>
      <c r="H728" s="202">
        <f t="shared" si="1"/>
        <v>21.450000000000003</v>
      </c>
      <c r="I728" s="82"/>
      <c r="J728" s="114"/>
      <c r="BB728" s="117"/>
      <c r="BC728" s="117"/>
      <c r="BD728" s="117"/>
    </row>
    <row r="729" spans="1:56" ht="15">
      <c r="A729" s="114"/>
      <c r="B729" s="244" t="s">
        <v>153</v>
      </c>
      <c r="C729" s="200">
        <v>1</v>
      </c>
      <c r="D729" s="245">
        <v>0.2</v>
      </c>
      <c r="E729" s="201">
        <v>0.65</v>
      </c>
      <c r="F729" s="201">
        <v>14.3</v>
      </c>
      <c r="G729" s="202">
        <f t="shared" si="0"/>
        <v>1.8590000000000002</v>
      </c>
      <c r="H729" s="202">
        <f t="shared" si="1"/>
        <v>21.450000000000003</v>
      </c>
      <c r="I729" s="82"/>
      <c r="J729" s="114"/>
      <c r="BB729" s="117"/>
      <c r="BC729" s="117"/>
      <c r="BD729" s="117"/>
    </row>
    <row r="730" spans="1:56" ht="15">
      <c r="A730" s="114"/>
      <c r="B730" s="244" t="s">
        <v>154</v>
      </c>
      <c r="C730" s="200">
        <v>1</v>
      </c>
      <c r="D730" s="245">
        <v>0.2</v>
      </c>
      <c r="E730" s="201">
        <v>0.65</v>
      </c>
      <c r="F730" s="201">
        <v>14.3</v>
      </c>
      <c r="G730" s="202">
        <f t="shared" si="0"/>
        <v>1.8590000000000002</v>
      </c>
      <c r="H730" s="202">
        <f t="shared" si="1"/>
        <v>21.450000000000003</v>
      </c>
      <c r="I730" s="82"/>
      <c r="J730" s="114"/>
      <c r="BB730" s="117"/>
      <c r="BC730" s="117"/>
      <c r="BD730" s="117"/>
    </row>
    <row r="731" spans="1:56" ht="15">
      <c r="A731" s="114"/>
      <c r="B731" s="244" t="s">
        <v>122</v>
      </c>
      <c r="C731" s="200">
        <v>1</v>
      </c>
      <c r="D731" s="245">
        <v>0.2</v>
      </c>
      <c r="E731" s="201">
        <v>0.65</v>
      </c>
      <c r="F731" s="201">
        <v>14.3</v>
      </c>
      <c r="G731" s="202">
        <f t="shared" si="0"/>
        <v>1.8590000000000002</v>
      </c>
      <c r="H731" s="202">
        <f t="shared" si="1"/>
        <v>21.450000000000003</v>
      </c>
      <c r="I731" s="82"/>
      <c r="J731" s="114"/>
      <c r="BB731" s="117"/>
      <c r="BC731" s="117"/>
      <c r="BD731" s="117"/>
    </row>
    <row r="732" spans="1:56" ht="15">
      <c r="A732" s="114"/>
      <c r="B732" s="244" t="s">
        <v>159</v>
      </c>
      <c r="C732" s="200">
        <v>1</v>
      </c>
      <c r="D732" s="245">
        <v>0.2</v>
      </c>
      <c r="E732" s="201">
        <v>1.27</v>
      </c>
      <c r="F732" s="201">
        <v>14.3</v>
      </c>
      <c r="G732" s="202">
        <f>D732*E732*F732*C732</f>
        <v>3.6322000000000001</v>
      </c>
      <c r="H732" s="202">
        <f>((E732*2)+D732)*F732*C732</f>
        <v>39.182000000000002</v>
      </c>
      <c r="I732" s="82"/>
      <c r="J732" s="114"/>
      <c r="BB732" s="117"/>
      <c r="BC732" s="117"/>
      <c r="BD732" s="117"/>
    </row>
    <row r="733" spans="1:56" ht="15">
      <c r="A733" s="114"/>
      <c r="B733" s="244" t="s">
        <v>123</v>
      </c>
      <c r="C733" s="200">
        <v>1</v>
      </c>
      <c r="D733" s="245">
        <v>0.2</v>
      </c>
      <c r="E733" s="201">
        <v>1.27</v>
      </c>
      <c r="F733" s="201">
        <v>23.69</v>
      </c>
      <c r="G733" s="202">
        <f>D733*E733*F733*C733</f>
        <v>6.0172600000000003</v>
      </c>
      <c r="H733" s="202">
        <f>((E733*2)+D733)*F733*C733</f>
        <v>64.910600000000002</v>
      </c>
      <c r="I733" s="82"/>
      <c r="J733" s="114"/>
      <c r="BB733" s="117"/>
      <c r="BC733" s="117"/>
      <c r="BD733" s="117"/>
    </row>
    <row r="734" spans="1:56" ht="15">
      <c r="A734" s="114"/>
      <c r="B734" s="246" t="s">
        <v>124</v>
      </c>
      <c r="C734" s="247">
        <v>1</v>
      </c>
      <c r="D734" s="248">
        <v>0.2</v>
      </c>
      <c r="E734" s="249">
        <v>1.27</v>
      </c>
      <c r="F734" s="249">
        <v>8.57</v>
      </c>
      <c r="G734" s="202">
        <f>D734*E734*F734*C734</f>
        <v>2.1767799999999999</v>
      </c>
      <c r="H734" s="202">
        <f>((E734*2)+D734)*F734*C734</f>
        <v>23.481800000000003</v>
      </c>
      <c r="I734" s="82"/>
      <c r="J734" s="114"/>
      <c r="BB734" s="117"/>
      <c r="BC734" s="117"/>
      <c r="BD734" s="117"/>
    </row>
    <row r="735" spans="1:56" ht="15">
      <c r="A735" s="114"/>
      <c r="B735" s="244" t="s">
        <v>125</v>
      </c>
      <c r="C735" s="200">
        <v>1</v>
      </c>
      <c r="D735" s="245">
        <v>0.2</v>
      </c>
      <c r="E735" s="201">
        <v>0.65</v>
      </c>
      <c r="F735" s="201">
        <v>23.69</v>
      </c>
      <c r="G735" s="202">
        <f t="shared" si="0"/>
        <v>3.0797000000000003</v>
      </c>
      <c r="H735" s="202">
        <f t="shared" si="1"/>
        <v>35.535000000000004</v>
      </c>
      <c r="I735" s="82"/>
      <c r="J735" s="114"/>
      <c r="BB735" s="117"/>
      <c r="BC735" s="117"/>
      <c r="BD735" s="117"/>
    </row>
    <row r="736" spans="1:56" ht="15">
      <c r="A736" s="114"/>
      <c r="B736" s="244" t="s">
        <v>126</v>
      </c>
      <c r="C736" s="200">
        <v>1</v>
      </c>
      <c r="D736" s="245">
        <v>0.2</v>
      </c>
      <c r="E736" s="201">
        <v>0.65</v>
      </c>
      <c r="F736" s="201">
        <v>5.74</v>
      </c>
      <c r="G736" s="202">
        <f t="shared" si="0"/>
        <v>0.74620000000000009</v>
      </c>
      <c r="H736" s="202">
        <f t="shared" si="1"/>
        <v>8.61</v>
      </c>
      <c r="I736" s="82"/>
      <c r="J736" s="114"/>
      <c r="BB736" s="117"/>
      <c r="BC736" s="117"/>
      <c r="BD736" s="117"/>
    </row>
    <row r="737" spans="1:56" ht="15">
      <c r="A737" s="114"/>
      <c r="B737" s="244" t="s">
        <v>127</v>
      </c>
      <c r="C737" s="200">
        <v>1</v>
      </c>
      <c r="D737" s="245">
        <v>0.2</v>
      </c>
      <c r="E737" s="201">
        <v>1.27</v>
      </c>
      <c r="F737" s="201">
        <v>23.69</v>
      </c>
      <c r="G737" s="202">
        <f t="shared" si="0"/>
        <v>6.0172600000000003</v>
      </c>
      <c r="H737" s="202">
        <f t="shared" si="1"/>
        <v>64.910600000000002</v>
      </c>
      <c r="I737" s="82"/>
      <c r="J737" s="114"/>
      <c r="BB737" s="117"/>
      <c r="BC737" s="117"/>
      <c r="BD737" s="117"/>
    </row>
    <row r="738" spans="1:56" ht="15">
      <c r="A738" s="114"/>
      <c r="B738" s="244" t="s">
        <v>128</v>
      </c>
      <c r="C738" s="200">
        <v>1</v>
      </c>
      <c r="D738" s="245">
        <v>0.2</v>
      </c>
      <c r="E738" s="201">
        <v>1.27</v>
      </c>
      <c r="F738" s="201">
        <v>8.57</v>
      </c>
      <c r="G738" s="651">
        <f t="shared" si="0"/>
        <v>2.1767799999999999</v>
      </c>
      <c r="H738" s="651">
        <f t="shared" si="1"/>
        <v>23.481800000000003</v>
      </c>
      <c r="I738" s="82"/>
      <c r="J738" s="114"/>
      <c r="BB738" s="117"/>
      <c r="BC738" s="117"/>
      <c r="BD738" s="117"/>
    </row>
    <row r="739" spans="1:56" ht="15">
      <c r="A739" s="114"/>
      <c r="B739" s="252"/>
      <c r="C739" s="197"/>
      <c r="D739" s="253"/>
      <c r="E739" s="198"/>
      <c r="F739" s="254" t="s">
        <v>76</v>
      </c>
      <c r="G739" s="255">
        <f>SUM(G726:G738)</f>
        <v>35.000180000000007</v>
      </c>
      <c r="H739" s="255">
        <f>SUM(H726:H738)</f>
        <v>388.81180000000006</v>
      </c>
      <c r="I739" s="82"/>
      <c r="J739" s="114"/>
      <c r="BB739" s="117"/>
      <c r="BC739" s="117"/>
      <c r="BD739" s="117"/>
    </row>
    <row r="740" spans="1:56" ht="15">
      <c r="A740" s="114"/>
      <c r="B740" s="252"/>
      <c r="C740" s="197"/>
      <c r="D740" s="253"/>
      <c r="E740" s="198"/>
      <c r="F740" s="198"/>
      <c r="G740" s="198"/>
      <c r="H740" s="198"/>
      <c r="I740" s="82"/>
      <c r="J740" s="114"/>
      <c r="BB740" s="117"/>
      <c r="BC740" s="117"/>
      <c r="BD740" s="117"/>
    </row>
    <row r="741" spans="1:56" ht="15">
      <c r="A741" s="114"/>
      <c r="B741" s="242" t="s">
        <v>193</v>
      </c>
      <c r="C741" s="199" t="s">
        <v>61</v>
      </c>
      <c r="D741" s="199" t="s">
        <v>82</v>
      </c>
      <c r="E741" s="199" t="s">
        <v>66</v>
      </c>
      <c r="F741" s="199" t="s">
        <v>62</v>
      </c>
      <c r="G741" s="243" t="s">
        <v>99</v>
      </c>
      <c r="H741" s="243" t="s">
        <v>68</v>
      </c>
      <c r="I741" s="82"/>
      <c r="J741" s="114"/>
      <c r="BB741" s="117"/>
      <c r="BC741" s="117"/>
      <c r="BD741" s="117"/>
    </row>
    <row r="742" spans="1:56" ht="15">
      <c r="A742" s="114"/>
      <c r="B742" s="244" t="s">
        <v>194</v>
      </c>
      <c r="C742" s="200">
        <v>1</v>
      </c>
      <c r="D742" s="245">
        <v>0.2</v>
      </c>
      <c r="E742" s="201">
        <v>0.4</v>
      </c>
      <c r="F742" s="201">
        <v>4.59</v>
      </c>
      <c r="G742" s="202">
        <f t="shared" ref="G742:G768" si="2">D742*E742*F742*C742</f>
        <v>0.36720000000000008</v>
      </c>
      <c r="H742" s="202">
        <f t="shared" ref="H742:H768" si="3">((E742*2)+D742)*F742*C742</f>
        <v>4.59</v>
      </c>
      <c r="I742" s="82"/>
      <c r="J742" s="114"/>
      <c r="BB742" s="117"/>
      <c r="BC742" s="117"/>
      <c r="BD742" s="117"/>
    </row>
    <row r="743" spans="1:56" ht="15">
      <c r="A743" s="114"/>
      <c r="B743" s="244" t="s">
        <v>195</v>
      </c>
      <c r="C743" s="200">
        <v>1</v>
      </c>
      <c r="D743" s="245">
        <v>0.2</v>
      </c>
      <c r="E743" s="201">
        <v>0.85</v>
      </c>
      <c r="F743" s="201">
        <v>13.2</v>
      </c>
      <c r="G743" s="202">
        <f t="shared" si="2"/>
        <v>2.2440000000000002</v>
      </c>
      <c r="H743" s="202">
        <f t="shared" si="3"/>
        <v>25.08</v>
      </c>
      <c r="I743" s="82"/>
      <c r="J743" s="114"/>
      <c r="BB743" s="117"/>
      <c r="BC743" s="117"/>
      <c r="BD743" s="117"/>
    </row>
    <row r="744" spans="1:56" ht="15">
      <c r="A744" s="114"/>
      <c r="B744" s="244" t="s">
        <v>196</v>
      </c>
      <c r="C744" s="200">
        <v>1</v>
      </c>
      <c r="D744" s="245">
        <v>0.25</v>
      </c>
      <c r="E744" s="201">
        <v>1.55</v>
      </c>
      <c r="F744" s="201">
        <v>15.4</v>
      </c>
      <c r="G744" s="202">
        <f t="shared" si="2"/>
        <v>5.9675000000000002</v>
      </c>
      <c r="H744" s="202">
        <f t="shared" si="3"/>
        <v>51.59</v>
      </c>
      <c r="I744" s="82"/>
      <c r="J744" s="114"/>
      <c r="BB744" s="117"/>
      <c r="BC744" s="117"/>
      <c r="BD744" s="117"/>
    </row>
    <row r="745" spans="1:56" ht="15">
      <c r="A745" s="114"/>
      <c r="B745" s="244" t="s">
        <v>197</v>
      </c>
      <c r="C745" s="200">
        <v>1</v>
      </c>
      <c r="D745" s="245">
        <v>0.2</v>
      </c>
      <c r="E745" s="201">
        <v>0.5</v>
      </c>
      <c r="F745" s="201">
        <v>14.6</v>
      </c>
      <c r="G745" s="202">
        <f t="shared" si="2"/>
        <v>1.46</v>
      </c>
      <c r="H745" s="202">
        <f t="shared" si="3"/>
        <v>17.52</v>
      </c>
      <c r="I745" s="82"/>
      <c r="J745" s="114"/>
      <c r="BB745" s="117"/>
      <c r="BC745" s="117"/>
      <c r="BD745" s="117"/>
    </row>
    <row r="746" spans="1:56" ht="15">
      <c r="A746" s="114"/>
      <c r="B746" s="244" t="s">
        <v>198</v>
      </c>
      <c r="C746" s="200">
        <v>1</v>
      </c>
      <c r="D746" s="245">
        <v>0.2</v>
      </c>
      <c r="E746" s="201">
        <v>0.4</v>
      </c>
      <c r="F746" s="201">
        <v>2.5499999999999998</v>
      </c>
      <c r="G746" s="202">
        <f t="shared" si="2"/>
        <v>0.20400000000000001</v>
      </c>
      <c r="H746" s="202">
        <f t="shared" si="3"/>
        <v>2.5499999999999998</v>
      </c>
      <c r="I746" s="82"/>
      <c r="J746" s="114"/>
      <c r="BB746" s="117"/>
      <c r="BC746" s="117"/>
      <c r="BD746" s="117"/>
    </row>
    <row r="747" spans="1:56" ht="15">
      <c r="A747" s="114"/>
      <c r="B747" s="244" t="s">
        <v>199</v>
      </c>
      <c r="C747" s="200">
        <v>1</v>
      </c>
      <c r="D747" s="245">
        <v>0.2</v>
      </c>
      <c r="E747" s="201">
        <v>0.4</v>
      </c>
      <c r="F747" s="201">
        <v>3.5750000000000002</v>
      </c>
      <c r="G747" s="202">
        <f t="shared" si="2"/>
        <v>0.28600000000000009</v>
      </c>
      <c r="H747" s="202">
        <f t="shared" si="3"/>
        <v>3.5750000000000002</v>
      </c>
      <c r="I747" s="82"/>
      <c r="J747" s="114"/>
      <c r="BB747" s="117"/>
      <c r="BC747" s="117"/>
      <c r="BD747" s="117"/>
    </row>
    <row r="748" spans="1:56" ht="15">
      <c r="A748" s="114"/>
      <c r="B748" s="244" t="s">
        <v>200</v>
      </c>
      <c r="C748" s="200">
        <v>1</v>
      </c>
      <c r="D748" s="245">
        <v>0.2</v>
      </c>
      <c r="E748" s="201">
        <v>0.4</v>
      </c>
      <c r="F748" s="201">
        <v>2.5499999999999998</v>
      </c>
      <c r="G748" s="202">
        <f t="shared" si="2"/>
        <v>0.20400000000000001</v>
      </c>
      <c r="H748" s="202">
        <f t="shared" si="3"/>
        <v>2.5499999999999998</v>
      </c>
      <c r="I748" s="82"/>
      <c r="J748" s="114"/>
      <c r="BB748" s="117"/>
      <c r="BC748" s="117"/>
      <c r="BD748" s="117"/>
    </row>
    <row r="749" spans="1:56" ht="15">
      <c r="A749" s="114"/>
      <c r="B749" s="244" t="s">
        <v>201</v>
      </c>
      <c r="C749" s="200">
        <v>1</v>
      </c>
      <c r="D749" s="245">
        <v>0.2</v>
      </c>
      <c r="E749" s="201">
        <v>0.4</v>
      </c>
      <c r="F749" s="201">
        <v>1.75</v>
      </c>
      <c r="G749" s="202">
        <f t="shared" si="2"/>
        <v>0.14000000000000001</v>
      </c>
      <c r="H749" s="202">
        <f t="shared" si="3"/>
        <v>1.75</v>
      </c>
      <c r="I749" s="82"/>
      <c r="J749" s="114"/>
      <c r="BB749" s="117"/>
      <c r="BC749" s="117"/>
      <c r="BD749" s="117"/>
    </row>
    <row r="750" spans="1:56" ht="15">
      <c r="A750" s="114"/>
      <c r="B750" s="244" t="s">
        <v>202</v>
      </c>
      <c r="C750" s="200">
        <v>1</v>
      </c>
      <c r="D750" s="245">
        <v>0.2</v>
      </c>
      <c r="E750" s="201">
        <v>0.4</v>
      </c>
      <c r="F750" s="201">
        <v>3.5750000000000002</v>
      </c>
      <c r="G750" s="202">
        <f t="shared" si="2"/>
        <v>0.28600000000000009</v>
      </c>
      <c r="H750" s="202">
        <f t="shared" si="3"/>
        <v>3.5750000000000002</v>
      </c>
      <c r="I750" s="82"/>
      <c r="J750" s="114"/>
      <c r="BB750" s="117"/>
      <c r="BC750" s="117"/>
      <c r="BD750" s="117"/>
    </row>
    <row r="751" spans="1:56" ht="15">
      <c r="A751" s="114"/>
      <c r="B751" s="244" t="s">
        <v>203</v>
      </c>
      <c r="C751" s="200">
        <v>1</v>
      </c>
      <c r="D751" s="245">
        <v>0.2</v>
      </c>
      <c r="E751" s="201">
        <v>0.4</v>
      </c>
      <c r="F751" s="201">
        <v>1.75</v>
      </c>
      <c r="G751" s="202">
        <f t="shared" si="2"/>
        <v>0.14000000000000001</v>
      </c>
      <c r="H751" s="202">
        <f t="shared" si="3"/>
        <v>1.75</v>
      </c>
      <c r="I751" s="82"/>
      <c r="J751" s="114"/>
      <c r="BB751" s="117"/>
      <c r="BC751" s="117"/>
      <c r="BD751" s="117"/>
    </row>
    <row r="752" spans="1:56" ht="15">
      <c r="A752" s="114"/>
      <c r="B752" s="246" t="s">
        <v>204</v>
      </c>
      <c r="C752" s="247">
        <v>1</v>
      </c>
      <c r="D752" s="249">
        <v>0.2</v>
      </c>
      <c r="E752" s="249">
        <v>0.4</v>
      </c>
      <c r="F752" s="249">
        <v>1.75</v>
      </c>
      <c r="G752" s="202">
        <f t="shared" si="2"/>
        <v>0.14000000000000001</v>
      </c>
      <c r="H752" s="202">
        <f t="shared" si="3"/>
        <v>1.75</v>
      </c>
      <c r="I752" s="82"/>
      <c r="J752" s="114"/>
      <c r="BB752" s="117"/>
      <c r="BC752" s="117"/>
      <c r="BD752" s="117"/>
    </row>
    <row r="753" spans="1:56" ht="15">
      <c r="A753" s="114"/>
      <c r="B753" s="252"/>
      <c r="C753" s="197"/>
      <c r="D753" s="253"/>
      <c r="E753" s="198"/>
      <c r="F753" s="254" t="s">
        <v>76</v>
      </c>
      <c r="G753" s="255">
        <f>SUM(G742:G752)</f>
        <v>11.438700000000004</v>
      </c>
      <c r="H753" s="255">
        <f>SUM(H742:H752)</f>
        <v>116.28</v>
      </c>
      <c r="I753" s="82"/>
      <c r="J753" s="114"/>
      <c r="BB753" s="117"/>
      <c r="BC753" s="117"/>
      <c r="BD753" s="117"/>
    </row>
    <row r="754" spans="1:56" ht="15">
      <c r="A754" s="114"/>
      <c r="B754" s="252"/>
      <c r="C754" s="197"/>
      <c r="D754" s="253"/>
      <c r="E754" s="198"/>
      <c r="F754" s="227"/>
      <c r="G754" s="257"/>
      <c r="H754" s="257"/>
      <c r="I754" s="82"/>
      <c r="J754" s="114"/>
      <c r="BB754" s="117"/>
      <c r="BC754" s="117"/>
      <c r="BD754" s="117"/>
    </row>
    <row r="755" spans="1:56" ht="15">
      <c r="A755" s="114"/>
      <c r="B755" s="242" t="s">
        <v>205</v>
      </c>
      <c r="C755" s="199" t="s">
        <v>61</v>
      </c>
      <c r="D755" s="199" t="s">
        <v>82</v>
      </c>
      <c r="E755" s="199" t="s">
        <v>66</v>
      </c>
      <c r="F755" s="199" t="s">
        <v>62</v>
      </c>
      <c r="G755" s="243" t="s">
        <v>99</v>
      </c>
      <c r="H755" s="243" t="s">
        <v>68</v>
      </c>
      <c r="I755" s="82"/>
      <c r="J755" s="114"/>
      <c r="BB755" s="117"/>
      <c r="BC755" s="117"/>
      <c r="BD755" s="117"/>
    </row>
    <row r="756" spans="1:56" ht="15">
      <c r="A756" s="114"/>
      <c r="B756" s="246" t="s">
        <v>206</v>
      </c>
      <c r="C756" s="247">
        <v>1</v>
      </c>
      <c r="D756" s="248">
        <v>0.2</v>
      </c>
      <c r="E756" s="249">
        <v>0.6</v>
      </c>
      <c r="F756" s="249">
        <v>14.8</v>
      </c>
      <c r="G756" s="202">
        <f t="shared" si="2"/>
        <v>1.776</v>
      </c>
      <c r="H756" s="202">
        <f t="shared" si="3"/>
        <v>20.72</v>
      </c>
      <c r="I756" s="82"/>
      <c r="J756" s="114"/>
      <c r="BB756" s="117"/>
      <c r="BC756" s="117"/>
      <c r="BD756" s="117"/>
    </row>
    <row r="757" spans="1:56" ht="15">
      <c r="A757" s="114"/>
      <c r="B757" s="246" t="s">
        <v>207</v>
      </c>
      <c r="C757" s="247">
        <v>1</v>
      </c>
      <c r="D757" s="248">
        <v>0.2</v>
      </c>
      <c r="E757" s="249">
        <v>0.6</v>
      </c>
      <c r="F757" s="249">
        <v>14.6</v>
      </c>
      <c r="G757" s="202">
        <f t="shared" si="2"/>
        <v>1.752</v>
      </c>
      <c r="H757" s="202">
        <f t="shared" si="3"/>
        <v>20.439999999999998</v>
      </c>
      <c r="I757" s="82"/>
      <c r="J757" s="114"/>
      <c r="BB757" s="117"/>
      <c r="BC757" s="117"/>
      <c r="BD757" s="117"/>
    </row>
    <row r="758" spans="1:56" ht="15">
      <c r="A758" s="114"/>
      <c r="B758" s="246" t="s">
        <v>208</v>
      </c>
      <c r="C758" s="247">
        <v>1</v>
      </c>
      <c r="D758" s="248">
        <v>0.2</v>
      </c>
      <c r="E758" s="249">
        <v>0.6</v>
      </c>
      <c r="F758" s="249">
        <v>10.125</v>
      </c>
      <c r="G758" s="202">
        <f t="shared" si="2"/>
        <v>1.2149999999999999</v>
      </c>
      <c r="H758" s="202">
        <f t="shared" si="3"/>
        <v>14.174999999999999</v>
      </c>
      <c r="I758" s="82"/>
      <c r="J758" s="114"/>
      <c r="BB758" s="117"/>
      <c r="BC758" s="117"/>
      <c r="BD758" s="117"/>
    </row>
    <row r="759" spans="1:56" ht="15">
      <c r="A759" s="114"/>
      <c r="B759" s="246" t="s">
        <v>209</v>
      </c>
      <c r="C759" s="247">
        <v>1</v>
      </c>
      <c r="D759" s="248">
        <v>0.2</v>
      </c>
      <c r="E759" s="249">
        <v>0.6</v>
      </c>
      <c r="F759" s="249">
        <v>8.3249999999999993</v>
      </c>
      <c r="G759" s="202">
        <f t="shared" si="2"/>
        <v>0.99899999999999989</v>
      </c>
      <c r="H759" s="202">
        <f t="shared" si="3"/>
        <v>11.654999999999998</v>
      </c>
      <c r="I759" s="82"/>
      <c r="J759" s="114"/>
      <c r="BB759" s="117"/>
      <c r="BC759" s="117"/>
      <c r="BD759" s="117"/>
    </row>
    <row r="760" spans="1:56" ht="15">
      <c r="A760" s="114"/>
      <c r="B760" s="246" t="s">
        <v>210</v>
      </c>
      <c r="C760" s="247">
        <v>1</v>
      </c>
      <c r="D760" s="248">
        <v>0.2</v>
      </c>
      <c r="E760" s="249">
        <v>0.6</v>
      </c>
      <c r="F760" s="249">
        <v>10.125</v>
      </c>
      <c r="G760" s="202">
        <f t="shared" si="2"/>
        <v>1.2149999999999999</v>
      </c>
      <c r="H760" s="202">
        <f t="shared" si="3"/>
        <v>14.174999999999999</v>
      </c>
      <c r="I760" s="82"/>
      <c r="J760" s="114"/>
      <c r="BB760" s="117"/>
      <c r="BC760" s="117"/>
      <c r="BD760" s="117"/>
    </row>
    <row r="761" spans="1:56" ht="15">
      <c r="A761" s="114"/>
      <c r="B761" s="252"/>
      <c r="C761" s="197"/>
      <c r="D761" s="253"/>
      <c r="E761" s="198"/>
      <c r="F761" s="254" t="s">
        <v>76</v>
      </c>
      <c r="G761" s="255">
        <f>SUM(G756:G760)</f>
        <v>6.9569999999999999</v>
      </c>
      <c r="H761" s="255">
        <f>SUM(H756:H760)</f>
        <v>81.164999999999992</v>
      </c>
      <c r="I761" s="82"/>
      <c r="J761" s="114"/>
      <c r="BB761" s="117"/>
      <c r="BC761" s="117"/>
      <c r="BD761" s="117"/>
    </row>
    <row r="762" spans="1:56" ht="15">
      <c r="A762" s="114"/>
      <c r="B762" s="252"/>
      <c r="C762" s="197"/>
      <c r="D762" s="253"/>
      <c r="E762" s="198"/>
      <c r="F762" s="227"/>
      <c r="G762" s="257"/>
      <c r="H762" s="257"/>
      <c r="I762" s="82"/>
      <c r="J762" s="114"/>
      <c r="BB762" s="117"/>
      <c r="BC762" s="117"/>
      <c r="BD762" s="117"/>
    </row>
    <row r="763" spans="1:56" ht="15">
      <c r="A763" s="114"/>
      <c r="B763" s="242" t="s">
        <v>211</v>
      </c>
      <c r="C763" s="199" t="s">
        <v>61</v>
      </c>
      <c r="D763" s="199" t="s">
        <v>82</v>
      </c>
      <c r="E763" s="199" t="s">
        <v>66</v>
      </c>
      <c r="F763" s="199" t="s">
        <v>62</v>
      </c>
      <c r="G763" s="243" t="s">
        <v>99</v>
      </c>
      <c r="H763" s="243" t="s">
        <v>68</v>
      </c>
      <c r="I763" s="82"/>
      <c r="J763" s="114"/>
      <c r="BB763" s="117"/>
      <c r="BC763" s="117"/>
      <c r="BD763" s="117"/>
    </row>
    <row r="764" spans="1:56" ht="15">
      <c r="A764" s="114"/>
      <c r="B764" s="246" t="s">
        <v>212</v>
      </c>
      <c r="C764" s="247">
        <v>1</v>
      </c>
      <c r="D764" s="248">
        <v>0.2</v>
      </c>
      <c r="E764" s="249">
        <v>0.6</v>
      </c>
      <c r="F764" s="249">
        <v>7.4249999999999998</v>
      </c>
      <c r="G764" s="202">
        <f t="shared" si="2"/>
        <v>0.8909999999999999</v>
      </c>
      <c r="H764" s="202">
        <f t="shared" si="3"/>
        <v>10.395</v>
      </c>
      <c r="I764" s="82"/>
      <c r="J764" s="114"/>
      <c r="BB764" s="117"/>
      <c r="BC764" s="117"/>
      <c r="BD764" s="117"/>
    </row>
    <row r="765" spans="1:56" ht="15">
      <c r="A765" s="114"/>
      <c r="B765" s="246" t="s">
        <v>213</v>
      </c>
      <c r="C765" s="247">
        <v>1</v>
      </c>
      <c r="D765" s="248">
        <v>0.2</v>
      </c>
      <c r="E765" s="249">
        <v>0.4</v>
      </c>
      <c r="F765" s="249">
        <v>1.0349999999999999</v>
      </c>
      <c r="G765" s="202">
        <f t="shared" si="2"/>
        <v>8.2800000000000012E-2</v>
      </c>
      <c r="H765" s="202">
        <f t="shared" si="3"/>
        <v>1.0349999999999999</v>
      </c>
      <c r="I765" s="82"/>
      <c r="J765" s="114"/>
      <c r="BB765" s="117"/>
      <c r="BC765" s="117"/>
      <c r="BD765" s="117"/>
    </row>
    <row r="766" spans="1:56" ht="15">
      <c r="A766" s="114"/>
      <c r="B766" s="246" t="s">
        <v>214</v>
      </c>
      <c r="C766" s="247">
        <v>1</v>
      </c>
      <c r="D766" s="248">
        <v>0.2</v>
      </c>
      <c r="E766" s="249">
        <v>0.4</v>
      </c>
      <c r="F766" s="249">
        <v>2.5499999999999998</v>
      </c>
      <c r="G766" s="202">
        <f t="shared" si="2"/>
        <v>0.20400000000000001</v>
      </c>
      <c r="H766" s="202">
        <f t="shared" si="3"/>
        <v>2.5499999999999998</v>
      </c>
      <c r="I766" s="82"/>
      <c r="J766" s="114"/>
      <c r="BB766" s="117"/>
      <c r="BC766" s="117"/>
      <c r="BD766" s="117"/>
    </row>
    <row r="767" spans="1:56" ht="15">
      <c r="A767" s="114"/>
      <c r="B767" s="246" t="s">
        <v>215</v>
      </c>
      <c r="C767" s="247">
        <v>1</v>
      </c>
      <c r="D767" s="248">
        <v>0.2</v>
      </c>
      <c r="E767" s="249">
        <v>0.4</v>
      </c>
      <c r="F767" s="249">
        <v>1.0349999999999999</v>
      </c>
      <c r="G767" s="202">
        <f t="shared" si="2"/>
        <v>8.2800000000000012E-2</v>
      </c>
      <c r="H767" s="202">
        <f t="shared" si="3"/>
        <v>1.0349999999999999</v>
      </c>
      <c r="I767" s="82"/>
      <c r="J767" s="114"/>
      <c r="BB767" s="117"/>
      <c r="BC767" s="117"/>
      <c r="BD767" s="117"/>
    </row>
    <row r="768" spans="1:56" ht="15">
      <c r="A768" s="114"/>
      <c r="B768" s="246" t="s">
        <v>216</v>
      </c>
      <c r="C768" s="247">
        <v>1</v>
      </c>
      <c r="D768" s="248">
        <v>0.2</v>
      </c>
      <c r="E768" s="249">
        <v>0.4</v>
      </c>
      <c r="F768" s="249">
        <v>2.5499999999999998</v>
      </c>
      <c r="G768" s="202">
        <f t="shared" si="2"/>
        <v>0.20400000000000001</v>
      </c>
      <c r="H768" s="202">
        <f t="shared" si="3"/>
        <v>2.5499999999999998</v>
      </c>
      <c r="I768" s="82"/>
      <c r="J768" s="114"/>
      <c r="BB768" s="117"/>
      <c r="BC768" s="117"/>
      <c r="BD768" s="117"/>
    </row>
    <row r="769" spans="1:56" ht="15">
      <c r="A769" s="114"/>
      <c r="B769" s="244" t="s">
        <v>150</v>
      </c>
      <c r="C769" s="200">
        <v>1</v>
      </c>
      <c r="D769" s="245">
        <v>0.76</v>
      </c>
      <c r="E769" s="201">
        <v>0.47</v>
      </c>
      <c r="F769" s="201">
        <v>7.375</v>
      </c>
      <c r="G769" s="202">
        <f>D769*E769*F769*C769</f>
        <v>2.6343499999999995</v>
      </c>
      <c r="H769" s="202">
        <f>((E769*2)+D769)*F769*C769</f>
        <v>12.5375</v>
      </c>
      <c r="I769" s="82"/>
      <c r="J769" s="114"/>
      <c r="BB769" s="117"/>
      <c r="BC769" s="117"/>
      <c r="BD769" s="117"/>
    </row>
    <row r="770" spans="1:56" ht="15">
      <c r="A770" s="114"/>
      <c r="B770" s="246" t="s">
        <v>151</v>
      </c>
      <c r="C770" s="247">
        <v>1</v>
      </c>
      <c r="D770" s="248">
        <v>0.76</v>
      </c>
      <c r="E770" s="249">
        <v>0.47</v>
      </c>
      <c r="F770" s="249">
        <v>7.375</v>
      </c>
      <c r="G770" s="202">
        <f>D770*E770*F770*C770</f>
        <v>2.6343499999999995</v>
      </c>
      <c r="H770" s="202">
        <f>((E770*2)+D770)*F770*C770</f>
        <v>12.5375</v>
      </c>
      <c r="I770" s="82"/>
      <c r="J770" s="114"/>
      <c r="BB770" s="117"/>
      <c r="BC770" s="117"/>
      <c r="BD770" s="117"/>
    </row>
    <row r="771" spans="1:56" ht="15">
      <c r="A771" s="114"/>
      <c r="B771" s="252"/>
      <c r="C771" s="197"/>
      <c r="D771" s="253"/>
      <c r="E771" s="198"/>
      <c r="F771" s="254" t="s">
        <v>76</v>
      </c>
      <c r="G771" s="255">
        <f>SUM(G764:G770)</f>
        <v>6.733299999999999</v>
      </c>
      <c r="H771" s="255">
        <f>SUM(H764:H770)</f>
        <v>42.64</v>
      </c>
      <c r="I771" s="82"/>
      <c r="J771" s="114"/>
      <c r="BB771" s="117"/>
      <c r="BC771" s="117"/>
      <c r="BD771" s="117"/>
    </row>
    <row r="772" spans="1:56" ht="15">
      <c r="A772" s="114"/>
      <c r="B772" s="252"/>
      <c r="C772" s="197"/>
      <c r="D772" s="253"/>
      <c r="E772" s="198"/>
      <c r="F772" s="227"/>
      <c r="G772" s="257"/>
      <c r="H772" s="257"/>
      <c r="I772" s="82"/>
      <c r="J772" s="114"/>
      <c r="BB772" s="117"/>
      <c r="BC772" s="117"/>
      <c r="BD772" s="117"/>
    </row>
    <row r="773" spans="1:56" ht="15">
      <c r="A773" s="114"/>
      <c r="B773" s="242" t="s">
        <v>2351</v>
      </c>
      <c r="C773" s="199" t="s">
        <v>61</v>
      </c>
      <c r="D773" s="199" t="s">
        <v>82</v>
      </c>
      <c r="E773" s="199" t="s">
        <v>66</v>
      </c>
      <c r="F773" s="199" t="s">
        <v>62</v>
      </c>
      <c r="G773" s="243" t="s">
        <v>99</v>
      </c>
      <c r="H773" s="243" t="s">
        <v>68</v>
      </c>
      <c r="I773" s="82"/>
      <c r="J773" s="114"/>
      <c r="BB773" s="117"/>
      <c r="BC773" s="117"/>
      <c r="BD773" s="117"/>
    </row>
    <row r="774" spans="1:56" ht="15">
      <c r="A774" s="114"/>
      <c r="B774" s="246" t="s">
        <v>166</v>
      </c>
      <c r="C774" s="247">
        <v>1</v>
      </c>
      <c r="D774" s="248">
        <v>0.2</v>
      </c>
      <c r="E774" s="249">
        <v>0.56999999999999995</v>
      </c>
      <c r="F774" s="249">
        <v>7.32</v>
      </c>
      <c r="G774" s="202">
        <f t="shared" ref="G774:G801" si="4">D774*E774*F774*C774</f>
        <v>0.83448</v>
      </c>
      <c r="H774" s="202">
        <f t="shared" ref="H774:H801" si="5">((E774*2)+D774)*F774*C774</f>
        <v>9.8087999999999997</v>
      </c>
      <c r="I774" s="82"/>
      <c r="J774" s="114"/>
      <c r="BB774" s="117"/>
      <c r="BC774" s="117"/>
      <c r="BD774" s="117"/>
    </row>
    <row r="775" spans="1:56" ht="15">
      <c r="A775" s="114"/>
      <c r="B775" s="244" t="s">
        <v>167</v>
      </c>
      <c r="C775" s="200">
        <v>1</v>
      </c>
      <c r="D775" s="245">
        <v>0.2</v>
      </c>
      <c r="E775" s="201">
        <v>0.56999999999999995</v>
      </c>
      <c r="F775" s="201">
        <v>7.32</v>
      </c>
      <c r="G775" s="202">
        <f t="shared" si="4"/>
        <v>0.83448</v>
      </c>
      <c r="H775" s="202">
        <f t="shared" si="5"/>
        <v>9.8087999999999997</v>
      </c>
      <c r="I775" s="82"/>
      <c r="J775" s="114"/>
      <c r="BB775" s="117"/>
      <c r="BC775" s="117"/>
      <c r="BD775" s="117"/>
    </row>
    <row r="776" spans="1:56" ht="15">
      <c r="A776" s="114"/>
      <c r="B776" s="244" t="s">
        <v>168</v>
      </c>
      <c r="C776" s="200">
        <v>1</v>
      </c>
      <c r="D776" s="245">
        <v>0.2</v>
      </c>
      <c r="E776" s="201">
        <v>0.56999999999999995</v>
      </c>
      <c r="F776" s="201">
        <v>7.32</v>
      </c>
      <c r="G776" s="202">
        <f t="shared" si="4"/>
        <v>0.83448</v>
      </c>
      <c r="H776" s="202">
        <f t="shared" si="5"/>
        <v>9.8087999999999997</v>
      </c>
      <c r="I776" s="82"/>
      <c r="J776" s="114"/>
      <c r="BB776" s="117"/>
      <c r="BC776" s="117"/>
      <c r="BD776" s="117"/>
    </row>
    <row r="777" spans="1:56" ht="15">
      <c r="A777" s="114"/>
      <c r="B777" s="244" t="s">
        <v>217</v>
      </c>
      <c r="C777" s="200">
        <v>1</v>
      </c>
      <c r="D777" s="245">
        <v>0.2</v>
      </c>
      <c r="E777" s="201">
        <v>0.56999999999999995</v>
      </c>
      <c r="F777" s="201">
        <v>7.32</v>
      </c>
      <c r="G777" s="202">
        <f t="shared" si="4"/>
        <v>0.83448</v>
      </c>
      <c r="H777" s="202">
        <f t="shared" si="5"/>
        <v>9.8087999999999997</v>
      </c>
      <c r="I777" s="82"/>
      <c r="J777" s="114"/>
      <c r="BB777" s="117"/>
      <c r="BC777" s="117"/>
      <c r="BD777" s="117"/>
    </row>
    <row r="778" spans="1:56" ht="15">
      <c r="A778" s="114"/>
      <c r="B778" s="244" t="s">
        <v>218</v>
      </c>
      <c r="C778" s="200">
        <v>1</v>
      </c>
      <c r="D778" s="245">
        <v>0.2</v>
      </c>
      <c r="E778" s="201">
        <v>0.56999999999999995</v>
      </c>
      <c r="F778" s="201">
        <v>7.32</v>
      </c>
      <c r="G778" s="202">
        <f t="shared" si="4"/>
        <v>0.83448</v>
      </c>
      <c r="H778" s="202">
        <f t="shared" si="5"/>
        <v>9.8087999999999997</v>
      </c>
      <c r="I778" s="82"/>
      <c r="J778" s="114"/>
      <c r="BB778" s="117"/>
      <c r="BC778" s="117"/>
      <c r="BD778" s="117"/>
    </row>
    <row r="779" spans="1:56" ht="15">
      <c r="A779" s="114"/>
      <c r="B779" s="244" t="s">
        <v>219</v>
      </c>
      <c r="C779" s="200">
        <v>1</v>
      </c>
      <c r="D779" s="245">
        <v>0.2</v>
      </c>
      <c r="E779" s="201">
        <v>0.56999999999999995</v>
      </c>
      <c r="F779" s="201">
        <v>7.32</v>
      </c>
      <c r="G779" s="202">
        <f t="shared" si="4"/>
        <v>0.83448</v>
      </c>
      <c r="H779" s="202">
        <f t="shared" si="5"/>
        <v>9.8087999999999997</v>
      </c>
      <c r="I779" s="82"/>
      <c r="J779" s="114"/>
      <c r="BB779" s="117"/>
      <c r="BC779" s="117"/>
      <c r="BD779" s="117"/>
    </row>
    <row r="780" spans="1:56" ht="15">
      <c r="A780" s="114"/>
      <c r="B780" s="244" t="s">
        <v>220</v>
      </c>
      <c r="C780" s="200">
        <v>1</v>
      </c>
      <c r="D780" s="245">
        <v>0.2</v>
      </c>
      <c r="E780" s="201">
        <v>0.56999999999999995</v>
      </c>
      <c r="F780" s="201">
        <v>7.32</v>
      </c>
      <c r="G780" s="202">
        <f t="shared" si="4"/>
        <v>0.83448</v>
      </c>
      <c r="H780" s="202">
        <f t="shared" si="5"/>
        <v>9.8087999999999997</v>
      </c>
      <c r="I780" s="82"/>
      <c r="J780" s="114"/>
      <c r="BB780" s="117"/>
      <c r="BC780" s="117"/>
      <c r="BD780" s="117"/>
    </row>
    <row r="781" spans="1:56" ht="15">
      <c r="A781" s="114"/>
      <c r="B781" s="246" t="s">
        <v>221</v>
      </c>
      <c r="C781" s="247">
        <v>1</v>
      </c>
      <c r="D781" s="248">
        <v>0.2</v>
      </c>
      <c r="E781" s="249">
        <v>0.56999999999999995</v>
      </c>
      <c r="F781" s="249">
        <v>7.32</v>
      </c>
      <c r="G781" s="202">
        <f t="shared" si="4"/>
        <v>0.83448</v>
      </c>
      <c r="H781" s="202">
        <f t="shared" si="5"/>
        <v>9.8087999999999997</v>
      </c>
      <c r="I781" s="82"/>
      <c r="J781" s="114"/>
      <c r="BB781" s="117"/>
      <c r="BC781" s="117"/>
      <c r="BD781" s="117"/>
    </row>
    <row r="782" spans="1:56" ht="15">
      <c r="A782" s="114"/>
      <c r="B782" s="246" t="s">
        <v>84</v>
      </c>
      <c r="C782" s="247">
        <v>1</v>
      </c>
      <c r="D782" s="248">
        <v>0.2</v>
      </c>
      <c r="E782" s="249">
        <v>0.4</v>
      </c>
      <c r="F782" s="249">
        <v>1.87</v>
      </c>
      <c r="G782" s="202">
        <f t="shared" si="4"/>
        <v>0.14960000000000004</v>
      </c>
      <c r="H782" s="202">
        <f t="shared" si="5"/>
        <v>1.87</v>
      </c>
      <c r="I782" s="82"/>
      <c r="J782" s="114"/>
      <c r="BB782" s="117"/>
      <c r="BC782" s="117"/>
      <c r="BD782" s="117"/>
    </row>
    <row r="783" spans="1:56" ht="15">
      <c r="A783" s="114"/>
      <c r="B783" s="246" t="s">
        <v>85</v>
      </c>
      <c r="C783" s="247">
        <v>1</v>
      </c>
      <c r="D783" s="248">
        <v>0.2</v>
      </c>
      <c r="E783" s="249">
        <v>0.6</v>
      </c>
      <c r="F783" s="249">
        <v>1.87</v>
      </c>
      <c r="G783" s="202">
        <f t="shared" si="4"/>
        <v>0.22440000000000002</v>
      </c>
      <c r="H783" s="202">
        <f t="shared" si="5"/>
        <v>2.6179999999999999</v>
      </c>
      <c r="I783" s="82"/>
      <c r="J783" s="114"/>
      <c r="BB783" s="117"/>
      <c r="BC783" s="117"/>
      <c r="BD783" s="117"/>
    </row>
    <row r="784" spans="1:56" ht="15">
      <c r="A784" s="114"/>
      <c r="B784" s="246" t="s">
        <v>108</v>
      </c>
      <c r="C784" s="247">
        <v>1</v>
      </c>
      <c r="D784" s="248">
        <v>0.2</v>
      </c>
      <c r="E784" s="249">
        <v>0.6</v>
      </c>
      <c r="F784" s="249">
        <v>3.67</v>
      </c>
      <c r="G784" s="202">
        <f t="shared" si="4"/>
        <v>0.44039999999999996</v>
      </c>
      <c r="H784" s="202">
        <f t="shared" si="5"/>
        <v>5.1379999999999999</v>
      </c>
      <c r="I784" s="82"/>
      <c r="J784" s="114"/>
      <c r="BB784" s="117"/>
      <c r="BC784" s="117"/>
      <c r="BD784" s="117"/>
    </row>
    <row r="785" spans="1:56" ht="15">
      <c r="A785" s="114"/>
      <c r="B785" s="246" t="s">
        <v>222</v>
      </c>
      <c r="C785" s="247">
        <v>1</v>
      </c>
      <c r="D785" s="248">
        <v>0.2</v>
      </c>
      <c r="E785" s="249">
        <v>1.125</v>
      </c>
      <c r="F785" s="249">
        <v>3.67</v>
      </c>
      <c r="G785" s="202">
        <f t="shared" si="4"/>
        <v>0.82574999999999998</v>
      </c>
      <c r="H785" s="202">
        <f t="shared" si="5"/>
        <v>8.9915000000000003</v>
      </c>
      <c r="I785" s="82"/>
      <c r="J785" s="114"/>
      <c r="BB785" s="117"/>
      <c r="BC785" s="117"/>
      <c r="BD785" s="117"/>
    </row>
    <row r="786" spans="1:56" ht="15">
      <c r="A786" s="114"/>
      <c r="B786" s="246" t="s">
        <v>223</v>
      </c>
      <c r="C786" s="247">
        <v>1</v>
      </c>
      <c r="D786" s="248">
        <v>0.2</v>
      </c>
      <c r="E786" s="249">
        <v>0.5</v>
      </c>
      <c r="F786" s="249">
        <v>1.82</v>
      </c>
      <c r="G786" s="202">
        <f t="shared" si="4"/>
        <v>0.18200000000000002</v>
      </c>
      <c r="H786" s="202">
        <f t="shared" si="5"/>
        <v>2.1840000000000002</v>
      </c>
      <c r="I786" s="82"/>
      <c r="J786" s="114"/>
      <c r="BB786" s="117"/>
      <c r="BC786" s="117"/>
      <c r="BD786" s="117"/>
    </row>
    <row r="787" spans="1:56" ht="15">
      <c r="A787" s="114"/>
      <c r="B787" s="246" t="s">
        <v>224</v>
      </c>
      <c r="C787" s="247">
        <v>1</v>
      </c>
      <c r="D787" s="248">
        <v>0.2</v>
      </c>
      <c r="E787" s="249">
        <v>0.5</v>
      </c>
      <c r="F787" s="249">
        <v>1.82</v>
      </c>
      <c r="G787" s="202">
        <f t="shared" si="4"/>
        <v>0.18200000000000002</v>
      </c>
      <c r="H787" s="202">
        <f t="shared" si="5"/>
        <v>2.1840000000000002</v>
      </c>
      <c r="I787" s="82"/>
      <c r="J787" s="114"/>
      <c r="BB787" s="117"/>
      <c r="BC787" s="117"/>
      <c r="BD787" s="117"/>
    </row>
    <row r="788" spans="1:56" ht="15">
      <c r="A788" s="114"/>
      <c r="B788" s="246" t="s">
        <v>225</v>
      </c>
      <c r="C788" s="247">
        <v>1</v>
      </c>
      <c r="D788" s="248">
        <v>0.2</v>
      </c>
      <c r="E788" s="249">
        <v>1.125</v>
      </c>
      <c r="F788" s="249">
        <v>1.82</v>
      </c>
      <c r="G788" s="202">
        <f t="shared" si="4"/>
        <v>0.40950000000000003</v>
      </c>
      <c r="H788" s="202">
        <f t="shared" si="5"/>
        <v>4.4590000000000005</v>
      </c>
      <c r="I788" s="82"/>
      <c r="J788" s="114"/>
      <c r="BB788" s="117"/>
      <c r="BC788" s="117"/>
      <c r="BD788" s="117"/>
    </row>
    <row r="789" spans="1:56" ht="15">
      <c r="A789" s="114"/>
      <c r="B789" s="246" t="s">
        <v>226</v>
      </c>
      <c r="C789" s="247">
        <v>1</v>
      </c>
      <c r="D789" s="248">
        <v>0.2</v>
      </c>
      <c r="E789" s="249">
        <v>0.5</v>
      </c>
      <c r="F789" s="249">
        <v>1.65</v>
      </c>
      <c r="G789" s="202">
        <f t="shared" si="4"/>
        <v>0.16500000000000001</v>
      </c>
      <c r="H789" s="202">
        <f t="shared" si="5"/>
        <v>1.9799999999999998</v>
      </c>
      <c r="I789" s="82"/>
      <c r="J789" s="114"/>
      <c r="BB789" s="117"/>
      <c r="BC789" s="117"/>
      <c r="BD789" s="117"/>
    </row>
    <row r="790" spans="1:56" ht="15">
      <c r="A790" s="114"/>
      <c r="B790" s="246" t="s">
        <v>227</v>
      </c>
      <c r="C790" s="247">
        <v>1</v>
      </c>
      <c r="D790" s="248">
        <v>0.2</v>
      </c>
      <c r="E790" s="249">
        <v>0.6</v>
      </c>
      <c r="F790" s="249">
        <v>3.67</v>
      </c>
      <c r="G790" s="202">
        <f t="shared" si="4"/>
        <v>0.44039999999999996</v>
      </c>
      <c r="H790" s="202">
        <f t="shared" si="5"/>
        <v>5.1379999999999999</v>
      </c>
      <c r="I790" s="82"/>
      <c r="J790" s="114"/>
      <c r="BB790" s="117"/>
      <c r="BC790" s="117"/>
      <c r="BD790" s="117"/>
    </row>
    <row r="791" spans="1:56" ht="15">
      <c r="A791" s="114"/>
      <c r="B791" s="246" t="s">
        <v>228</v>
      </c>
      <c r="C791" s="247">
        <v>1</v>
      </c>
      <c r="D791" s="248">
        <v>0.2</v>
      </c>
      <c r="E791" s="249">
        <v>0.6</v>
      </c>
      <c r="F791" s="249">
        <v>1.87</v>
      </c>
      <c r="G791" s="202">
        <f t="shared" si="4"/>
        <v>0.22440000000000002</v>
      </c>
      <c r="H791" s="202">
        <f t="shared" si="5"/>
        <v>2.6179999999999999</v>
      </c>
      <c r="I791" s="82"/>
      <c r="J791" s="114"/>
      <c r="BB791" s="117"/>
      <c r="BC791" s="117"/>
      <c r="BD791" s="117"/>
    </row>
    <row r="792" spans="1:56" ht="15">
      <c r="A792" s="114"/>
      <c r="B792" s="246" t="s">
        <v>1648</v>
      </c>
      <c r="C792" s="247">
        <v>1</v>
      </c>
      <c r="D792" s="248">
        <v>0.2</v>
      </c>
      <c r="E792" s="249">
        <v>1.1000000000000001</v>
      </c>
      <c r="F792" s="249">
        <v>1.8</v>
      </c>
      <c r="G792" s="202">
        <f t="shared" ref="G792" si="6">D792*E792*F792*C792</f>
        <v>0.39600000000000007</v>
      </c>
      <c r="H792" s="202">
        <f t="shared" ref="H792" si="7">((E792*2)+D792)*F792*C792</f>
        <v>4.3200000000000012</v>
      </c>
      <c r="I792" s="82"/>
      <c r="J792" s="114"/>
      <c r="BB792" s="117"/>
      <c r="BC792" s="117"/>
      <c r="BD792" s="117"/>
    </row>
    <row r="793" spans="1:56" ht="15">
      <c r="A793" s="114"/>
      <c r="B793" s="246" t="s">
        <v>229</v>
      </c>
      <c r="C793" s="247">
        <v>1</v>
      </c>
      <c r="D793" s="248">
        <v>0.2</v>
      </c>
      <c r="E793" s="249">
        <v>0.4</v>
      </c>
      <c r="F793" s="249">
        <v>1.87</v>
      </c>
      <c r="G793" s="202">
        <f t="shared" si="4"/>
        <v>0.14960000000000004</v>
      </c>
      <c r="H793" s="202">
        <f t="shared" si="5"/>
        <v>1.87</v>
      </c>
      <c r="I793" s="82"/>
      <c r="J793" s="114"/>
      <c r="BB793" s="117"/>
      <c r="BC793" s="117"/>
      <c r="BD793" s="117"/>
    </row>
    <row r="794" spans="1:56" ht="15">
      <c r="A794" s="114"/>
      <c r="B794" s="246" t="s">
        <v>230</v>
      </c>
      <c r="C794" s="247">
        <v>1</v>
      </c>
      <c r="D794" s="248">
        <v>0.2</v>
      </c>
      <c r="E794" s="249">
        <v>0.3</v>
      </c>
      <c r="F794" s="249">
        <v>1.7</v>
      </c>
      <c r="G794" s="202">
        <f t="shared" si="4"/>
        <v>0.10199999999999999</v>
      </c>
      <c r="H794" s="202">
        <f t="shared" si="5"/>
        <v>1.36</v>
      </c>
      <c r="I794" s="82"/>
      <c r="J794" s="114"/>
      <c r="BB794" s="117"/>
      <c r="BC794" s="117"/>
      <c r="BD794" s="117"/>
    </row>
    <row r="795" spans="1:56" ht="15">
      <c r="A795" s="114"/>
      <c r="B795" s="246" t="s">
        <v>231</v>
      </c>
      <c r="C795" s="247">
        <v>1</v>
      </c>
      <c r="D795" s="248">
        <v>0.2</v>
      </c>
      <c r="E795" s="249">
        <v>0.3</v>
      </c>
      <c r="F795" s="249">
        <v>1.7</v>
      </c>
      <c r="G795" s="202">
        <f t="shared" si="4"/>
        <v>0.10199999999999999</v>
      </c>
      <c r="H795" s="202">
        <f t="shared" si="5"/>
        <v>1.36</v>
      </c>
      <c r="I795" s="82"/>
      <c r="J795" s="114"/>
      <c r="BB795" s="117"/>
      <c r="BC795" s="117"/>
      <c r="BD795" s="117"/>
    </row>
    <row r="796" spans="1:56" ht="15">
      <c r="A796" s="114"/>
      <c r="B796" s="246" t="s">
        <v>232</v>
      </c>
      <c r="C796" s="247">
        <v>1</v>
      </c>
      <c r="D796" s="248">
        <v>0.2</v>
      </c>
      <c r="E796" s="249">
        <v>0.4</v>
      </c>
      <c r="F796" s="249">
        <v>3.7</v>
      </c>
      <c r="G796" s="202">
        <f t="shared" si="4"/>
        <v>0.2960000000000001</v>
      </c>
      <c r="H796" s="202">
        <f t="shared" si="5"/>
        <v>3.7</v>
      </c>
      <c r="I796" s="82"/>
      <c r="J796" s="114"/>
      <c r="BB796" s="117"/>
      <c r="BC796" s="117"/>
      <c r="BD796" s="117"/>
    </row>
    <row r="797" spans="1:56" ht="15">
      <c r="A797" s="114"/>
      <c r="B797" s="246" t="s">
        <v>233</v>
      </c>
      <c r="C797" s="247">
        <v>1</v>
      </c>
      <c r="D797" s="248">
        <v>0.2</v>
      </c>
      <c r="E797" s="249">
        <v>0.5</v>
      </c>
      <c r="F797" s="249">
        <v>5.99</v>
      </c>
      <c r="G797" s="202">
        <f t="shared" si="4"/>
        <v>0.59900000000000009</v>
      </c>
      <c r="H797" s="202">
        <f t="shared" si="5"/>
        <v>7.1879999999999997</v>
      </c>
      <c r="I797" s="82"/>
      <c r="J797" s="114"/>
      <c r="BB797" s="117"/>
      <c r="BC797" s="117"/>
      <c r="BD797" s="117"/>
    </row>
    <row r="798" spans="1:56" ht="15">
      <c r="A798" s="114"/>
      <c r="B798" s="246" t="s">
        <v>234</v>
      </c>
      <c r="C798" s="247">
        <v>1</v>
      </c>
      <c r="D798" s="248">
        <v>0.2</v>
      </c>
      <c r="E798" s="249">
        <v>0.5</v>
      </c>
      <c r="F798" s="249">
        <v>3.54</v>
      </c>
      <c r="G798" s="202">
        <f t="shared" si="4"/>
        <v>0.35400000000000004</v>
      </c>
      <c r="H798" s="202">
        <f t="shared" si="5"/>
        <v>4.2480000000000002</v>
      </c>
      <c r="I798" s="82"/>
      <c r="J798" s="114"/>
      <c r="BB798" s="117"/>
      <c r="BC798" s="117"/>
      <c r="BD798" s="117"/>
    </row>
    <row r="799" spans="1:56" ht="15">
      <c r="A799" s="114"/>
      <c r="B799" s="246" t="s">
        <v>235</v>
      </c>
      <c r="C799" s="247">
        <v>1</v>
      </c>
      <c r="D799" s="248">
        <v>0.2</v>
      </c>
      <c r="E799" s="249">
        <v>0.5</v>
      </c>
      <c r="F799" s="249">
        <v>4.45</v>
      </c>
      <c r="G799" s="202">
        <f t="shared" si="4"/>
        <v>0.44500000000000006</v>
      </c>
      <c r="H799" s="202">
        <f t="shared" si="5"/>
        <v>5.34</v>
      </c>
      <c r="I799" s="82"/>
      <c r="J799" s="114"/>
      <c r="BB799" s="117"/>
      <c r="BC799" s="117"/>
      <c r="BD799" s="117"/>
    </row>
    <row r="800" spans="1:56" ht="15">
      <c r="A800" s="114"/>
      <c r="B800" s="246" t="s">
        <v>236</v>
      </c>
      <c r="C800" s="247">
        <v>1</v>
      </c>
      <c r="D800" s="248">
        <v>0.2</v>
      </c>
      <c r="E800" s="249">
        <v>0.3</v>
      </c>
      <c r="F800" s="249">
        <v>1.7</v>
      </c>
      <c r="G800" s="202">
        <f t="shared" si="4"/>
        <v>0.10199999999999999</v>
      </c>
      <c r="H800" s="202">
        <f t="shared" si="5"/>
        <v>1.36</v>
      </c>
      <c r="I800" s="82"/>
      <c r="J800" s="114"/>
      <c r="BB800" s="117"/>
      <c r="BC800" s="117"/>
      <c r="BD800" s="117"/>
    </row>
    <row r="801" spans="1:56" ht="15">
      <c r="A801" s="114"/>
      <c r="B801" s="246" t="s">
        <v>237</v>
      </c>
      <c r="C801" s="247">
        <v>1</v>
      </c>
      <c r="D801" s="248">
        <v>0.2</v>
      </c>
      <c r="E801" s="249">
        <v>0.3</v>
      </c>
      <c r="F801" s="249">
        <v>1.7</v>
      </c>
      <c r="G801" s="202">
        <f t="shared" si="4"/>
        <v>0.10199999999999999</v>
      </c>
      <c r="H801" s="202">
        <f t="shared" si="5"/>
        <v>1.36</v>
      </c>
      <c r="I801" s="82"/>
      <c r="J801" s="114"/>
      <c r="BB801" s="117"/>
      <c r="BC801" s="117"/>
      <c r="BD801" s="117"/>
    </row>
    <row r="802" spans="1:56" ht="15">
      <c r="A802" s="114"/>
      <c r="B802" s="114"/>
      <c r="C802" s="114"/>
      <c r="D802" s="114"/>
      <c r="E802" s="114"/>
      <c r="F802" s="254" t="s">
        <v>76</v>
      </c>
      <c r="G802" s="258">
        <f>SUM(G774:G801)</f>
        <v>12.566890000000001</v>
      </c>
      <c r="H802" s="258">
        <f>SUM(H774:H801)</f>
        <v>147.75690000000003</v>
      </c>
      <c r="I802" s="82"/>
      <c r="J802" s="114"/>
      <c r="BB802" s="117"/>
      <c r="BC802" s="117"/>
      <c r="BD802" s="117"/>
    </row>
    <row r="803" spans="1:56">
      <c r="A803" s="114"/>
      <c r="B803" s="114"/>
      <c r="C803" s="114"/>
      <c r="D803" s="114"/>
      <c r="E803" s="114"/>
      <c r="F803" s="114"/>
      <c r="G803" s="114"/>
      <c r="H803" s="114"/>
      <c r="I803" s="115"/>
      <c r="J803" s="114"/>
      <c r="BB803" s="117"/>
      <c r="BC803" s="117"/>
      <c r="BD803" s="117"/>
    </row>
    <row r="804" spans="1:56" ht="15">
      <c r="A804" s="114"/>
      <c r="B804" s="242" t="s">
        <v>96</v>
      </c>
      <c r="C804" s="199" t="s">
        <v>61</v>
      </c>
      <c r="D804" s="199" t="s">
        <v>82</v>
      </c>
      <c r="E804" s="199" t="s">
        <v>66</v>
      </c>
      <c r="F804" s="199" t="s">
        <v>62</v>
      </c>
      <c r="G804" s="243" t="s">
        <v>99</v>
      </c>
      <c r="H804" s="243" t="s">
        <v>68</v>
      </c>
      <c r="I804" s="82"/>
      <c r="J804" s="114"/>
      <c r="BB804" s="117"/>
      <c r="BC804" s="117"/>
      <c r="BD804" s="117"/>
    </row>
    <row r="805" spans="1:56" ht="15">
      <c r="A805" s="114"/>
      <c r="B805" s="244" t="s">
        <v>238</v>
      </c>
      <c r="C805" s="200">
        <v>1</v>
      </c>
      <c r="D805" s="245">
        <v>0.5</v>
      </c>
      <c r="E805" s="201">
        <v>0.3</v>
      </c>
      <c r="F805" s="201">
        <v>14.15</v>
      </c>
      <c r="G805" s="202">
        <f t="shared" ref="G805:G860" si="8">D805*E805*F805*C805</f>
        <v>2.1225000000000001</v>
      </c>
      <c r="H805" s="202">
        <f t="shared" ref="H805:H860" si="9">(D805+E805)*2*F805*C805</f>
        <v>22.64</v>
      </c>
      <c r="I805" s="82"/>
      <c r="J805" s="114"/>
      <c r="BB805" s="117"/>
      <c r="BC805" s="117"/>
      <c r="BD805" s="117"/>
    </row>
    <row r="806" spans="1:56" ht="15">
      <c r="A806" s="114"/>
      <c r="B806" s="244" t="s">
        <v>239</v>
      </c>
      <c r="C806" s="200">
        <v>1</v>
      </c>
      <c r="D806" s="245">
        <v>0.25</v>
      </c>
      <c r="E806" s="201">
        <v>0.6</v>
      </c>
      <c r="F806" s="201">
        <v>14.15</v>
      </c>
      <c r="G806" s="202">
        <f t="shared" si="8"/>
        <v>2.1225000000000001</v>
      </c>
      <c r="H806" s="202">
        <f t="shared" si="9"/>
        <v>24.055</v>
      </c>
      <c r="I806" s="82"/>
      <c r="J806" s="114"/>
      <c r="BB806" s="117"/>
      <c r="BC806" s="117"/>
      <c r="BD806" s="117"/>
    </row>
    <row r="807" spans="1:56" ht="15">
      <c r="A807" s="114"/>
      <c r="B807" s="244" t="s">
        <v>240</v>
      </c>
      <c r="C807" s="200">
        <v>1</v>
      </c>
      <c r="D807" s="245">
        <v>0.2</v>
      </c>
      <c r="E807" s="201">
        <v>0.35</v>
      </c>
      <c r="F807" s="201">
        <v>14.15</v>
      </c>
      <c r="G807" s="202">
        <f t="shared" si="8"/>
        <v>0.99049999999999994</v>
      </c>
      <c r="H807" s="202">
        <f t="shared" si="9"/>
        <v>15.565000000000001</v>
      </c>
      <c r="I807" s="82"/>
      <c r="J807" s="114"/>
      <c r="BB807" s="117"/>
      <c r="BC807" s="117"/>
      <c r="BD807" s="117"/>
    </row>
    <row r="808" spans="1:56" ht="15">
      <c r="A808" s="114"/>
      <c r="B808" s="244" t="s">
        <v>241</v>
      </c>
      <c r="C808" s="200">
        <v>1</v>
      </c>
      <c r="D808" s="245">
        <v>0.25</v>
      </c>
      <c r="E808" s="201">
        <v>1</v>
      </c>
      <c r="F808" s="201">
        <v>11.4</v>
      </c>
      <c r="G808" s="202">
        <f t="shared" si="8"/>
        <v>2.85</v>
      </c>
      <c r="H808" s="202">
        <f t="shared" si="9"/>
        <v>28.5</v>
      </c>
      <c r="I808" s="82"/>
      <c r="J808" s="114"/>
      <c r="BB808" s="117"/>
      <c r="BC808" s="117"/>
      <c r="BD808" s="117"/>
    </row>
    <row r="809" spans="1:56" ht="15">
      <c r="A809" s="114"/>
      <c r="B809" s="244" t="s">
        <v>242</v>
      </c>
      <c r="C809" s="200">
        <v>1</v>
      </c>
      <c r="D809" s="245">
        <v>0.2</v>
      </c>
      <c r="E809" s="201">
        <v>0.35</v>
      </c>
      <c r="F809" s="201">
        <v>11.4</v>
      </c>
      <c r="G809" s="202">
        <f t="shared" si="8"/>
        <v>0.79799999999999993</v>
      </c>
      <c r="H809" s="202">
        <f t="shared" si="9"/>
        <v>12.540000000000001</v>
      </c>
      <c r="I809" s="82"/>
      <c r="J809" s="114"/>
      <c r="BB809" s="117"/>
      <c r="BC809" s="117"/>
      <c r="BD809" s="117"/>
    </row>
    <row r="810" spans="1:56" ht="15">
      <c r="A810" s="114"/>
      <c r="B810" s="244" t="s">
        <v>243</v>
      </c>
      <c r="C810" s="200">
        <v>1</v>
      </c>
      <c r="D810" s="245">
        <v>0.25</v>
      </c>
      <c r="E810" s="201">
        <v>0.6</v>
      </c>
      <c r="F810" s="201">
        <v>11.4</v>
      </c>
      <c r="G810" s="202">
        <f t="shared" si="8"/>
        <v>1.71</v>
      </c>
      <c r="H810" s="202">
        <f t="shared" si="9"/>
        <v>19.38</v>
      </c>
      <c r="I810" s="82"/>
      <c r="J810" s="114"/>
      <c r="BB810" s="117"/>
      <c r="BC810" s="117"/>
      <c r="BD810" s="117"/>
    </row>
    <row r="811" spans="1:56" ht="15">
      <c r="A811" s="114"/>
      <c r="B811" s="244" t="s">
        <v>244</v>
      </c>
      <c r="C811" s="200">
        <v>1</v>
      </c>
      <c r="D811" s="201">
        <v>0.35</v>
      </c>
      <c r="E811" s="201">
        <v>0.25</v>
      </c>
      <c r="F811" s="201">
        <v>11.4</v>
      </c>
      <c r="G811" s="202">
        <f t="shared" si="8"/>
        <v>0.99749999999999994</v>
      </c>
      <c r="H811" s="202">
        <f t="shared" si="9"/>
        <v>13.68</v>
      </c>
      <c r="I811" s="82"/>
      <c r="J811" s="114"/>
      <c r="BB811" s="117"/>
      <c r="BC811" s="117"/>
      <c r="BD811" s="117"/>
    </row>
    <row r="812" spans="1:56" ht="15">
      <c r="A812" s="114"/>
      <c r="B812" s="244" t="s">
        <v>245</v>
      </c>
      <c r="C812" s="200">
        <v>1</v>
      </c>
      <c r="D812" s="245">
        <v>0.5</v>
      </c>
      <c r="E812" s="201">
        <v>0.3</v>
      </c>
      <c r="F812" s="249">
        <v>14.15</v>
      </c>
      <c r="G812" s="202">
        <f t="shared" si="8"/>
        <v>2.1225000000000001</v>
      </c>
      <c r="H812" s="202">
        <f t="shared" si="9"/>
        <v>22.64</v>
      </c>
      <c r="I812" s="82"/>
      <c r="J812" s="114"/>
      <c r="BB812" s="117"/>
      <c r="BC812" s="117"/>
      <c r="BD812" s="117"/>
    </row>
    <row r="813" spans="1:56" ht="15">
      <c r="A813" s="114"/>
      <c r="B813" s="246" t="s">
        <v>246</v>
      </c>
      <c r="C813" s="247">
        <v>1</v>
      </c>
      <c r="D813" s="249">
        <v>0.76</v>
      </c>
      <c r="E813" s="249">
        <v>0.3</v>
      </c>
      <c r="F813" s="249">
        <v>6.55</v>
      </c>
      <c r="G813" s="202">
        <f t="shared" si="8"/>
        <v>1.4933999999999998</v>
      </c>
      <c r="H813" s="202">
        <f t="shared" si="9"/>
        <v>13.886000000000001</v>
      </c>
      <c r="I813" s="82"/>
      <c r="J813" s="114"/>
      <c r="BB813" s="117"/>
      <c r="BC813" s="117"/>
      <c r="BD813" s="117"/>
    </row>
    <row r="814" spans="1:56" ht="15">
      <c r="A814" s="114"/>
      <c r="B814" s="246" t="s">
        <v>247</v>
      </c>
      <c r="C814" s="247">
        <v>1</v>
      </c>
      <c r="D814" s="249">
        <v>0.3</v>
      </c>
      <c r="E814" s="249">
        <v>0.2</v>
      </c>
      <c r="F814" s="249">
        <v>8.9</v>
      </c>
      <c r="G814" s="202">
        <f t="shared" si="8"/>
        <v>0.53400000000000003</v>
      </c>
      <c r="H814" s="202">
        <f t="shared" si="9"/>
        <v>8.9</v>
      </c>
      <c r="I814" s="82"/>
      <c r="J814" s="114"/>
      <c r="BB814" s="117"/>
      <c r="BC814" s="117"/>
      <c r="BD814" s="117"/>
    </row>
    <row r="815" spans="1:56" ht="15">
      <c r="A815" s="114"/>
      <c r="B815" s="246" t="s">
        <v>248</v>
      </c>
      <c r="C815" s="247">
        <v>1</v>
      </c>
      <c r="D815" s="249">
        <v>0.4</v>
      </c>
      <c r="E815" s="249">
        <v>0.2</v>
      </c>
      <c r="F815" s="249">
        <v>14.15</v>
      </c>
      <c r="G815" s="202">
        <f t="shared" si="8"/>
        <v>1.1320000000000003</v>
      </c>
      <c r="H815" s="202">
        <f t="shared" si="9"/>
        <v>16.980000000000004</v>
      </c>
      <c r="I815" s="82"/>
      <c r="J815" s="114"/>
      <c r="BB815" s="117"/>
      <c r="BC815" s="117"/>
      <c r="BD815" s="117"/>
    </row>
    <row r="816" spans="1:56" ht="15">
      <c r="A816" s="114"/>
      <c r="B816" s="246" t="s">
        <v>249</v>
      </c>
      <c r="C816" s="247">
        <v>1</v>
      </c>
      <c r="D816" s="249">
        <v>0.2</v>
      </c>
      <c r="E816" s="249">
        <v>0.6</v>
      </c>
      <c r="F816" s="249">
        <v>14.15</v>
      </c>
      <c r="G816" s="202">
        <f t="shared" si="8"/>
        <v>1.698</v>
      </c>
      <c r="H816" s="202">
        <f t="shared" si="9"/>
        <v>22.64</v>
      </c>
      <c r="I816" s="82"/>
      <c r="J816" s="114"/>
      <c r="BB816" s="117"/>
      <c r="BC816" s="117"/>
      <c r="BD816" s="117"/>
    </row>
    <row r="817" spans="1:56" ht="15">
      <c r="A817" s="114"/>
      <c r="B817" s="244" t="s">
        <v>250</v>
      </c>
      <c r="C817" s="200">
        <v>1</v>
      </c>
      <c r="D817" s="245">
        <v>0.2</v>
      </c>
      <c r="E817" s="201">
        <v>0.6</v>
      </c>
      <c r="F817" s="201">
        <v>11.4</v>
      </c>
      <c r="G817" s="202">
        <f t="shared" si="8"/>
        <v>1.3679999999999999</v>
      </c>
      <c r="H817" s="202">
        <f t="shared" si="9"/>
        <v>18.240000000000002</v>
      </c>
      <c r="I817" s="82"/>
      <c r="J817" s="114"/>
      <c r="BB817" s="117"/>
      <c r="BC817" s="117"/>
      <c r="BD817" s="117"/>
    </row>
    <row r="818" spans="1:56" ht="15">
      <c r="A818" s="114"/>
      <c r="B818" s="244" t="s">
        <v>251</v>
      </c>
      <c r="C818" s="200">
        <v>1</v>
      </c>
      <c r="D818" s="245">
        <v>0.2</v>
      </c>
      <c r="E818" s="201">
        <v>1</v>
      </c>
      <c r="F818" s="201">
        <v>11.4</v>
      </c>
      <c r="G818" s="202">
        <f t="shared" si="8"/>
        <v>2.2800000000000002</v>
      </c>
      <c r="H818" s="202">
        <f t="shared" si="9"/>
        <v>27.36</v>
      </c>
      <c r="I818" s="82"/>
      <c r="J818" s="114"/>
      <c r="BB818" s="117"/>
      <c r="BC818" s="117"/>
      <c r="BD818" s="117"/>
    </row>
    <row r="819" spans="1:56" ht="15">
      <c r="A819" s="114"/>
      <c r="B819" s="246" t="s">
        <v>252</v>
      </c>
      <c r="C819" s="247">
        <v>1</v>
      </c>
      <c r="D819" s="249">
        <v>0.4</v>
      </c>
      <c r="E819" s="249">
        <v>0.2</v>
      </c>
      <c r="F819" s="249">
        <v>11.4</v>
      </c>
      <c r="G819" s="202">
        <f t="shared" si="8"/>
        <v>0.91200000000000025</v>
      </c>
      <c r="H819" s="202">
        <f t="shared" si="9"/>
        <v>13.680000000000003</v>
      </c>
      <c r="I819" s="82"/>
      <c r="J819" s="114"/>
      <c r="BB819" s="117"/>
      <c r="BC819" s="117"/>
      <c r="BD819" s="117"/>
    </row>
    <row r="820" spans="1:56" ht="15">
      <c r="A820" s="114"/>
      <c r="B820" s="246" t="s">
        <v>253</v>
      </c>
      <c r="C820" s="247">
        <v>1</v>
      </c>
      <c r="D820" s="249">
        <v>0.2</v>
      </c>
      <c r="E820" s="249">
        <v>0.6</v>
      </c>
      <c r="F820" s="249">
        <v>11.4</v>
      </c>
      <c r="G820" s="202">
        <f t="shared" si="8"/>
        <v>1.3679999999999999</v>
      </c>
      <c r="H820" s="202">
        <f t="shared" si="9"/>
        <v>18.240000000000002</v>
      </c>
      <c r="I820" s="82"/>
      <c r="J820" s="114"/>
      <c r="BB820" s="117"/>
      <c r="BC820" s="117"/>
      <c r="BD820" s="117"/>
    </row>
    <row r="821" spans="1:56" ht="15">
      <c r="A821" s="114"/>
      <c r="B821" s="246" t="s">
        <v>254</v>
      </c>
      <c r="C821" s="247">
        <v>1</v>
      </c>
      <c r="D821" s="249">
        <v>0.76</v>
      </c>
      <c r="E821" s="249">
        <v>0.3</v>
      </c>
      <c r="F821" s="249">
        <v>6.55</v>
      </c>
      <c r="G821" s="202">
        <f t="shared" si="8"/>
        <v>1.4933999999999998</v>
      </c>
      <c r="H821" s="202">
        <f t="shared" si="9"/>
        <v>13.886000000000001</v>
      </c>
      <c r="I821" s="82"/>
      <c r="J821" s="114"/>
      <c r="BB821" s="117"/>
      <c r="BC821" s="117"/>
      <c r="BD821" s="117"/>
    </row>
    <row r="822" spans="1:56" ht="15">
      <c r="A822" s="114"/>
      <c r="B822" s="246" t="s">
        <v>255</v>
      </c>
      <c r="C822" s="247">
        <v>1</v>
      </c>
      <c r="D822" s="249">
        <v>0.76</v>
      </c>
      <c r="E822" s="249">
        <v>0.3</v>
      </c>
      <c r="F822" s="249">
        <v>5.36</v>
      </c>
      <c r="G822" s="202">
        <f t="shared" si="8"/>
        <v>1.2220800000000001</v>
      </c>
      <c r="H822" s="202">
        <f t="shared" si="9"/>
        <v>11.363200000000001</v>
      </c>
      <c r="I822" s="82"/>
      <c r="J822" s="114"/>
      <c r="BB822" s="117"/>
      <c r="BC822" s="117"/>
      <c r="BD822" s="117"/>
    </row>
    <row r="823" spans="1:56" ht="15">
      <c r="A823" s="114"/>
      <c r="B823" s="246" t="s">
        <v>256</v>
      </c>
      <c r="C823" s="247">
        <v>1</v>
      </c>
      <c r="D823" s="249">
        <v>0.4</v>
      </c>
      <c r="E823" s="249">
        <v>0.3</v>
      </c>
      <c r="F823" s="249">
        <v>14.15</v>
      </c>
      <c r="G823" s="202">
        <f t="shared" si="8"/>
        <v>1.698</v>
      </c>
      <c r="H823" s="202">
        <f t="shared" si="9"/>
        <v>19.809999999999999</v>
      </c>
      <c r="I823" s="82"/>
      <c r="J823" s="114"/>
      <c r="BB823" s="117"/>
      <c r="BC823" s="117"/>
      <c r="BD823" s="117"/>
    </row>
    <row r="824" spans="1:56" ht="15">
      <c r="A824" s="114"/>
      <c r="B824" s="246" t="s">
        <v>257</v>
      </c>
      <c r="C824" s="247">
        <v>1</v>
      </c>
      <c r="D824" s="249">
        <v>0.4</v>
      </c>
      <c r="E824" s="249">
        <v>0.3</v>
      </c>
      <c r="F824" s="249">
        <v>14.15</v>
      </c>
      <c r="G824" s="202">
        <f t="shared" si="8"/>
        <v>1.698</v>
      </c>
      <c r="H824" s="202">
        <f t="shared" si="9"/>
        <v>19.809999999999999</v>
      </c>
      <c r="I824" s="82"/>
      <c r="J824" s="114"/>
      <c r="BB824" s="117"/>
      <c r="BC824" s="117"/>
      <c r="BD824" s="117"/>
    </row>
    <row r="825" spans="1:56" ht="15">
      <c r="A825" s="114"/>
      <c r="B825" s="246" t="s">
        <v>258</v>
      </c>
      <c r="C825" s="247">
        <v>1</v>
      </c>
      <c r="D825" s="249">
        <v>0.76</v>
      </c>
      <c r="E825" s="249">
        <v>0.3</v>
      </c>
      <c r="F825" s="249">
        <v>5.36</v>
      </c>
      <c r="G825" s="202">
        <f t="shared" si="8"/>
        <v>1.2220800000000001</v>
      </c>
      <c r="H825" s="202">
        <f t="shared" si="9"/>
        <v>11.363200000000001</v>
      </c>
      <c r="I825" s="82"/>
      <c r="J825" s="114"/>
      <c r="BB825" s="117"/>
      <c r="BC825" s="117"/>
      <c r="BD825" s="117"/>
    </row>
    <row r="826" spans="1:56" ht="15">
      <c r="A826" s="114"/>
      <c r="B826" s="246" t="s">
        <v>259</v>
      </c>
      <c r="C826" s="247">
        <v>1</v>
      </c>
      <c r="D826" s="249">
        <v>0.76</v>
      </c>
      <c r="E826" s="249">
        <v>0.3</v>
      </c>
      <c r="F826" s="249">
        <v>14.15</v>
      </c>
      <c r="G826" s="202">
        <f t="shared" si="8"/>
        <v>3.2262</v>
      </c>
      <c r="H826" s="202">
        <f t="shared" si="9"/>
        <v>29.998000000000001</v>
      </c>
      <c r="I826" s="82"/>
      <c r="J826" s="114"/>
      <c r="BB826" s="117"/>
      <c r="BC826" s="117"/>
      <c r="BD826" s="117"/>
    </row>
    <row r="827" spans="1:56" ht="15">
      <c r="A827" s="114"/>
      <c r="B827" s="246" t="s">
        <v>260</v>
      </c>
      <c r="C827" s="247">
        <v>1</v>
      </c>
      <c r="D827" s="249">
        <v>0.4</v>
      </c>
      <c r="E827" s="249">
        <v>0.3</v>
      </c>
      <c r="F827" s="249">
        <v>14.15</v>
      </c>
      <c r="G827" s="202">
        <f t="shared" si="8"/>
        <v>1.698</v>
      </c>
      <c r="H827" s="202">
        <f t="shared" si="9"/>
        <v>19.809999999999999</v>
      </c>
      <c r="I827" s="82"/>
      <c r="J827" s="114"/>
      <c r="BB827" s="117"/>
      <c r="BC827" s="117"/>
      <c r="BD827" s="117"/>
    </row>
    <row r="828" spans="1:56" ht="15">
      <c r="A828" s="114"/>
      <c r="B828" s="246" t="s">
        <v>261</v>
      </c>
      <c r="C828" s="247">
        <v>1</v>
      </c>
      <c r="D828" s="249">
        <v>0.4</v>
      </c>
      <c r="E828" s="249">
        <v>0.3</v>
      </c>
      <c r="F828" s="249">
        <v>14.15</v>
      </c>
      <c r="G828" s="202">
        <f t="shared" si="8"/>
        <v>1.698</v>
      </c>
      <c r="H828" s="202">
        <f t="shared" si="9"/>
        <v>19.809999999999999</v>
      </c>
      <c r="I828" s="82"/>
      <c r="J828" s="114"/>
      <c r="BB828" s="117"/>
      <c r="BC828" s="117"/>
      <c r="BD828" s="117"/>
    </row>
    <row r="829" spans="1:56" ht="15">
      <c r="A829" s="114"/>
      <c r="B829" s="246" t="s">
        <v>262</v>
      </c>
      <c r="C829" s="247">
        <v>1</v>
      </c>
      <c r="D829" s="249">
        <v>0.76</v>
      </c>
      <c r="E829" s="249">
        <v>0.3</v>
      </c>
      <c r="F829" s="249">
        <v>14.15</v>
      </c>
      <c r="G829" s="202">
        <f t="shared" si="8"/>
        <v>3.2262</v>
      </c>
      <c r="H829" s="202">
        <f t="shared" si="9"/>
        <v>29.998000000000001</v>
      </c>
      <c r="I829" s="82"/>
      <c r="J829" s="114"/>
      <c r="BB829" s="117"/>
      <c r="BC829" s="117"/>
      <c r="BD829" s="117"/>
    </row>
    <row r="830" spans="1:56" ht="15">
      <c r="A830" s="114"/>
      <c r="B830" s="246" t="s">
        <v>263</v>
      </c>
      <c r="C830" s="247">
        <v>1</v>
      </c>
      <c r="D830" s="249">
        <v>0.5</v>
      </c>
      <c r="E830" s="249">
        <v>0.3</v>
      </c>
      <c r="F830" s="249">
        <v>10</v>
      </c>
      <c r="G830" s="202">
        <f t="shared" si="8"/>
        <v>1.5</v>
      </c>
      <c r="H830" s="202">
        <f t="shared" si="9"/>
        <v>16</v>
      </c>
      <c r="I830" s="82"/>
      <c r="J830" s="114"/>
      <c r="BB830" s="117"/>
      <c r="BC830" s="117"/>
      <c r="BD830" s="117"/>
    </row>
    <row r="831" spans="1:56" ht="15">
      <c r="A831" s="114"/>
      <c r="B831" s="246" t="s">
        <v>264</v>
      </c>
      <c r="C831" s="247">
        <v>1</v>
      </c>
      <c r="D831" s="249">
        <v>0.6</v>
      </c>
      <c r="E831" s="249">
        <v>0.3</v>
      </c>
      <c r="F831" s="249">
        <v>10</v>
      </c>
      <c r="G831" s="202">
        <f t="shared" si="8"/>
        <v>1.7999999999999998</v>
      </c>
      <c r="H831" s="202">
        <f t="shared" si="9"/>
        <v>18</v>
      </c>
      <c r="I831" s="82"/>
      <c r="J831" s="114"/>
      <c r="BB831" s="117"/>
      <c r="BC831" s="117"/>
      <c r="BD831" s="117"/>
    </row>
    <row r="832" spans="1:56" ht="15">
      <c r="A832" s="114"/>
      <c r="B832" s="246" t="s">
        <v>265</v>
      </c>
      <c r="C832" s="247">
        <v>1</v>
      </c>
      <c r="D832" s="249">
        <v>0.5</v>
      </c>
      <c r="E832" s="249">
        <v>0.3</v>
      </c>
      <c r="F832" s="249">
        <v>10</v>
      </c>
      <c r="G832" s="202">
        <f t="shared" si="8"/>
        <v>1.5</v>
      </c>
      <c r="H832" s="202">
        <f t="shared" si="9"/>
        <v>16</v>
      </c>
      <c r="I832" s="82"/>
      <c r="J832" s="114"/>
      <c r="BB832" s="117"/>
      <c r="BC832" s="117"/>
      <c r="BD832" s="117"/>
    </row>
    <row r="833" spans="1:56" ht="15">
      <c r="A833" s="114"/>
      <c r="B833" s="246" t="s">
        <v>266</v>
      </c>
      <c r="C833" s="247">
        <v>1</v>
      </c>
      <c r="D833" s="249">
        <v>0.5</v>
      </c>
      <c r="E833" s="249">
        <v>0.3</v>
      </c>
      <c r="F833" s="249">
        <v>10</v>
      </c>
      <c r="G833" s="202">
        <f t="shared" si="8"/>
        <v>1.5</v>
      </c>
      <c r="H833" s="202">
        <f t="shared" si="9"/>
        <v>16</v>
      </c>
      <c r="I833" s="82"/>
      <c r="J833" s="114"/>
      <c r="BB833" s="117"/>
      <c r="BC833" s="117"/>
      <c r="BD833" s="117"/>
    </row>
    <row r="834" spans="1:56" ht="15">
      <c r="A834" s="114"/>
      <c r="B834" s="246" t="s">
        <v>267</v>
      </c>
      <c r="C834" s="247">
        <v>1</v>
      </c>
      <c r="D834" s="249">
        <v>0.6</v>
      </c>
      <c r="E834" s="249">
        <v>0.3</v>
      </c>
      <c r="F834" s="249">
        <v>10</v>
      </c>
      <c r="G834" s="202">
        <f t="shared" si="8"/>
        <v>1.7999999999999998</v>
      </c>
      <c r="H834" s="202">
        <f t="shared" si="9"/>
        <v>18</v>
      </c>
      <c r="I834" s="82"/>
      <c r="J834" s="114"/>
      <c r="BB834" s="117"/>
      <c r="BC834" s="117"/>
      <c r="BD834" s="117"/>
    </row>
    <row r="835" spans="1:56" ht="15">
      <c r="A835" s="114"/>
      <c r="B835" s="246" t="s">
        <v>268</v>
      </c>
      <c r="C835" s="247">
        <v>1</v>
      </c>
      <c r="D835" s="249">
        <v>0.5</v>
      </c>
      <c r="E835" s="249">
        <v>0.3</v>
      </c>
      <c r="F835" s="249">
        <v>10</v>
      </c>
      <c r="G835" s="202">
        <f t="shared" si="8"/>
        <v>1.5</v>
      </c>
      <c r="H835" s="202">
        <f t="shared" si="9"/>
        <v>16</v>
      </c>
      <c r="I835" s="82"/>
      <c r="J835" s="114"/>
      <c r="BB835" s="117"/>
      <c r="BC835" s="117"/>
      <c r="BD835" s="117"/>
    </row>
    <row r="836" spans="1:56" ht="15">
      <c r="A836" s="114"/>
      <c r="B836" s="246" t="s">
        <v>269</v>
      </c>
      <c r="C836" s="247">
        <v>1</v>
      </c>
      <c r="D836" s="249">
        <v>0.5</v>
      </c>
      <c r="E836" s="249">
        <v>0.3</v>
      </c>
      <c r="F836" s="249">
        <v>10</v>
      </c>
      <c r="G836" s="202">
        <f t="shared" si="8"/>
        <v>1.5</v>
      </c>
      <c r="H836" s="202">
        <f t="shared" si="9"/>
        <v>16</v>
      </c>
      <c r="I836" s="82"/>
      <c r="J836" s="114"/>
      <c r="BB836" s="117"/>
      <c r="BC836" s="117"/>
      <c r="BD836" s="117"/>
    </row>
    <row r="837" spans="1:56" ht="15">
      <c r="A837" s="114"/>
      <c r="B837" s="246" t="s">
        <v>270</v>
      </c>
      <c r="C837" s="247">
        <v>1</v>
      </c>
      <c r="D837" s="249">
        <v>0.6</v>
      </c>
      <c r="E837" s="249">
        <v>0.3</v>
      </c>
      <c r="F837" s="249">
        <v>10</v>
      </c>
      <c r="G837" s="202">
        <f t="shared" si="8"/>
        <v>1.7999999999999998</v>
      </c>
      <c r="H837" s="202">
        <f t="shared" si="9"/>
        <v>18</v>
      </c>
      <c r="I837" s="82"/>
      <c r="J837" s="114"/>
      <c r="BB837" s="117"/>
      <c r="BC837" s="117"/>
      <c r="BD837" s="117"/>
    </row>
    <row r="838" spans="1:56" ht="15">
      <c r="A838" s="114"/>
      <c r="B838" s="246" t="s">
        <v>271</v>
      </c>
      <c r="C838" s="247">
        <v>1</v>
      </c>
      <c r="D838" s="249">
        <v>0.5</v>
      </c>
      <c r="E838" s="249">
        <v>0.3</v>
      </c>
      <c r="F838" s="249">
        <v>10</v>
      </c>
      <c r="G838" s="202">
        <f t="shared" si="8"/>
        <v>1.5</v>
      </c>
      <c r="H838" s="202">
        <f t="shared" si="9"/>
        <v>16</v>
      </c>
      <c r="I838" s="82"/>
      <c r="J838" s="114"/>
      <c r="BB838" s="117"/>
      <c r="BC838" s="117"/>
      <c r="BD838" s="117"/>
    </row>
    <row r="839" spans="1:56" ht="15">
      <c r="A839" s="114"/>
      <c r="B839" s="246" t="s">
        <v>272</v>
      </c>
      <c r="C839" s="247">
        <v>1</v>
      </c>
      <c r="D839" s="249">
        <v>0.5</v>
      </c>
      <c r="E839" s="249">
        <v>0.3</v>
      </c>
      <c r="F839" s="249">
        <v>10</v>
      </c>
      <c r="G839" s="202">
        <f t="shared" si="8"/>
        <v>1.5</v>
      </c>
      <c r="H839" s="202">
        <f t="shared" si="9"/>
        <v>16</v>
      </c>
      <c r="I839" s="82"/>
      <c r="J839" s="114"/>
      <c r="BB839" s="117"/>
      <c r="BC839" s="117"/>
      <c r="BD839" s="117"/>
    </row>
    <row r="840" spans="1:56" ht="15">
      <c r="A840" s="114"/>
      <c r="B840" s="246" t="s">
        <v>273</v>
      </c>
      <c r="C840" s="247">
        <v>1</v>
      </c>
      <c r="D840" s="249">
        <v>0.6</v>
      </c>
      <c r="E840" s="249">
        <v>0.3</v>
      </c>
      <c r="F840" s="249">
        <v>10</v>
      </c>
      <c r="G840" s="202">
        <f t="shared" si="8"/>
        <v>1.7999999999999998</v>
      </c>
      <c r="H840" s="202">
        <f t="shared" si="9"/>
        <v>18</v>
      </c>
      <c r="I840" s="82"/>
      <c r="J840" s="114"/>
      <c r="BB840" s="117"/>
      <c r="BC840" s="117"/>
      <c r="BD840" s="117"/>
    </row>
    <row r="841" spans="1:56" ht="15">
      <c r="A841" s="114"/>
      <c r="B841" s="246" t="s">
        <v>274</v>
      </c>
      <c r="C841" s="247">
        <v>1</v>
      </c>
      <c r="D841" s="249">
        <v>0.5</v>
      </c>
      <c r="E841" s="249">
        <v>0.3</v>
      </c>
      <c r="F841" s="249">
        <v>10</v>
      </c>
      <c r="G841" s="202">
        <f t="shared" si="8"/>
        <v>1.5</v>
      </c>
      <c r="H841" s="202">
        <f t="shared" si="9"/>
        <v>16</v>
      </c>
      <c r="I841" s="82"/>
      <c r="J841" s="114"/>
      <c r="BB841" s="117"/>
      <c r="BC841" s="117"/>
      <c r="BD841" s="117"/>
    </row>
    <row r="842" spans="1:56" ht="15">
      <c r="A842" s="114"/>
      <c r="B842" s="246" t="s">
        <v>275</v>
      </c>
      <c r="C842" s="247">
        <v>1</v>
      </c>
      <c r="D842" s="249">
        <v>0.5</v>
      </c>
      <c r="E842" s="249">
        <v>0.3</v>
      </c>
      <c r="F842" s="249">
        <v>10</v>
      </c>
      <c r="G842" s="202">
        <f t="shared" si="8"/>
        <v>1.5</v>
      </c>
      <c r="H842" s="202">
        <f t="shared" si="9"/>
        <v>16</v>
      </c>
      <c r="I842" s="82"/>
      <c r="J842" s="114"/>
      <c r="BB842" s="117"/>
      <c r="BC842" s="117"/>
      <c r="BD842" s="117"/>
    </row>
    <row r="843" spans="1:56" ht="15">
      <c r="A843" s="114"/>
      <c r="B843" s="246" t="s">
        <v>276</v>
      </c>
      <c r="C843" s="247">
        <v>1</v>
      </c>
      <c r="D843" s="249">
        <v>0.6</v>
      </c>
      <c r="E843" s="249">
        <v>0.3</v>
      </c>
      <c r="F843" s="249">
        <v>10</v>
      </c>
      <c r="G843" s="202">
        <f t="shared" si="8"/>
        <v>1.7999999999999998</v>
      </c>
      <c r="H843" s="202">
        <f t="shared" si="9"/>
        <v>18</v>
      </c>
      <c r="I843" s="82"/>
      <c r="J843" s="114"/>
      <c r="BB843" s="117"/>
      <c r="BC843" s="117"/>
      <c r="BD843" s="117"/>
    </row>
    <row r="844" spans="1:56" ht="15">
      <c r="A844" s="114"/>
      <c r="B844" s="246" t="s">
        <v>277</v>
      </c>
      <c r="C844" s="247">
        <v>1</v>
      </c>
      <c r="D844" s="249">
        <v>0.5</v>
      </c>
      <c r="E844" s="249">
        <v>0.3</v>
      </c>
      <c r="F844" s="249">
        <v>10</v>
      </c>
      <c r="G844" s="202">
        <f t="shared" si="8"/>
        <v>1.5</v>
      </c>
      <c r="H844" s="202">
        <f t="shared" si="9"/>
        <v>16</v>
      </c>
      <c r="I844" s="82"/>
      <c r="J844" s="114"/>
      <c r="BB844" s="117"/>
      <c r="BC844" s="117"/>
      <c r="BD844" s="117"/>
    </row>
    <row r="845" spans="1:56" ht="15">
      <c r="A845" s="114"/>
      <c r="B845" s="246" t="s">
        <v>278</v>
      </c>
      <c r="C845" s="247">
        <v>1</v>
      </c>
      <c r="D845" s="249">
        <v>0.5</v>
      </c>
      <c r="E845" s="249">
        <v>0.3</v>
      </c>
      <c r="F845" s="249">
        <v>10</v>
      </c>
      <c r="G845" s="202">
        <f t="shared" si="8"/>
        <v>1.5</v>
      </c>
      <c r="H845" s="202">
        <f t="shared" si="9"/>
        <v>16</v>
      </c>
      <c r="I845" s="82"/>
      <c r="J845" s="114"/>
      <c r="BB845" s="117"/>
      <c r="BC845" s="117"/>
      <c r="BD845" s="117"/>
    </row>
    <row r="846" spans="1:56" ht="15">
      <c r="A846" s="114"/>
      <c r="B846" s="246" t="s">
        <v>279</v>
      </c>
      <c r="C846" s="247">
        <v>1</v>
      </c>
      <c r="D846" s="249">
        <v>0.6</v>
      </c>
      <c r="E846" s="249">
        <v>0.3</v>
      </c>
      <c r="F846" s="249">
        <v>10</v>
      </c>
      <c r="G846" s="202">
        <f t="shared" si="8"/>
        <v>1.7999999999999998</v>
      </c>
      <c r="H846" s="202">
        <f t="shared" si="9"/>
        <v>18</v>
      </c>
      <c r="I846" s="82"/>
      <c r="J846" s="114"/>
      <c r="BB846" s="117"/>
      <c r="BC846" s="117"/>
      <c r="BD846" s="117"/>
    </row>
    <row r="847" spans="1:56" ht="15">
      <c r="A847" s="114"/>
      <c r="B847" s="246" t="s">
        <v>280</v>
      </c>
      <c r="C847" s="247">
        <v>1</v>
      </c>
      <c r="D847" s="249">
        <v>0.5</v>
      </c>
      <c r="E847" s="249">
        <v>0.3</v>
      </c>
      <c r="F847" s="249">
        <v>10</v>
      </c>
      <c r="G847" s="202">
        <f t="shared" si="8"/>
        <v>1.5</v>
      </c>
      <c r="H847" s="202">
        <f t="shared" si="9"/>
        <v>16</v>
      </c>
      <c r="I847" s="82"/>
      <c r="J847" s="114"/>
      <c r="BB847" s="117"/>
      <c r="BC847" s="117"/>
      <c r="BD847" s="117"/>
    </row>
    <row r="848" spans="1:56" ht="15">
      <c r="A848" s="114"/>
      <c r="B848" s="246" t="s">
        <v>281</v>
      </c>
      <c r="C848" s="247">
        <v>1</v>
      </c>
      <c r="D848" s="249">
        <v>0.5</v>
      </c>
      <c r="E848" s="249">
        <v>0.3</v>
      </c>
      <c r="F848" s="249">
        <v>10</v>
      </c>
      <c r="G848" s="202">
        <f t="shared" si="8"/>
        <v>1.5</v>
      </c>
      <c r="H848" s="202">
        <f t="shared" si="9"/>
        <v>16</v>
      </c>
      <c r="I848" s="82"/>
      <c r="J848" s="114"/>
      <c r="BB848" s="117"/>
      <c r="BC848" s="117"/>
      <c r="BD848" s="117"/>
    </row>
    <row r="849" spans="1:56" ht="15">
      <c r="A849" s="114"/>
      <c r="B849" s="246" t="s">
        <v>282</v>
      </c>
      <c r="C849" s="247">
        <v>1</v>
      </c>
      <c r="D849" s="249">
        <v>0.6</v>
      </c>
      <c r="E849" s="249">
        <v>0.3</v>
      </c>
      <c r="F849" s="249">
        <v>10</v>
      </c>
      <c r="G849" s="202">
        <f t="shared" si="8"/>
        <v>1.7999999999999998</v>
      </c>
      <c r="H849" s="202">
        <f t="shared" si="9"/>
        <v>18</v>
      </c>
      <c r="I849" s="82"/>
      <c r="J849" s="114"/>
      <c r="BB849" s="117"/>
      <c r="BC849" s="117"/>
      <c r="BD849" s="117"/>
    </row>
    <row r="850" spans="1:56" ht="15">
      <c r="A850" s="114"/>
      <c r="B850" s="246" t="s">
        <v>283</v>
      </c>
      <c r="C850" s="247">
        <v>1</v>
      </c>
      <c r="D850" s="249">
        <v>0.5</v>
      </c>
      <c r="E850" s="249">
        <v>0.3</v>
      </c>
      <c r="F850" s="249">
        <v>10</v>
      </c>
      <c r="G850" s="202">
        <f t="shared" si="8"/>
        <v>1.5</v>
      </c>
      <c r="H850" s="202">
        <f t="shared" si="9"/>
        <v>16</v>
      </c>
      <c r="I850" s="82"/>
      <c r="J850" s="114"/>
      <c r="BB850" s="117"/>
      <c r="BC850" s="117"/>
      <c r="BD850" s="117"/>
    </row>
    <row r="851" spans="1:56" ht="15">
      <c r="A851" s="114"/>
      <c r="B851" s="244" t="s">
        <v>284</v>
      </c>
      <c r="C851" s="200">
        <v>1</v>
      </c>
      <c r="D851" s="201">
        <v>0.2</v>
      </c>
      <c r="E851" s="201">
        <v>0.2</v>
      </c>
      <c r="F851" s="201">
        <v>1.85</v>
      </c>
      <c r="G851" s="202">
        <f t="shared" si="8"/>
        <v>7.4000000000000024E-2</v>
      </c>
      <c r="H851" s="202">
        <f t="shared" si="9"/>
        <v>1.4800000000000002</v>
      </c>
      <c r="I851" s="82"/>
      <c r="J851" s="114"/>
      <c r="BB851" s="117"/>
      <c r="BC851" s="117"/>
      <c r="BD851" s="117"/>
    </row>
    <row r="852" spans="1:56" ht="15">
      <c r="A852" s="114"/>
      <c r="B852" s="244" t="s">
        <v>285</v>
      </c>
      <c r="C852" s="200">
        <v>1</v>
      </c>
      <c r="D852" s="201">
        <v>0.2</v>
      </c>
      <c r="E852" s="201">
        <v>0.2</v>
      </c>
      <c r="F852" s="201">
        <v>1.85</v>
      </c>
      <c r="G852" s="202">
        <f t="shared" si="8"/>
        <v>7.4000000000000024E-2</v>
      </c>
      <c r="H852" s="202">
        <f t="shared" si="9"/>
        <v>1.4800000000000002</v>
      </c>
      <c r="I852" s="82"/>
      <c r="J852" s="114"/>
      <c r="BB852" s="117"/>
      <c r="BC852" s="117"/>
      <c r="BD852" s="117"/>
    </row>
    <row r="853" spans="1:56" ht="15">
      <c r="A853" s="114"/>
      <c r="B853" s="244" t="s">
        <v>286</v>
      </c>
      <c r="C853" s="200">
        <v>1</v>
      </c>
      <c r="D853" s="201">
        <v>0.2</v>
      </c>
      <c r="E853" s="201">
        <v>0.2</v>
      </c>
      <c r="F853" s="201">
        <v>1.2250000000000001</v>
      </c>
      <c r="G853" s="202">
        <f t="shared" si="8"/>
        <v>4.9000000000000016E-2</v>
      </c>
      <c r="H853" s="202">
        <f t="shared" si="9"/>
        <v>0.98000000000000009</v>
      </c>
      <c r="I853" s="82"/>
      <c r="J853" s="114"/>
      <c r="BB853" s="117"/>
      <c r="BC853" s="117"/>
      <c r="BD853" s="117"/>
    </row>
    <row r="854" spans="1:56" ht="15">
      <c r="A854" s="114"/>
      <c r="B854" s="244" t="s">
        <v>287</v>
      </c>
      <c r="C854" s="200">
        <v>1</v>
      </c>
      <c r="D854" s="201">
        <v>0.2</v>
      </c>
      <c r="E854" s="201">
        <v>0.2</v>
      </c>
      <c r="F854" s="201">
        <v>1.2250000000000001</v>
      </c>
      <c r="G854" s="202">
        <f t="shared" si="8"/>
        <v>4.9000000000000016E-2</v>
      </c>
      <c r="H854" s="202">
        <f t="shared" si="9"/>
        <v>0.98000000000000009</v>
      </c>
      <c r="I854" s="82"/>
      <c r="J854" s="114"/>
      <c r="BB854" s="117"/>
      <c r="BC854" s="117"/>
      <c r="BD854" s="117"/>
    </row>
    <row r="855" spans="1:56" ht="15">
      <c r="A855" s="114"/>
      <c r="B855" s="244" t="s">
        <v>288</v>
      </c>
      <c r="C855" s="200">
        <v>1</v>
      </c>
      <c r="D855" s="201">
        <v>0.2</v>
      </c>
      <c r="E855" s="201">
        <v>0.2</v>
      </c>
      <c r="F855" s="201">
        <v>1.85</v>
      </c>
      <c r="G855" s="202">
        <f t="shared" si="8"/>
        <v>7.4000000000000024E-2</v>
      </c>
      <c r="H855" s="202">
        <f t="shared" si="9"/>
        <v>1.4800000000000002</v>
      </c>
      <c r="I855" s="82"/>
      <c r="J855" s="114"/>
      <c r="BB855" s="117"/>
      <c r="BC855" s="117"/>
      <c r="BD855" s="117"/>
    </row>
    <row r="856" spans="1:56" ht="15">
      <c r="A856" s="114"/>
      <c r="B856" s="244" t="s">
        <v>289</v>
      </c>
      <c r="C856" s="200">
        <v>1</v>
      </c>
      <c r="D856" s="201">
        <v>0.2</v>
      </c>
      <c r="E856" s="201">
        <v>0.2</v>
      </c>
      <c r="F856" s="201">
        <v>1.85</v>
      </c>
      <c r="G856" s="202">
        <f t="shared" si="8"/>
        <v>7.4000000000000024E-2</v>
      </c>
      <c r="H856" s="202">
        <f t="shared" si="9"/>
        <v>1.4800000000000002</v>
      </c>
      <c r="I856" s="82"/>
      <c r="J856" s="114"/>
      <c r="BB856" s="117"/>
      <c r="BC856" s="117"/>
      <c r="BD856" s="117"/>
    </row>
    <row r="857" spans="1:56" ht="15">
      <c r="A857" s="114"/>
      <c r="B857" s="244" t="s">
        <v>290</v>
      </c>
      <c r="C857" s="200">
        <v>1</v>
      </c>
      <c r="D857" s="201">
        <v>0.2</v>
      </c>
      <c r="E857" s="201">
        <v>0.2</v>
      </c>
      <c r="F857" s="201">
        <v>1.2250000000000001</v>
      </c>
      <c r="G857" s="202">
        <f t="shared" si="8"/>
        <v>4.9000000000000016E-2</v>
      </c>
      <c r="H857" s="202">
        <f t="shared" si="9"/>
        <v>0.98000000000000009</v>
      </c>
      <c r="I857" s="82"/>
      <c r="J857" s="114"/>
      <c r="BB857" s="117"/>
      <c r="BC857" s="117"/>
      <c r="BD857" s="117"/>
    </row>
    <row r="858" spans="1:56" ht="15">
      <c r="A858" s="114"/>
      <c r="B858" s="244" t="s">
        <v>291</v>
      </c>
      <c r="C858" s="200">
        <v>1</v>
      </c>
      <c r="D858" s="201">
        <v>0.2</v>
      </c>
      <c r="E858" s="201">
        <v>0.2</v>
      </c>
      <c r="F858" s="201">
        <v>1.2250000000000001</v>
      </c>
      <c r="G858" s="202">
        <f t="shared" si="8"/>
        <v>4.9000000000000016E-2</v>
      </c>
      <c r="H858" s="202">
        <f t="shared" si="9"/>
        <v>0.98000000000000009</v>
      </c>
      <c r="I858" s="82"/>
      <c r="J858" s="114"/>
      <c r="BB858" s="117"/>
      <c r="BC858" s="117"/>
      <c r="BD858" s="117"/>
    </row>
    <row r="859" spans="1:56" ht="15">
      <c r="A859" s="114"/>
      <c r="B859" s="244" t="s">
        <v>292</v>
      </c>
      <c r="C859" s="200">
        <v>1</v>
      </c>
      <c r="D859" s="201">
        <v>0.2</v>
      </c>
      <c r="E859" s="201">
        <v>0.2</v>
      </c>
      <c r="F859" s="201">
        <v>1.85</v>
      </c>
      <c r="G859" s="202">
        <f t="shared" si="8"/>
        <v>7.4000000000000024E-2</v>
      </c>
      <c r="H859" s="202">
        <f t="shared" si="9"/>
        <v>1.4800000000000002</v>
      </c>
      <c r="I859" s="82"/>
      <c r="J859" s="114"/>
      <c r="BB859" s="117"/>
      <c r="BC859" s="117"/>
      <c r="BD859" s="117"/>
    </row>
    <row r="860" spans="1:56" s="259" customFormat="1" ht="15">
      <c r="A860" s="114"/>
      <c r="B860" s="246" t="s">
        <v>293</v>
      </c>
      <c r="C860" s="247">
        <v>1</v>
      </c>
      <c r="D860" s="249">
        <v>0.2</v>
      </c>
      <c r="E860" s="249">
        <v>0.2</v>
      </c>
      <c r="F860" s="249">
        <v>1.85</v>
      </c>
      <c r="G860" s="202">
        <f t="shared" si="8"/>
        <v>7.4000000000000024E-2</v>
      </c>
      <c r="H860" s="202">
        <f t="shared" si="9"/>
        <v>1.4800000000000002</v>
      </c>
      <c r="I860" s="82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</row>
    <row r="861" spans="1:56">
      <c r="A861" s="114"/>
      <c r="B861" s="114"/>
      <c r="C861" s="115"/>
      <c r="D861" s="115"/>
      <c r="E861" s="115"/>
      <c r="F861" s="260" t="s">
        <v>76</v>
      </c>
      <c r="G861" s="258">
        <f>SUM(G805:G860)</f>
        <v>75.92085999999999</v>
      </c>
      <c r="H861" s="261">
        <f>SUM(H805:H860)</f>
        <v>837.5744000000002</v>
      </c>
      <c r="I861" s="82"/>
      <c r="J861" s="114"/>
      <c r="BB861" s="117"/>
      <c r="BC861" s="117"/>
      <c r="BD861" s="117"/>
    </row>
    <row r="862" spans="1:56">
      <c r="A862" s="114"/>
      <c r="B862" s="114"/>
      <c r="C862" s="115"/>
      <c r="D862" s="115"/>
      <c r="E862" s="115"/>
      <c r="F862" s="262"/>
      <c r="G862" s="263"/>
      <c r="H862" s="263"/>
      <c r="I862" s="82"/>
      <c r="J862" s="114"/>
      <c r="BB862" s="117"/>
      <c r="BC862" s="117"/>
      <c r="BD862" s="117"/>
    </row>
    <row r="863" spans="1:56" s="264" customFormat="1" ht="15">
      <c r="B863" s="242" t="s">
        <v>160</v>
      </c>
      <c r="C863" s="199" t="s">
        <v>294</v>
      </c>
      <c r="D863" s="199" t="s">
        <v>82</v>
      </c>
      <c r="E863" s="199" t="s">
        <v>66</v>
      </c>
      <c r="F863" s="199" t="s">
        <v>62</v>
      </c>
      <c r="G863" s="243" t="s">
        <v>99</v>
      </c>
      <c r="H863" s="243" t="s">
        <v>68</v>
      </c>
      <c r="I863" s="82"/>
    </row>
    <row r="864" spans="1:56" s="266" customFormat="1" ht="15">
      <c r="A864" s="114"/>
      <c r="B864" s="244" t="s">
        <v>161</v>
      </c>
      <c r="C864" s="265">
        <v>0</v>
      </c>
      <c r="D864" s="245">
        <v>0.2</v>
      </c>
      <c r="E864" s="201">
        <v>9.39</v>
      </c>
      <c r="F864" s="201">
        <v>14.9</v>
      </c>
      <c r="G864" s="202">
        <f>(D864*F864*E864)-(C864*D864)</f>
        <v>27.982200000000006</v>
      </c>
      <c r="H864" s="202">
        <f>((E864*2+D864)*F864)-2*C864</f>
        <v>282.80200000000002</v>
      </c>
      <c r="I864" s="82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</row>
    <row r="865" spans="1:56" ht="15">
      <c r="A865" s="114"/>
      <c r="B865" s="244" t="s">
        <v>162</v>
      </c>
      <c r="C865" s="265">
        <v>0</v>
      </c>
      <c r="D865" s="245">
        <v>0.2</v>
      </c>
      <c r="E865" s="201">
        <v>5.4</v>
      </c>
      <c r="F865" s="201">
        <v>14.9</v>
      </c>
      <c r="G865" s="202">
        <f>(D865*F865*E865)-(C865*D865)</f>
        <v>16.092000000000002</v>
      </c>
      <c r="H865" s="202">
        <f>((E865*2+D865)*F865)-2*C865</f>
        <v>163.9</v>
      </c>
      <c r="I865" s="82"/>
      <c r="J865" s="114"/>
      <c r="BB865" s="117"/>
      <c r="BC865" s="117"/>
      <c r="BD865" s="117"/>
    </row>
    <row r="866" spans="1:56" ht="15">
      <c r="A866" s="114"/>
      <c r="B866" s="244" t="s">
        <v>163</v>
      </c>
      <c r="C866" s="265">
        <v>15</v>
      </c>
      <c r="D866" s="245">
        <v>0.25</v>
      </c>
      <c r="E866" s="201">
        <v>9.39</v>
      </c>
      <c r="F866" s="201">
        <v>10.32</v>
      </c>
      <c r="G866" s="202">
        <f>(D866*F866*E866)-(C866*D866)</f>
        <v>20.476200000000002</v>
      </c>
      <c r="H866" s="202">
        <f>((E866*2+D866)*F866)-2*C866</f>
        <v>166.38960000000003</v>
      </c>
      <c r="I866" s="82"/>
      <c r="J866" s="114"/>
      <c r="BB866" s="117"/>
      <c r="BC866" s="117"/>
      <c r="BD866" s="117"/>
    </row>
    <row r="867" spans="1:56" ht="15">
      <c r="A867" s="114"/>
      <c r="B867" s="244" t="s">
        <v>164</v>
      </c>
      <c r="C867" s="265">
        <v>15</v>
      </c>
      <c r="D867" s="245">
        <v>0.25</v>
      </c>
      <c r="E867" s="201">
        <v>9.39</v>
      </c>
      <c r="F867" s="201">
        <v>10.32</v>
      </c>
      <c r="G867" s="202">
        <f>(D867*F867*E867)-(C867*D867)</f>
        <v>20.476200000000002</v>
      </c>
      <c r="H867" s="202">
        <f>((E867*2+D867)*F867)-2*C867</f>
        <v>166.38960000000003</v>
      </c>
      <c r="I867" s="82"/>
      <c r="J867" s="114"/>
      <c r="BB867" s="117"/>
      <c r="BC867" s="117"/>
      <c r="BD867" s="117"/>
    </row>
    <row r="868" spans="1:56">
      <c r="A868" s="114"/>
      <c r="B868" s="264"/>
      <c r="C868" s="115"/>
      <c r="D868" s="115"/>
      <c r="E868" s="115"/>
      <c r="F868" s="260" t="s">
        <v>76</v>
      </c>
      <c r="G868" s="258">
        <f>SUM(G864:G867)</f>
        <v>85.026600000000016</v>
      </c>
      <c r="H868" s="258">
        <f>SUM(H864:H867)</f>
        <v>779.48119999999994</v>
      </c>
      <c r="I868" s="82"/>
      <c r="J868" s="114"/>
      <c r="BB868" s="117"/>
      <c r="BC868" s="117"/>
      <c r="BD868" s="117"/>
    </row>
    <row r="869" spans="1:56">
      <c r="A869" s="114"/>
      <c r="B869" s="114"/>
      <c r="C869" s="115"/>
      <c r="D869" s="115"/>
      <c r="E869" s="115"/>
      <c r="F869" s="227"/>
      <c r="G869" s="257"/>
      <c r="H869" s="257"/>
      <c r="I869" s="82"/>
      <c r="J869" s="114"/>
      <c r="BB869" s="117"/>
      <c r="BC869" s="117"/>
      <c r="BD869" s="117"/>
    </row>
    <row r="870" spans="1:56" ht="15">
      <c r="A870" s="114"/>
      <c r="B870" s="267" t="s">
        <v>295</v>
      </c>
      <c r="C870" s="362"/>
      <c r="D870" s="362"/>
      <c r="E870" s="362"/>
      <c r="F870" s="6"/>
      <c r="G870" s="196"/>
      <c r="H870" s="6"/>
      <c r="I870" s="362"/>
      <c r="J870" s="196"/>
      <c r="AY870" s="117"/>
      <c r="AZ870" s="117"/>
      <c r="BA870" s="117"/>
      <c r="BB870" s="117"/>
      <c r="BC870" s="117"/>
      <c r="BD870" s="117"/>
    </row>
    <row r="871" spans="1:56" ht="15">
      <c r="A871" s="114"/>
      <c r="B871" s="242" t="s">
        <v>106</v>
      </c>
      <c r="C871" s="268" t="s">
        <v>296</v>
      </c>
      <c r="D871" s="268" t="s">
        <v>155</v>
      </c>
      <c r="E871" s="268" t="s">
        <v>65</v>
      </c>
      <c r="F871" s="242" t="s">
        <v>297</v>
      </c>
      <c r="G871" s="229" t="s">
        <v>104</v>
      </c>
      <c r="H871" s="229" t="s">
        <v>105</v>
      </c>
      <c r="I871" s="3"/>
      <c r="J871" s="4"/>
      <c r="BC871" s="117"/>
      <c r="BD871" s="117"/>
    </row>
    <row r="872" spans="1:56" ht="15">
      <c r="A872" s="114"/>
      <c r="B872" s="269" t="s">
        <v>1108</v>
      </c>
      <c r="C872" s="270">
        <v>1.08</v>
      </c>
      <c r="D872" s="270">
        <v>2.35</v>
      </c>
      <c r="E872" s="270">
        <v>1.25</v>
      </c>
      <c r="F872" s="245">
        <v>5.0199999999999996</v>
      </c>
      <c r="G872" s="202">
        <f>C872*E872</f>
        <v>1.35</v>
      </c>
      <c r="H872" s="202">
        <f>2*C872+D872*E872+F872*E872</f>
        <v>11.372499999999999</v>
      </c>
      <c r="I872" s="3"/>
      <c r="J872" s="4"/>
      <c r="BC872" s="117"/>
      <c r="BD872" s="117"/>
    </row>
    <row r="873" spans="1:56" ht="15">
      <c r="A873" s="114"/>
      <c r="B873" s="244" t="s">
        <v>298</v>
      </c>
      <c r="C873" s="245">
        <v>0.89</v>
      </c>
      <c r="D873" s="245">
        <v>2.17</v>
      </c>
      <c r="E873" s="245">
        <v>1.25</v>
      </c>
      <c r="F873" s="245">
        <v>3.9</v>
      </c>
      <c r="G873" s="202">
        <f>C873*E873</f>
        <v>1.1125</v>
      </c>
      <c r="H873" s="202">
        <f>2*C873+D873*E873+F873*E873</f>
        <v>9.3674999999999997</v>
      </c>
      <c r="I873" s="3"/>
      <c r="J873" s="114"/>
      <c r="BA873" s="117"/>
      <c r="BB873" s="117"/>
      <c r="BC873" s="117"/>
      <c r="BD873" s="117"/>
    </row>
    <row r="874" spans="1:56" ht="15">
      <c r="A874" s="114"/>
      <c r="B874" s="244" t="s">
        <v>299</v>
      </c>
      <c r="C874" s="245">
        <v>1.08</v>
      </c>
      <c r="D874" s="245">
        <v>2.35</v>
      </c>
      <c r="E874" s="245">
        <v>1.25</v>
      </c>
      <c r="F874" s="245">
        <v>5.0199999999999996</v>
      </c>
      <c r="G874" s="202">
        <f>C874*E874</f>
        <v>1.35</v>
      </c>
      <c r="H874" s="202">
        <f>2*C874+D874*E874+F874*E874</f>
        <v>11.372499999999999</v>
      </c>
      <c r="I874" s="3"/>
      <c r="J874" s="4"/>
      <c r="BC874" s="117"/>
      <c r="BD874" s="117"/>
    </row>
    <row r="875" spans="1:56" ht="15">
      <c r="A875" s="114"/>
      <c r="B875" s="244" t="s">
        <v>300</v>
      </c>
      <c r="C875" s="245">
        <v>0.91</v>
      </c>
      <c r="D875" s="245">
        <v>2.31</v>
      </c>
      <c r="E875" s="245">
        <v>1.25</v>
      </c>
      <c r="F875" s="245">
        <v>4</v>
      </c>
      <c r="G875" s="202">
        <f>C875*E875</f>
        <v>1.1375</v>
      </c>
      <c r="H875" s="202">
        <f>2*C875+D875*E875+F875*E875</f>
        <v>9.7074999999999996</v>
      </c>
      <c r="I875" s="3"/>
      <c r="J875" s="114"/>
      <c r="BA875" s="117"/>
      <c r="BB875" s="117"/>
      <c r="BC875" s="117"/>
      <c r="BD875" s="117"/>
    </row>
    <row r="876" spans="1:56">
      <c r="A876" s="114"/>
      <c r="B876" s="140"/>
      <c r="C876" s="213"/>
      <c r="D876" s="213"/>
      <c r="E876" s="115"/>
      <c r="F876" s="254" t="s">
        <v>76</v>
      </c>
      <c r="G876" s="228">
        <f>SUM(G872:G875)</f>
        <v>4.95</v>
      </c>
      <c r="H876" s="228">
        <f>SUM(H872:H875)</f>
        <v>41.819999999999993</v>
      </c>
      <c r="I876" s="3"/>
      <c r="J876" s="114"/>
      <c r="AZ876" s="117"/>
      <c r="BA876" s="117"/>
      <c r="BB876" s="117"/>
      <c r="BC876" s="117"/>
      <c r="BD876" s="117"/>
    </row>
    <row r="877" spans="1:56" ht="15">
      <c r="A877" s="114"/>
      <c r="B877" s="267" t="s">
        <v>301</v>
      </c>
      <c r="C877" s="362"/>
      <c r="D877" s="362"/>
      <c r="E877" s="362"/>
      <c r="F877" s="362"/>
      <c r="G877" s="196"/>
      <c r="H877" s="362"/>
      <c r="I877" s="362"/>
      <c r="J877" s="196"/>
      <c r="AY877" s="117"/>
      <c r="AZ877" s="117"/>
      <c r="BA877" s="117"/>
      <c r="BB877" s="117"/>
      <c r="BC877" s="117"/>
      <c r="BD877" s="117"/>
    </row>
    <row r="878" spans="1:56" ht="15">
      <c r="A878" s="114"/>
      <c r="B878" s="242" t="s">
        <v>106</v>
      </c>
      <c r="C878" s="268" t="s">
        <v>296</v>
      </c>
      <c r="D878" s="268" t="s">
        <v>155</v>
      </c>
      <c r="E878" s="268" t="s">
        <v>65</v>
      </c>
      <c r="F878" s="268" t="s">
        <v>297</v>
      </c>
      <c r="G878" s="268" t="s">
        <v>104</v>
      </c>
      <c r="H878" s="268" t="s">
        <v>105</v>
      </c>
      <c r="I878" s="3"/>
      <c r="J878" s="4"/>
      <c r="BC878" s="117"/>
      <c r="BD878" s="117"/>
    </row>
    <row r="879" spans="1:56" ht="15">
      <c r="A879" s="114"/>
      <c r="B879" s="269" t="s">
        <v>107</v>
      </c>
      <c r="C879" s="270">
        <v>0.41</v>
      </c>
      <c r="D879" s="270">
        <v>1.05</v>
      </c>
      <c r="E879" s="270">
        <v>1.25</v>
      </c>
      <c r="F879" s="270">
        <v>2.0699999999999998</v>
      </c>
      <c r="G879" s="256">
        <f>C879*E879</f>
        <v>0.51249999999999996</v>
      </c>
      <c r="H879" s="256">
        <f>2*C879+D879*E879+F879*E879</f>
        <v>4.72</v>
      </c>
      <c r="I879" s="3"/>
      <c r="J879" s="4"/>
      <c r="BC879" s="117"/>
      <c r="BD879" s="117"/>
    </row>
    <row r="880" spans="1:56">
      <c r="A880" s="114"/>
      <c r="B880" s="140"/>
      <c r="C880" s="213"/>
      <c r="D880" s="213"/>
      <c r="E880" s="115"/>
      <c r="F880" s="254" t="s">
        <v>76</v>
      </c>
      <c r="G880" s="228">
        <f>SUM(G879:G879)</f>
        <v>0.51249999999999996</v>
      </c>
      <c r="H880" s="228">
        <f>SUM(H879:H879)</f>
        <v>4.72</v>
      </c>
      <c r="I880" s="3"/>
      <c r="J880" s="114"/>
      <c r="AZ880" s="117"/>
      <c r="BA880" s="117"/>
      <c r="BB880" s="117"/>
      <c r="BC880" s="117"/>
      <c r="BD880" s="117"/>
    </row>
    <row r="881" spans="1:56" ht="15">
      <c r="A881" s="114"/>
      <c r="B881" s="267" t="s">
        <v>302</v>
      </c>
      <c r="C881" s="362"/>
      <c r="D881" s="362"/>
      <c r="E881" s="362"/>
      <c r="F881" s="362"/>
      <c r="G881" s="196"/>
      <c r="H881" s="362"/>
      <c r="I881" s="362"/>
      <c r="J881" s="196"/>
      <c r="AY881" s="117"/>
      <c r="AZ881" s="117"/>
      <c r="BA881" s="117"/>
      <c r="BB881" s="117"/>
      <c r="BC881" s="117"/>
      <c r="BD881" s="117"/>
    </row>
    <row r="882" spans="1:56" ht="15">
      <c r="A882" s="114"/>
      <c r="B882" s="242" t="s">
        <v>106</v>
      </c>
      <c r="C882" s="268" t="s">
        <v>296</v>
      </c>
      <c r="D882" s="268" t="s">
        <v>155</v>
      </c>
      <c r="E882" s="268" t="s">
        <v>65</v>
      </c>
      <c r="F882" s="268" t="s">
        <v>297</v>
      </c>
      <c r="G882" s="268" t="s">
        <v>104</v>
      </c>
      <c r="H882" s="268" t="s">
        <v>105</v>
      </c>
      <c r="I882" s="3"/>
      <c r="J882" s="4"/>
      <c r="BC882" s="117"/>
      <c r="BD882" s="117"/>
    </row>
    <row r="883" spans="1:56" ht="15">
      <c r="A883" s="114"/>
      <c r="B883" s="269" t="s">
        <v>107</v>
      </c>
      <c r="C883" s="270">
        <v>0.41</v>
      </c>
      <c r="D883" s="270">
        <v>1.05</v>
      </c>
      <c r="E883" s="270">
        <v>1.25</v>
      </c>
      <c r="F883" s="270">
        <v>2.0699999999999998</v>
      </c>
      <c r="G883" s="256">
        <f>C883*E883</f>
        <v>0.51249999999999996</v>
      </c>
      <c r="H883" s="256">
        <f>2*C883+D883*E883+F883*E883</f>
        <v>4.72</v>
      </c>
      <c r="I883" s="3"/>
      <c r="J883" s="4"/>
      <c r="BC883" s="117"/>
      <c r="BD883" s="117"/>
    </row>
    <row r="884" spans="1:56">
      <c r="A884" s="114"/>
      <c r="B884" s="140"/>
      <c r="C884" s="213"/>
      <c r="D884" s="213"/>
      <c r="E884" s="115"/>
      <c r="F884" s="254" t="s">
        <v>76</v>
      </c>
      <c r="G884" s="228">
        <f>SUM(G883:G883)</f>
        <v>0.51249999999999996</v>
      </c>
      <c r="H884" s="228">
        <f>SUM(H883:H883)</f>
        <v>4.72</v>
      </c>
      <c r="I884" s="3"/>
      <c r="J884" s="114"/>
      <c r="AZ884" s="117"/>
      <c r="BA884" s="117"/>
      <c r="BB884" s="117"/>
      <c r="BC884" s="117"/>
      <c r="BD884" s="117"/>
    </row>
    <row r="885" spans="1:56">
      <c r="A885" s="114"/>
      <c r="B885" s="271"/>
      <c r="C885" s="362"/>
      <c r="D885" s="362"/>
      <c r="E885" s="362"/>
      <c r="F885" s="362"/>
      <c r="G885" s="196"/>
      <c r="H885" s="362"/>
      <c r="I885" s="362"/>
      <c r="J885" s="196"/>
      <c r="AY885" s="117"/>
      <c r="AZ885" s="117"/>
      <c r="BA885" s="117"/>
      <c r="BB885" s="117"/>
      <c r="BC885" s="117"/>
      <c r="BD885" s="117"/>
    </row>
    <row r="886" spans="1:56" ht="15">
      <c r="A886" s="114"/>
      <c r="B886" s="238" t="s">
        <v>303</v>
      </c>
      <c r="C886" s="199" t="s">
        <v>304</v>
      </c>
      <c r="D886" s="199" t="s">
        <v>94</v>
      </c>
      <c r="E886" s="199" t="s">
        <v>63</v>
      </c>
      <c r="F886" s="199" t="s">
        <v>305</v>
      </c>
      <c r="G886" s="199" t="s">
        <v>306</v>
      </c>
      <c r="H886" s="114"/>
      <c r="I886" s="114"/>
      <c r="J886" s="114"/>
      <c r="AV886" s="117"/>
      <c r="AW886" s="117"/>
      <c r="AX886" s="117"/>
      <c r="AY886" s="117"/>
      <c r="AZ886" s="117"/>
      <c r="BA886" s="117"/>
      <c r="BB886" s="117"/>
      <c r="BC886" s="117"/>
      <c r="BD886" s="117"/>
    </row>
    <row r="887" spans="1:56" ht="15">
      <c r="A887" s="114"/>
      <c r="B887" s="272" t="s">
        <v>307</v>
      </c>
      <c r="C887" s="194">
        <v>625</v>
      </c>
      <c r="D887" s="181">
        <v>0.08</v>
      </c>
      <c r="E887" s="273">
        <f t="shared" ref="E887:E895" si="10">C887*D887</f>
        <v>50</v>
      </c>
      <c r="F887" s="274">
        <f>C887*0.05</f>
        <v>31.25</v>
      </c>
      <c r="G887" s="275">
        <v>0</v>
      </c>
      <c r="H887" s="114"/>
      <c r="I887" s="114"/>
      <c r="J887" s="114"/>
      <c r="AV887" s="117"/>
      <c r="AW887" s="117"/>
      <c r="AX887" s="117"/>
      <c r="AY887" s="117"/>
      <c r="AZ887" s="117"/>
      <c r="BA887" s="117"/>
      <c r="BB887" s="117"/>
      <c r="BC887" s="117"/>
      <c r="BD887" s="117"/>
    </row>
    <row r="888" spans="1:56" ht="15">
      <c r="A888" s="114"/>
      <c r="B888" s="272" t="s">
        <v>308</v>
      </c>
      <c r="C888" s="276">
        <v>7.37</v>
      </c>
      <c r="D888" s="181">
        <v>0.2</v>
      </c>
      <c r="E888" s="277">
        <f t="shared" si="10"/>
        <v>1.4740000000000002</v>
      </c>
      <c r="F888" s="275">
        <v>0</v>
      </c>
      <c r="G888" s="275">
        <f t="shared" ref="G888:G895" si="11">C888</f>
        <v>7.37</v>
      </c>
      <c r="H888" s="114"/>
      <c r="I888" s="114"/>
      <c r="J888" s="114"/>
      <c r="AV888" s="117"/>
      <c r="AW888" s="117"/>
      <c r="AX888" s="117"/>
      <c r="AY888" s="117"/>
      <c r="AZ888" s="117"/>
      <c r="BA888" s="117"/>
      <c r="BB888" s="117"/>
      <c r="BC888" s="117"/>
      <c r="BD888" s="117"/>
    </row>
    <row r="889" spans="1:56" ht="15">
      <c r="A889" s="114"/>
      <c r="B889" s="272" t="s">
        <v>309</v>
      </c>
      <c r="C889" s="276">
        <v>7.37</v>
      </c>
      <c r="D889" s="181">
        <v>0.2</v>
      </c>
      <c r="E889" s="277">
        <f t="shared" si="10"/>
        <v>1.4740000000000002</v>
      </c>
      <c r="F889" s="275">
        <v>0</v>
      </c>
      <c r="G889" s="275">
        <f t="shared" si="11"/>
        <v>7.37</v>
      </c>
      <c r="H889" s="114"/>
      <c r="I889" s="114"/>
      <c r="J889" s="114"/>
      <c r="AV889" s="117"/>
      <c r="AW889" s="117"/>
      <c r="AX889" s="117"/>
      <c r="AY889" s="117"/>
      <c r="AZ889" s="117"/>
      <c r="BA889" s="117"/>
      <c r="BB889" s="117"/>
      <c r="BC889" s="117"/>
      <c r="BD889" s="117"/>
    </row>
    <row r="890" spans="1:56" ht="15">
      <c r="A890" s="114"/>
      <c r="B890" s="272" t="s">
        <v>310</v>
      </c>
      <c r="C890" s="276">
        <v>602.29999999999995</v>
      </c>
      <c r="D890" s="181">
        <v>0.15</v>
      </c>
      <c r="E890" s="277">
        <f>(C890*D890)-(2.4)</f>
        <v>87.944999999999979</v>
      </c>
      <c r="F890" s="275">
        <v>0</v>
      </c>
      <c r="G890" s="275">
        <f t="shared" si="11"/>
        <v>602.29999999999995</v>
      </c>
      <c r="H890" s="114"/>
      <c r="I890" s="114"/>
      <c r="J890" s="114"/>
      <c r="AV890" s="117"/>
      <c r="AW890" s="117"/>
      <c r="AX890" s="117"/>
      <c r="AY890" s="117"/>
      <c r="AZ890" s="117"/>
      <c r="BA890" s="117"/>
      <c r="BB890" s="117"/>
      <c r="BC890" s="117"/>
      <c r="BD890" s="117"/>
    </row>
    <row r="891" spans="1:56" ht="15">
      <c r="A891" s="114"/>
      <c r="B891" s="272" t="s">
        <v>311</v>
      </c>
      <c r="C891" s="276">
        <v>504.1</v>
      </c>
      <c r="D891" s="181">
        <v>0.15</v>
      </c>
      <c r="E891" s="277">
        <f t="shared" si="10"/>
        <v>75.614999999999995</v>
      </c>
      <c r="F891" s="275">
        <v>0</v>
      </c>
      <c r="G891" s="275">
        <f t="shared" si="11"/>
        <v>504.1</v>
      </c>
      <c r="H891" s="114"/>
      <c r="I891" s="114"/>
      <c r="J891" s="114"/>
      <c r="AV891" s="117"/>
      <c r="AW891" s="117"/>
      <c r="AX891" s="117"/>
      <c r="AY891" s="117"/>
      <c r="AZ891" s="117"/>
      <c r="BA891" s="117"/>
      <c r="BB891" s="117"/>
      <c r="BC891" s="117"/>
      <c r="BD891" s="117"/>
    </row>
    <row r="892" spans="1:56" ht="15">
      <c r="A892" s="114"/>
      <c r="B892" s="272" t="s">
        <v>312</v>
      </c>
      <c r="C892" s="276">
        <v>35.35</v>
      </c>
      <c r="D892" s="181">
        <v>0.25</v>
      </c>
      <c r="E892" s="277">
        <f t="shared" si="10"/>
        <v>8.8375000000000004</v>
      </c>
      <c r="F892" s="275">
        <v>0</v>
      </c>
      <c r="G892" s="275">
        <f t="shared" si="11"/>
        <v>35.35</v>
      </c>
      <c r="H892" s="114"/>
      <c r="I892" s="114"/>
      <c r="J892" s="114"/>
      <c r="AV892" s="117"/>
      <c r="AW892" s="117"/>
      <c r="AX892" s="117"/>
      <c r="AY892" s="117"/>
      <c r="AZ892" s="117"/>
      <c r="BA892" s="117"/>
      <c r="BB892" s="117"/>
      <c r="BC892" s="117"/>
      <c r="BD892" s="117"/>
    </row>
    <row r="893" spans="1:56" ht="15">
      <c r="A893" s="114"/>
      <c r="B893" s="272" t="s">
        <v>313</v>
      </c>
      <c r="C893" s="276">
        <v>149.6</v>
      </c>
      <c r="D893" s="181">
        <v>0.2</v>
      </c>
      <c r="E893" s="277">
        <f t="shared" si="10"/>
        <v>29.92</v>
      </c>
      <c r="F893" s="275">
        <v>0</v>
      </c>
      <c r="G893" s="275">
        <f t="shared" si="11"/>
        <v>149.6</v>
      </c>
      <c r="H893" s="114"/>
      <c r="I893" s="114"/>
      <c r="J893" s="114"/>
      <c r="AV893" s="117"/>
      <c r="AW893" s="117"/>
      <c r="AX893" s="117"/>
      <c r="AY893" s="117"/>
      <c r="AZ893" s="117"/>
      <c r="BA893" s="117"/>
      <c r="BB893" s="117"/>
      <c r="BC893" s="117"/>
      <c r="BD893" s="117"/>
    </row>
    <row r="894" spans="1:56" ht="15">
      <c r="A894" s="114"/>
      <c r="B894" s="272" t="s">
        <v>314</v>
      </c>
      <c r="C894" s="276">
        <v>46.72</v>
      </c>
      <c r="D894" s="181">
        <v>0.15</v>
      </c>
      <c r="E894" s="277">
        <f t="shared" si="10"/>
        <v>7.008</v>
      </c>
      <c r="F894" s="275">
        <v>0</v>
      </c>
      <c r="G894" s="275">
        <f t="shared" si="11"/>
        <v>46.72</v>
      </c>
      <c r="H894" s="114"/>
      <c r="I894" s="114"/>
      <c r="J894" s="114"/>
      <c r="AV894" s="117"/>
      <c r="AW894" s="117"/>
      <c r="AX894" s="117"/>
      <c r="AY894" s="117"/>
      <c r="AZ894" s="117"/>
      <c r="BA894" s="117"/>
      <c r="BB894" s="117"/>
      <c r="BC894" s="117"/>
      <c r="BD894" s="117"/>
    </row>
    <row r="895" spans="1:56" ht="15">
      <c r="A895" s="114"/>
      <c r="B895" s="272" t="s">
        <v>65</v>
      </c>
      <c r="C895" s="276">
        <v>44.6</v>
      </c>
      <c r="D895" s="181">
        <v>0.15</v>
      </c>
      <c r="E895" s="277">
        <f t="shared" si="10"/>
        <v>6.69</v>
      </c>
      <c r="F895" s="275">
        <v>0</v>
      </c>
      <c r="G895" s="275">
        <f t="shared" si="11"/>
        <v>44.6</v>
      </c>
      <c r="H895" s="114"/>
      <c r="I895" s="114"/>
      <c r="J895" s="114"/>
      <c r="AV895" s="117"/>
      <c r="AW895" s="117"/>
      <c r="AX895" s="117"/>
      <c r="AY895" s="117"/>
      <c r="AZ895" s="117"/>
      <c r="BA895" s="117"/>
      <c r="BB895" s="117"/>
      <c r="BC895" s="117"/>
      <c r="BD895" s="117"/>
    </row>
    <row r="896" spans="1:56">
      <c r="A896" s="114"/>
      <c r="B896" s="114"/>
      <c r="C896" s="115"/>
      <c r="D896" s="260" t="s">
        <v>76</v>
      </c>
      <c r="E896" s="258">
        <f>SUM(E887:E895)</f>
        <v>268.96349999999995</v>
      </c>
      <c r="F896" s="258">
        <f>F887</f>
        <v>31.25</v>
      </c>
      <c r="G896" s="261">
        <f>SUM(G887:G895)</f>
        <v>1397.4099999999996</v>
      </c>
      <c r="H896" s="114"/>
      <c r="I896" s="82"/>
      <c r="J896" s="114"/>
      <c r="BB896" s="117"/>
      <c r="BC896" s="117"/>
      <c r="BD896" s="117"/>
    </row>
    <row r="897" spans="1:56" ht="15">
      <c r="A897" s="114"/>
      <c r="B897" s="196"/>
      <c r="C897" s="196"/>
      <c r="D897" s="196"/>
      <c r="E897" s="196"/>
      <c r="F897" s="196"/>
      <c r="G897" s="196"/>
      <c r="H897" s="196"/>
      <c r="I897" s="196"/>
      <c r="J897" s="114"/>
      <c r="AW897" s="117"/>
      <c r="AX897" s="117"/>
      <c r="AY897" s="117"/>
      <c r="AZ897" s="117"/>
      <c r="BA897" s="117"/>
      <c r="BB897" s="117"/>
      <c r="BC897" s="117"/>
      <c r="BD897" s="117"/>
    </row>
    <row r="898" spans="1:56" ht="16.5" thickBot="1">
      <c r="A898" s="114"/>
      <c r="B898" s="114"/>
      <c r="C898" s="115"/>
      <c r="D898" s="115"/>
      <c r="E898" s="115"/>
      <c r="F898" s="115"/>
      <c r="G898" s="115"/>
      <c r="H898" s="115"/>
      <c r="I898" s="82"/>
      <c r="J898" s="114"/>
      <c r="BB898" s="117"/>
      <c r="BC898" s="117"/>
      <c r="BD898" s="117"/>
    </row>
    <row r="899" spans="1:56">
      <c r="A899" s="114"/>
      <c r="B899" s="1285" t="s">
        <v>98</v>
      </c>
      <c r="C899" s="1286"/>
      <c r="D899" s="1286"/>
      <c r="E899" s="1286"/>
      <c r="F899" s="1287"/>
      <c r="G899" s="115"/>
      <c r="H899" s="115"/>
      <c r="I899" s="82"/>
      <c r="J899" s="114"/>
      <c r="BB899" s="117"/>
      <c r="BC899" s="117"/>
      <c r="BD899" s="117"/>
    </row>
    <row r="900" spans="1:56">
      <c r="A900" s="114"/>
      <c r="B900" s="634"/>
      <c r="C900" s="115"/>
      <c r="D900" s="115"/>
      <c r="E900" s="115"/>
      <c r="F900" s="182"/>
      <c r="G900" s="115"/>
      <c r="H900" s="115"/>
      <c r="I900" s="82"/>
      <c r="J900" s="114"/>
      <c r="BB900" s="117"/>
      <c r="BC900" s="117"/>
      <c r="BD900" s="117"/>
    </row>
    <row r="901" spans="1:56">
      <c r="A901" s="114"/>
      <c r="B901" s="635" t="s">
        <v>315</v>
      </c>
      <c r="C901" s="203"/>
      <c r="D901" s="204"/>
      <c r="E901" s="205">
        <f>G896+H868+H802+H884+H880+H876+H861+H771+H761+H753+H739+H723</f>
        <v>4275.1147999999994</v>
      </c>
      <c r="F901" s="216" t="s">
        <v>13</v>
      </c>
      <c r="G901" s="115"/>
      <c r="H901" s="115"/>
      <c r="I901" s="82"/>
      <c r="J901" s="114"/>
      <c r="BB901" s="117"/>
      <c r="BC901" s="117"/>
      <c r="BD901" s="117"/>
    </row>
    <row r="902" spans="1:56">
      <c r="A902" s="114"/>
      <c r="B902" s="635" t="s">
        <v>316</v>
      </c>
      <c r="C902" s="203"/>
      <c r="D902" s="204"/>
      <c r="E902" s="205">
        <f>E896+G868+G802+G884+G880+G876+G861+G771+G761+G753+G739+G723</f>
        <v>550.07357999999999</v>
      </c>
      <c r="F902" s="216" t="s">
        <v>100</v>
      </c>
      <c r="G902" s="115"/>
      <c r="H902" s="115"/>
      <c r="I902" s="82"/>
      <c r="J902" s="114"/>
      <c r="BB902" s="117"/>
      <c r="BC902" s="117"/>
      <c r="BD902" s="117"/>
    </row>
    <row r="903" spans="1:56">
      <c r="A903" s="114"/>
      <c r="B903" s="635" t="s">
        <v>317</v>
      </c>
      <c r="C903" s="203"/>
      <c r="D903" s="204"/>
      <c r="E903" s="205">
        <f>F896</f>
        <v>31.25</v>
      </c>
      <c r="F903" s="216" t="s">
        <v>100</v>
      </c>
      <c r="G903" s="115"/>
      <c r="H903" s="115"/>
      <c r="I903" s="82"/>
      <c r="J903" s="114"/>
      <c r="BB903" s="117"/>
      <c r="BC903" s="117"/>
      <c r="BD903" s="117"/>
    </row>
    <row r="904" spans="1:56">
      <c r="A904" s="114"/>
      <c r="B904" s="635" t="s">
        <v>2363</v>
      </c>
      <c r="C904" s="203"/>
      <c r="D904" s="204"/>
      <c r="E904" s="280">
        <v>6106</v>
      </c>
      <c r="F904" s="216" t="s">
        <v>100</v>
      </c>
      <c r="G904" s="115"/>
      <c r="H904" s="115"/>
      <c r="I904" s="82"/>
      <c r="J904" s="114"/>
      <c r="BB904" s="117"/>
      <c r="BC904" s="117"/>
      <c r="BD904" s="117"/>
    </row>
    <row r="905" spans="1:56" ht="15">
      <c r="A905" s="114"/>
      <c r="B905" s="635" t="s">
        <v>318</v>
      </c>
      <c r="C905" s="172"/>
      <c r="D905" s="173"/>
      <c r="E905" s="280">
        <v>579.20000000000005</v>
      </c>
      <c r="F905" s="216" t="s">
        <v>10</v>
      </c>
      <c r="G905" s="196"/>
      <c r="H905" s="196"/>
      <c r="I905" s="196"/>
      <c r="J905" s="114"/>
      <c r="AV905" s="117"/>
      <c r="AW905" s="117"/>
      <c r="AX905" s="117"/>
      <c r="AY905" s="117"/>
      <c r="AZ905" s="117"/>
      <c r="BA905" s="117"/>
      <c r="BB905" s="117"/>
      <c r="BC905" s="117"/>
      <c r="BD905" s="117"/>
    </row>
    <row r="906" spans="1:56" thickBot="1">
      <c r="A906" s="114"/>
      <c r="B906" s="779" t="s">
        <v>319</v>
      </c>
      <c r="C906" s="174"/>
      <c r="D906" s="176"/>
      <c r="E906" s="281">
        <v>28.85</v>
      </c>
      <c r="F906" s="219" t="s">
        <v>10</v>
      </c>
      <c r="G906" s="362"/>
      <c r="H906" s="362"/>
      <c r="I906" s="362"/>
      <c r="J906" s="114"/>
      <c r="AV906" s="117"/>
      <c r="AW906" s="117"/>
      <c r="AX906" s="117"/>
      <c r="AY906" s="117"/>
      <c r="AZ906" s="117"/>
      <c r="BA906" s="117"/>
      <c r="BB906" s="117"/>
      <c r="BC906" s="117"/>
      <c r="BD906" s="117"/>
    </row>
    <row r="907" spans="1:56">
      <c r="A907" s="114"/>
      <c r="B907" s="115"/>
      <c r="C907" s="115"/>
      <c r="D907" s="115"/>
      <c r="E907" s="115"/>
      <c r="F907" s="115"/>
      <c r="G907" s="115"/>
      <c r="H907" s="115"/>
      <c r="I907" s="115"/>
      <c r="J907" s="114"/>
      <c r="BB907" s="117"/>
      <c r="BC907" s="117"/>
      <c r="BD907" s="117"/>
    </row>
    <row r="908" spans="1:56" thickBot="1">
      <c r="A908" s="114"/>
      <c r="B908" s="196"/>
      <c r="C908" s="196"/>
      <c r="D908" s="196"/>
      <c r="E908" s="196"/>
      <c r="F908" s="196"/>
      <c r="G908" s="196"/>
      <c r="H908" s="196"/>
      <c r="I908" s="196"/>
      <c r="J908" s="114"/>
      <c r="AW908" s="117"/>
      <c r="AX908" s="117"/>
      <c r="AY908" s="117"/>
      <c r="AZ908" s="117"/>
      <c r="BA908" s="117"/>
      <c r="BB908" s="117"/>
      <c r="BC908" s="117"/>
      <c r="BD908" s="117"/>
    </row>
    <row r="909" spans="1:56">
      <c r="A909" s="114"/>
      <c r="B909" s="702" t="s">
        <v>320</v>
      </c>
      <c r="C909" s="282"/>
      <c r="D909" s="282"/>
      <c r="E909" s="282"/>
      <c r="F909" s="283"/>
      <c r="G909" s="196"/>
      <c r="H909" s="196"/>
      <c r="I909" s="196"/>
      <c r="J909" s="114"/>
      <c r="AW909" s="117"/>
      <c r="AX909" s="117"/>
      <c r="AY909" s="117"/>
      <c r="AZ909" s="117"/>
      <c r="BA909" s="117"/>
      <c r="BB909" s="117"/>
      <c r="BC909" s="117"/>
      <c r="BD909" s="117"/>
    </row>
    <row r="910" spans="1:56" ht="15.75" customHeight="1">
      <c r="A910" s="114"/>
      <c r="B910" s="693"/>
      <c r="C910" s="196"/>
      <c r="D910" s="196"/>
      <c r="E910" s="196"/>
      <c r="F910" s="284"/>
      <c r="G910" s="196"/>
      <c r="H910" s="196"/>
      <c r="I910" s="196"/>
      <c r="J910" s="114"/>
      <c r="AW910" s="117"/>
      <c r="AX910" s="117"/>
      <c r="AY910" s="117"/>
      <c r="AZ910" s="117"/>
      <c r="BA910" s="117"/>
      <c r="BB910" s="117"/>
      <c r="BC910" s="117"/>
      <c r="BD910" s="117"/>
    </row>
    <row r="911" spans="1:56" ht="15">
      <c r="A911" s="114"/>
      <c r="B911" s="691" t="s">
        <v>321</v>
      </c>
      <c r="C911" s="196"/>
      <c r="D911" s="196"/>
      <c r="E911" s="196"/>
      <c r="F911" s="284"/>
      <c r="G911" s="196"/>
      <c r="H911" s="196"/>
      <c r="I911" s="196"/>
      <c r="J911" s="114"/>
      <c r="AW911" s="117"/>
      <c r="AX911" s="117"/>
      <c r="AY911" s="117"/>
      <c r="AZ911" s="117"/>
      <c r="BA911" s="117"/>
      <c r="BB911" s="117"/>
      <c r="BC911" s="117"/>
      <c r="BD911" s="117"/>
    </row>
    <row r="912" spans="1:56" ht="15.75" customHeight="1">
      <c r="A912" s="114"/>
      <c r="B912" s="703" t="s">
        <v>102</v>
      </c>
      <c r="C912" s="285">
        <v>11636</v>
      </c>
      <c r="D912" s="286" t="s">
        <v>12</v>
      </c>
      <c r="E912" s="768" t="s">
        <v>322</v>
      </c>
      <c r="F912" s="139"/>
      <c r="G912" s="196"/>
      <c r="H912" s="196"/>
      <c r="I912" s="196"/>
      <c r="J912" s="114"/>
      <c r="AW912" s="117"/>
      <c r="AX912" s="117"/>
      <c r="AY912" s="117"/>
      <c r="AZ912" s="117"/>
      <c r="BA912" s="117"/>
      <c r="BB912" s="117"/>
      <c r="BC912" s="117"/>
      <c r="BD912" s="117"/>
    </row>
    <row r="913" spans="1:56" ht="15">
      <c r="A913" s="114"/>
      <c r="B913" s="693"/>
      <c r="C913" s="196"/>
      <c r="D913" s="196"/>
      <c r="E913" s="196"/>
      <c r="F913" s="284"/>
      <c r="G913" s="196"/>
      <c r="H913" s="196"/>
      <c r="I913" s="196"/>
      <c r="J913" s="114"/>
      <c r="AW913" s="117"/>
      <c r="AX913" s="117"/>
      <c r="AY913" s="117"/>
      <c r="AZ913" s="117"/>
      <c r="BA913" s="117"/>
      <c r="BB913" s="117"/>
      <c r="BC913" s="117"/>
      <c r="BD913" s="117"/>
    </row>
    <row r="914" spans="1:56" ht="15.75" customHeight="1">
      <c r="A914" s="114"/>
      <c r="B914" s="693"/>
      <c r="C914" s="196"/>
      <c r="D914" s="196"/>
      <c r="E914" s="196"/>
      <c r="F914" s="284"/>
      <c r="G914" s="196"/>
      <c r="H914" s="196"/>
      <c r="I914" s="196"/>
      <c r="J914" s="114"/>
      <c r="AW914" s="117"/>
      <c r="AX914" s="117"/>
      <c r="AY914" s="117"/>
      <c r="AZ914" s="117"/>
      <c r="BA914" s="117"/>
      <c r="BB914" s="117"/>
      <c r="BC914" s="117"/>
      <c r="BD914" s="117"/>
    </row>
    <row r="915" spans="1:56" ht="15">
      <c r="A915" s="114"/>
      <c r="B915" s="691" t="s">
        <v>1100</v>
      </c>
      <c r="C915" s="196"/>
      <c r="D915" s="196"/>
      <c r="E915" s="196"/>
      <c r="F915" s="284"/>
      <c r="G915" s="196"/>
      <c r="H915" s="196"/>
      <c r="I915" s="196"/>
      <c r="J915" s="114"/>
      <c r="AW915" s="117"/>
      <c r="AX915" s="117"/>
      <c r="AY915" s="117"/>
      <c r="AZ915" s="117"/>
      <c r="BA915" s="117"/>
      <c r="BB915" s="117"/>
      <c r="BC915" s="117"/>
      <c r="BD915" s="117"/>
    </row>
    <row r="916" spans="1:56" ht="15.75" customHeight="1">
      <c r="A916" s="114"/>
      <c r="B916" s="703" t="s">
        <v>102</v>
      </c>
      <c r="C916" s="285">
        <v>4221</v>
      </c>
      <c r="D916" s="286" t="s">
        <v>12</v>
      </c>
      <c r="E916" s="768" t="s">
        <v>1801</v>
      </c>
      <c r="F916" s="139"/>
      <c r="G916" s="196"/>
      <c r="H916" s="196"/>
      <c r="I916" s="196"/>
      <c r="J916" s="114"/>
      <c r="AW916" s="117"/>
      <c r="AX916" s="117"/>
      <c r="AY916" s="117"/>
      <c r="AZ916" s="117"/>
      <c r="BA916" s="117"/>
      <c r="BB916" s="117"/>
      <c r="BC916" s="117"/>
      <c r="BD916" s="117"/>
    </row>
    <row r="917" spans="1:56" ht="15">
      <c r="A917" s="114"/>
      <c r="B917" s="693"/>
      <c r="C917" s="196"/>
      <c r="D917" s="196"/>
      <c r="E917" s="196"/>
      <c r="F917" s="284"/>
      <c r="G917" s="196"/>
      <c r="H917" s="196"/>
      <c r="I917" s="196"/>
      <c r="J917" s="114"/>
      <c r="AW917" s="117"/>
      <c r="AX917" s="117"/>
      <c r="AY917" s="117"/>
      <c r="AZ917" s="117"/>
      <c r="BA917" s="117"/>
      <c r="BB917" s="117"/>
      <c r="BC917" s="117"/>
      <c r="BD917" s="117"/>
    </row>
    <row r="918" spans="1:56" ht="15">
      <c r="A918" s="114"/>
      <c r="B918" s="691" t="s">
        <v>323</v>
      </c>
      <c r="C918" s="196"/>
      <c r="D918" s="196"/>
      <c r="E918" s="196"/>
      <c r="F918" s="284"/>
      <c r="G918" s="196"/>
      <c r="H918" s="196"/>
      <c r="I918" s="196"/>
      <c r="J918" s="114"/>
      <c r="AW918" s="117"/>
      <c r="AX918" s="117"/>
      <c r="AY918" s="117"/>
      <c r="AZ918" s="117"/>
      <c r="BA918" s="117"/>
      <c r="BB918" s="117"/>
      <c r="BC918" s="117"/>
      <c r="BD918" s="117"/>
    </row>
    <row r="919" spans="1:56" ht="15">
      <c r="A919" s="114"/>
      <c r="B919" s="703" t="s">
        <v>324</v>
      </c>
      <c r="C919" s="285">
        <v>1461</v>
      </c>
      <c r="D919" s="286" t="s">
        <v>12</v>
      </c>
      <c r="E919" s="1199" t="s">
        <v>325</v>
      </c>
      <c r="F919" s="1200"/>
      <c r="G919" s="196"/>
      <c r="H919" s="196"/>
      <c r="I919" s="196"/>
      <c r="J919" s="114"/>
      <c r="AW919" s="117"/>
      <c r="AX919" s="117"/>
      <c r="AY919" s="117"/>
      <c r="AZ919" s="117"/>
      <c r="BA919" s="117"/>
      <c r="BB919" s="117"/>
      <c r="BC919" s="117"/>
      <c r="BD919" s="117"/>
    </row>
    <row r="920" spans="1:56" ht="15">
      <c r="A920" s="114"/>
      <c r="B920" s="703" t="s">
        <v>326</v>
      </c>
      <c r="C920" s="285">
        <v>763</v>
      </c>
      <c r="D920" s="286" t="s">
        <v>12</v>
      </c>
      <c r="E920" s="1216"/>
      <c r="F920" s="1217"/>
      <c r="G920" s="196"/>
      <c r="H920" s="196"/>
      <c r="I920" s="196"/>
      <c r="J920" s="114"/>
      <c r="AW920" s="117"/>
      <c r="AX920" s="117"/>
      <c r="AY920" s="117"/>
      <c r="AZ920" s="117"/>
      <c r="BA920" s="117"/>
      <c r="BB920" s="117"/>
      <c r="BC920" s="117"/>
      <c r="BD920" s="117"/>
    </row>
    <row r="921" spans="1:56" ht="15">
      <c r="A921" s="114"/>
      <c r="B921" s="703" t="s">
        <v>327</v>
      </c>
      <c r="C921" s="285">
        <v>27</v>
      </c>
      <c r="D921" s="286" t="s">
        <v>12</v>
      </c>
      <c r="E921" s="1201"/>
      <c r="F921" s="1202"/>
      <c r="G921" s="196"/>
      <c r="H921" s="196"/>
      <c r="I921" s="196"/>
      <c r="J921" s="114"/>
      <c r="AW921" s="117"/>
      <c r="AX921" s="117"/>
      <c r="AY921" s="117"/>
      <c r="AZ921" s="117"/>
      <c r="BA921" s="117"/>
      <c r="BB921" s="117"/>
      <c r="BC921" s="117"/>
      <c r="BD921" s="117"/>
    </row>
    <row r="922" spans="1:56" ht="15">
      <c r="A922" s="114"/>
      <c r="B922" s="693"/>
      <c r="C922" s="196"/>
      <c r="D922" s="196"/>
      <c r="E922" s="196"/>
      <c r="F922" s="284"/>
      <c r="G922" s="196"/>
      <c r="H922" s="196"/>
      <c r="I922" s="196"/>
      <c r="J922" s="114"/>
      <c r="AW922" s="117"/>
      <c r="AX922" s="117"/>
      <c r="AY922" s="117"/>
      <c r="AZ922" s="117"/>
      <c r="BA922" s="117"/>
      <c r="BB922" s="117"/>
      <c r="BC922" s="117"/>
      <c r="BD922" s="117"/>
    </row>
    <row r="923" spans="1:56" ht="15">
      <c r="A923" s="114"/>
      <c r="B923" s="691" t="s">
        <v>328</v>
      </c>
      <c r="C923" s="196"/>
      <c r="D923" s="196"/>
      <c r="E923" s="196"/>
      <c r="F923" s="284"/>
      <c r="G923" s="196"/>
      <c r="H923" s="196"/>
      <c r="I923" s="196"/>
      <c r="J923" s="114"/>
      <c r="AW923" s="117"/>
      <c r="AX923" s="117"/>
      <c r="AY923" s="117"/>
      <c r="AZ923" s="117"/>
      <c r="BA923" s="117"/>
      <c r="BB923" s="117"/>
      <c r="BC923" s="117"/>
      <c r="BD923" s="117"/>
    </row>
    <row r="924" spans="1:56" ht="15">
      <c r="A924" s="114"/>
      <c r="B924" s="703" t="s">
        <v>329</v>
      </c>
      <c r="C924" s="285">
        <v>64</v>
      </c>
      <c r="D924" s="286" t="s">
        <v>12</v>
      </c>
      <c r="E924" s="1199" t="s">
        <v>330</v>
      </c>
      <c r="F924" s="1200"/>
      <c r="G924" s="196"/>
      <c r="H924" s="196"/>
      <c r="I924" s="196"/>
      <c r="J924" s="114"/>
      <c r="AW924" s="117"/>
      <c r="AX924" s="117"/>
      <c r="AY924" s="117"/>
      <c r="AZ924" s="117"/>
      <c r="BA924" s="117"/>
      <c r="BB924" s="117"/>
      <c r="BC924" s="117"/>
      <c r="BD924" s="117"/>
    </row>
    <row r="925" spans="1:56" ht="15">
      <c r="A925" s="114"/>
      <c r="B925" s="703" t="s">
        <v>102</v>
      </c>
      <c r="C925" s="285">
        <v>4575</v>
      </c>
      <c r="D925" s="286" t="s">
        <v>12</v>
      </c>
      <c r="E925" s="1201"/>
      <c r="F925" s="1202"/>
      <c r="G925" s="196"/>
      <c r="H925" s="196"/>
      <c r="I925" s="196"/>
      <c r="J925" s="114"/>
      <c r="AW925" s="117"/>
      <c r="AX925" s="117"/>
      <c r="AY925" s="117"/>
      <c r="AZ925" s="117"/>
      <c r="BA925" s="117"/>
      <c r="BB925" s="117"/>
      <c r="BC925" s="117"/>
      <c r="BD925" s="117"/>
    </row>
    <row r="926" spans="1:56" ht="15">
      <c r="A926" s="114"/>
      <c r="B926" s="693"/>
      <c r="C926" s="196"/>
      <c r="D926" s="196"/>
      <c r="E926" s="196"/>
      <c r="F926" s="284"/>
      <c r="G926" s="196"/>
      <c r="H926" s="196"/>
      <c r="I926" s="196"/>
      <c r="J926" s="114"/>
      <c r="AW926" s="117"/>
      <c r="AX926" s="117"/>
      <c r="AY926" s="117"/>
      <c r="AZ926" s="117"/>
      <c r="BA926" s="117"/>
      <c r="BB926" s="117"/>
      <c r="BC926" s="117"/>
      <c r="BD926" s="117"/>
    </row>
    <row r="927" spans="1:56" ht="15">
      <c r="A927" s="114"/>
      <c r="B927" s="691" t="s">
        <v>331</v>
      </c>
      <c r="C927" s="196"/>
      <c r="D927" s="196"/>
      <c r="E927" s="196"/>
      <c r="F927" s="284"/>
      <c r="G927" s="196"/>
      <c r="H927" s="196"/>
      <c r="I927" s="196"/>
      <c r="J927" s="114"/>
      <c r="AW927" s="117"/>
      <c r="AX927" s="117"/>
      <c r="AY927" s="117"/>
      <c r="AZ927" s="117"/>
      <c r="BA927" s="117"/>
      <c r="BB927" s="117"/>
      <c r="BC927" s="117"/>
      <c r="BD927" s="117"/>
    </row>
    <row r="928" spans="1:56" ht="15">
      <c r="A928" s="114"/>
      <c r="B928" s="703" t="s">
        <v>329</v>
      </c>
      <c r="C928" s="285">
        <v>272</v>
      </c>
      <c r="D928" s="286" t="s">
        <v>12</v>
      </c>
      <c r="E928" s="1199" t="s">
        <v>332</v>
      </c>
      <c r="F928" s="1200"/>
      <c r="G928" s="196"/>
      <c r="H928" s="196"/>
      <c r="I928" s="196"/>
      <c r="J928" s="114"/>
      <c r="AW928" s="117"/>
      <c r="AX928" s="117"/>
      <c r="AY928" s="117"/>
      <c r="AZ928" s="117"/>
      <c r="BA928" s="117"/>
      <c r="BB928" s="117"/>
      <c r="BC928" s="117"/>
      <c r="BD928" s="117"/>
    </row>
    <row r="929" spans="1:56" ht="15">
      <c r="A929" s="114"/>
      <c r="B929" s="703" t="s">
        <v>102</v>
      </c>
      <c r="C929" s="285">
        <v>5299</v>
      </c>
      <c r="D929" s="286" t="s">
        <v>12</v>
      </c>
      <c r="E929" s="1201"/>
      <c r="F929" s="1202"/>
      <c r="G929" s="196"/>
      <c r="H929" s="196"/>
      <c r="I929" s="196"/>
      <c r="J929" s="114"/>
      <c r="AW929" s="117"/>
      <c r="AX929" s="117"/>
      <c r="AY929" s="117"/>
      <c r="AZ929" s="117"/>
      <c r="BA929" s="117"/>
      <c r="BB929" s="117"/>
      <c r="BC929" s="117"/>
      <c r="BD929" s="117"/>
    </row>
    <row r="930" spans="1:56" ht="15">
      <c r="A930" s="114"/>
      <c r="B930" s="693"/>
      <c r="C930" s="196"/>
      <c r="D930" s="196"/>
      <c r="E930" s="196"/>
      <c r="F930" s="284"/>
      <c r="G930" s="196"/>
      <c r="H930" s="196"/>
      <c r="I930" s="196"/>
      <c r="J930" s="114"/>
      <c r="AW930" s="117"/>
      <c r="AX930" s="117"/>
      <c r="AY930" s="117"/>
      <c r="AZ930" s="117"/>
      <c r="BA930" s="117"/>
      <c r="BB930" s="117"/>
      <c r="BC930" s="117"/>
      <c r="BD930" s="117"/>
    </row>
    <row r="931" spans="1:56" ht="15">
      <c r="A931" s="114"/>
      <c r="B931" s="691" t="s">
        <v>333</v>
      </c>
      <c r="C931" s="196"/>
      <c r="D931" s="196"/>
      <c r="E931" s="196"/>
      <c r="F931" s="284"/>
      <c r="G931" s="196"/>
      <c r="H931" s="196"/>
      <c r="I931" s="196"/>
      <c r="J931" s="114"/>
      <c r="AW931" s="117"/>
      <c r="AX931" s="117"/>
      <c r="AY931" s="117"/>
      <c r="AZ931" s="117"/>
      <c r="BA931" s="117"/>
      <c r="BB931" s="117"/>
      <c r="BC931" s="117"/>
      <c r="BD931" s="117"/>
    </row>
    <row r="932" spans="1:56" ht="15">
      <c r="A932" s="114"/>
      <c r="B932" s="703" t="s">
        <v>329</v>
      </c>
      <c r="C932" s="285">
        <v>73</v>
      </c>
      <c r="D932" s="286" t="s">
        <v>12</v>
      </c>
      <c r="E932" s="1199" t="s">
        <v>334</v>
      </c>
      <c r="F932" s="1200"/>
      <c r="G932" s="196"/>
      <c r="H932" s="196"/>
      <c r="I932" s="196"/>
      <c r="J932" s="114"/>
      <c r="AW932" s="117"/>
      <c r="AX932" s="117"/>
      <c r="AY932" s="117"/>
      <c r="AZ932" s="117"/>
      <c r="BA932" s="117"/>
      <c r="BB932" s="117"/>
      <c r="BC932" s="117"/>
      <c r="BD932" s="117"/>
    </row>
    <row r="933" spans="1:56" ht="15">
      <c r="A933" s="114"/>
      <c r="B933" s="703" t="s">
        <v>102</v>
      </c>
      <c r="C933" s="285">
        <v>2550</v>
      </c>
      <c r="D933" s="286" t="s">
        <v>12</v>
      </c>
      <c r="E933" s="1201"/>
      <c r="F933" s="1202"/>
      <c r="G933" s="196"/>
      <c r="H933" s="196"/>
      <c r="I933" s="196"/>
      <c r="J933" s="114"/>
      <c r="AW933" s="117"/>
      <c r="AX933" s="117"/>
      <c r="AY933" s="117"/>
      <c r="AZ933" s="117"/>
      <c r="BA933" s="117"/>
      <c r="BB933" s="117"/>
      <c r="BC933" s="117"/>
      <c r="BD933" s="117"/>
    </row>
    <row r="934" spans="1:56" ht="15">
      <c r="A934" s="114"/>
      <c r="B934" s="693"/>
      <c r="C934" s="196"/>
      <c r="D934" s="196"/>
      <c r="E934" s="196"/>
      <c r="F934" s="284"/>
      <c r="G934" s="196"/>
      <c r="H934" s="196"/>
      <c r="I934" s="196"/>
      <c r="J934" s="114"/>
      <c r="AW934" s="117"/>
      <c r="AX934" s="117"/>
      <c r="AY934" s="117"/>
      <c r="AZ934" s="117"/>
      <c r="BA934" s="117"/>
      <c r="BB934" s="117"/>
      <c r="BC934" s="117"/>
      <c r="BD934" s="117"/>
    </row>
    <row r="935" spans="1:56" ht="15">
      <c r="A935" s="114"/>
      <c r="B935" s="691" t="s">
        <v>335</v>
      </c>
      <c r="C935" s="196"/>
      <c r="D935" s="196"/>
      <c r="E935" s="196"/>
      <c r="F935" s="284"/>
      <c r="G935" s="196"/>
      <c r="H935" s="196"/>
      <c r="I935" s="196"/>
      <c r="J935" s="114"/>
      <c r="AW935" s="117"/>
      <c r="AX935" s="117"/>
      <c r="AY935" s="117"/>
      <c r="AZ935" s="117"/>
      <c r="BA935" s="117"/>
      <c r="BB935" s="117"/>
      <c r="BC935" s="117"/>
      <c r="BD935" s="117"/>
    </row>
    <row r="936" spans="1:56" ht="15">
      <c r="A936" s="114"/>
      <c r="B936" s="703" t="s">
        <v>329</v>
      </c>
      <c r="C936" s="285">
        <v>28</v>
      </c>
      <c r="D936" s="286" t="s">
        <v>12</v>
      </c>
      <c r="E936" s="1199" t="s">
        <v>336</v>
      </c>
      <c r="F936" s="1200"/>
      <c r="G936" s="196"/>
      <c r="H936" s="196"/>
      <c r="I936" s="196"/>
      <c r="J936" s="114"/>
      <c r="AW936" s="117"/>
      <c r="AX936" s="117"/>
      <c r="AY936" s="117"/>
      <c r="AZ936" s="117"/>
      <c r="BA936" s="117"/>
      <c r="BB936" s="117"/>
      <c r="BC936" s="117"/>
      <c r="BD936" s="117"/>
    </row>
    <row r="937" spans="1:56" ht="15">
      <c r="A937" s="114"/>
      <c r="B937" s="703" t="s">
        <v>102</v>
      </c>
      <c r="C937" s="285">
        <v>1323</v>
      </c>
      <c r="D937" s="286" t="s">
        <v>12</v>
      </c>
      <c r="E937" s="1201"/>
      <c r="F937" s="1202"/>
      <c r="G937" s="196"/>
      <c r="H937" s="196"/>
      <c r="I937" s="196"/>
      <c r="J937" s="114"/>
      <c r="AW937" s="117"/>
      <c r="AX937" s="117"/>
      <c r="AY937" s="117"/>
      <c r="AZ937" s="117"/>
      <c r="BA937" s="117"/>
      <c r="BB937" s="117"/>
      <c r="BC937" s="117"/>
      <c r="BD937" s="117"/>
    </row>
    <row r="938" spans="1:56" ht="15">
      <c r="A938" s="114"/>
      <c r="B938" s="693"/>
      <c r="C938" s="196"/>
      <c r="D938" s="196"/>
      <c r="E938" s="196"/>
      <c r="F938" s="284"/>
      <c r="G938" s="196"/>
      <c r="H938" s="196"/>
      <c r="I938" s="196"/>
      <c r="J938" s="114"/>
      <c r="AW938" s="117"/>
      <c r="AX938" s="117"/>
      <c r="AY938" s="117"/>
      <c r="AZ938" s="117"/>
      <c r="BA938" s="117"/>
      <c r="BB938" s="117"/>
      <c r="BC938" s="117"/>
      <c r="BD938" s="117"/>
    </row>
    <row r="939" spans="1:56" ht="15">
      <c r="A939" s="114"/>
      <c r="B939" s="691" t="s">
        <v>337</v>
      </c>
      <c r="C939" s="196"/>
      <c r="D939" s="196"/>
      <c r="E939" s="196"/>
      <c r="F939" s="284"/>
      <c r="G939" s="196"/>
      <c r="H939" s="196"/>
      <c r="I939" s="196"/>
      <c r="J939" s="114"/>
      <c r="AW939" s="117"/>
      <c r="AX939" s="117"/>
      <c r="AY939" s="117"/>
      <c r="AZ939" s="117"/>
      <c r="BA939" s="117"/>
      <c r="BB939" s="117"/>
      <c r="BC939" s="117"/>
      <c r="BD939" s="117"/>
    </row>
    <row r="940" spans="1:56" ht="15.75" customHeight="1">
      <c r="A940" s="114"/>
      <c r="B940" s="703" t="s">
        <v>102</v>
      </c>
      <c r="C940" s="285">
        <v>10737</v>
      </c>
      <c r="D940" s="286" t="s">
        <v>12</v>
      </c>
      <c r="E940" s="768" t="s">
        <v>338</v>
      </c>
      <c r="F940" s="139"/>
      <c r="G940" s="196"/>
      <c r="H940" s="196"/>
      <c r="I940" s="196"/>
      <c r="J940" s="114"/>
      <c r="AW940" s="117"/>
      <c r="AX940" s="117"/>
      <c r="AY940" s="117"/>
      <c r="AZ940" s="117"/>
      <c r="BA940" s="117"/>
      <c r="BB940" s="117"/>
      <c r="BC940" s="117"/>
      <c r="BD940" s="117"/>
    </row>
    <row r="941" spans="1:56" ht="15">
      <c r="A941" s="114"/>
      <c r="B941" s="693"/>
      <c r="C941" s="196"/>
      <c r="D941" s="196"/>
      <c r="E941" s="196"/>
      <c r="F941" s="284"/>
      <c r="G941" s="196"/>
      <c r="H941" s="196"/>
      <c r="I941" s="196"/>
      <c r="J941" s="114"/>
      <c r="AW941" s="117"/>
      <c r="AX941" s="117"/>
      <c r="AY941" s="117"/>
      <c r="AZ941" s="117"/>
      <c r="BA941" s="117"/>
      <c r="BB941" s="117"/>
      <c r="BC941" s="117"/>
      <c r="BD941" s="117"/>
    </row>
    <row r="942" spans="1:56" ht="15">
      <c r="A942" s="114"/>
      <c r="B942" s="691" t="s">
        <v>339</v>
      </c>
      <c r="C942" s="196"/>
      <c r="D942" s="196"/>
      <c r="E942" s="196"/>
      <c r="F942" s="284"/>
      <c r="G942" s="196"/>
      <c r="H942" s="196"/>
      <c r="I942" s="196"/>
      <c r="J942" s="114"/>
      <c r="AW942" s="117"/>
      <c r="AX942" s="117"/>
      <c r="AY942" s="117"/>
      <c r="AZ942" s="117"/>
      <c r="BA942" s="117"/>
      <c r="BB942" s="117"/>
      <c r="BC942" s="117"/>
      <c r="BD942" s="117"/>
    </row>
    <row r="943" spans="1:56" ht="15">
      <c r="A943" s="114"/>
      <c r="B943" s="703" t="s">
        <v>329</v>
      </c>
      <c r="C943" s="285">
        <v>275</v>
      </c>
      <c r="D943" s="286" t="s">
        <v>12</v>
      </c>
      <c r="E943" s="1199" t="s">
        <v>340</v>
      </c>
      <c r="F943" s="1200"/>
      <c r="G943" s="196"/>
      <c r="H943" s="196"/>
      <c r="I943" s="196"/>
      <c r="J943" s="114"/>
      <c r="AW943" s="117"/>
      <c r="AX943" s="117"/>
      <c r="AY943" s="117"/>
      <c r="AZ943" s="117"/>
      <c r="BA943" s="117"/>
      <c r="BB943" s="117"/>
      <c r="BC943" s="117"/>
      <c r="BD943" s="117"/>
    </row>
    <row r="944" spans="1:56" ht="15">
      <c r="A944" s="114"/>
      <c r="B944" s="703" t="s">
        <v>102</v>
      </c>
      <c r="C944" s="285">
        <v>5089</v>
      </c>
      <c r="D944" s="286" t="s">
        <v>12</v>
      </c>
      <c r="E944" s="1201"/>
      <c r="F944" s="1202"/>
      <c r="G944" s="196"/>
      <c r="H944" s="196"/>
      <c r="I944" s="196"/>
      <c r="J944" s="114"/>
      <c r="AW944" s="117"/>
      <c r="AX944" s="117"/>
      <c r="AY944" s="117"/>
      <c r="AZ944" s="117"/>
      <c r="BA944" s="117"/>
      <c r="BB944" s="117"/>
      <c r="BC944" s="117"/>
      <c r="BD944" s="117"/>
    </row>
    <row r="945" spans="1:56" ht="15">
      <c r="A945" s="114"/>
      <c r="B945" s="693"/>
      <c r="C945" s="196"/>
      <c r="D945" s="196"/>
      <c r="E945" s="196"/>
      <c r="F945" s="284"/>
      <c r="G945" s="196"/>
      <c r="H945" s="196"/>
      <c r="I945" s="196"/>
      <c r="J945" s="114"/>
      <c r="AW945" s="117"/>
      <c r="AX945" s="117"/>
      <c r="AY945" s="117"/>
      <c r="AZ945" s="117"/>
      <c r="BA945" s="117"/>
      <c r="BB945" s="117"/>
      <c r="BC945" s="117"/>
      <c r="BD945" s="117"/>
    </row>
    <row r="946" spans="1:56" ht="15">
      <c r="A946" s="114"/>
      <c r="B946" s="691" t="s">
        <v>341</v>
      </c>
      <c r="C946" s="196"/>
      <c r="D946" s="196"/>
      <c r="E946" s="196"/>
      <c r="F946" s="284"/>
      <c r="G946" s="196"/>
      <c r="H946" s="196"/>
      <c r="I946" s="196"/>
      <c r="J946" s="114"/>
      <c r="AW946" s="117"/>
      <c r="AX946" s="117"/>
      <c r="AY946" s="117"/>
      <c r="AZ946" s="117"/>
      <c r="BA946" s="117"/>
      <c r="BB946" s="117"/>
      <c r="BC946" s="117"/>
      <c r="BD946" s="117"/>
    </row>
    <row r="947" spans="1:56" ht="15">
      <c r="A947" s="114"/>
      <c r="B947" s="703" t="s">
        <v>329</v>
      </c>
      <c r="C947" s="285">
        <v>140</v>
      </c>
      <c r="D947" s="286" t="s">
        <v>12</v>
      </c>
      <c r="E947" s="1199" t="s">
        <v>342</v>
      </c>
      <c r="F947" s="1200"/>
      <c r="G947" s="196"/>
      <c r="H947" s="196"/>
      <c r="I947" s="196"/>
      <c r="J947" s="114"/>
      <c r="AW947" s="117"/>
      <c r="AX947" s="117"/>
      <c r="AY947" s="117"/>
      <c r="AZ947" s="117"/>
      <c r="BA947" s="117"/>
      <c r="BB947" s="117"/>
      <c r="BC947" s="117"/>
      <c r="BD947" s="117"/>
    </row>
    <row r="948" spans="1:56" ht="15">
      <c r="A948" s="114"/>
      <c r="B948" s="703" t="s">
        <v>102</v>
      </c>
      <c r="C948" s="285">
        <v>3039</v>
      </c>
      <c r="D948" s="286" t="s">
        <v>12</v>
      </c>
      <c r="E948" s="1201"/>
      <c r="F948" s="1202"/>
      <c r="G948" s="196"/>
      <c r="H948" s="196"/>
      <c r="I948" s="196"/>
      <c r="J948" s="114"/>
      <c r="AW948" s="117"/>
      <c r="AX948" s="117"/>
      <c r="AY948" s="117"/>
      <c r="AZ948" s="117"/>
      <c r="BA948" s="117"/>
      <c r="BB948" s="117"/>
      <c r="BC948" s="117"/>
      <c r="BD948" s="117"/>
    </row>
    <row r="949" spans="1:56" ht="15">
      <c r="A949" s="114"/>
      <c r="B949" s="693"/>
      <c r="C949" s="196"/>
      <c r="D949" s="196"/>
      <c r="E949" s="196"/>
      <c r="F949" s="284"/>
      <c r="G949" s="196"/>
      <c r="H949" s="196"/>
      <c r="I949" s="196"/>
      <c r="J949" s="114"/>
      <c r="AW949" s="117"/>
      <c r="AX949" s="117"/>
      <c r="AY949" s="117"/>
      <c r="AZ949" s="117"/>
      <c r="BA949" s="117"/>
      <c r="BB949" s="117"/>
      <c r="BC949" s="117"/>
      <c r="BD949" s="117"/>
    </row>
    <row r="950" spans="1:56" ht="15">
      <c r="A950" s="114"/>
      <c r="B950" s="691" t="s">
        <v>343</v>
      </c>
      <c r="C950" s="196"/>
      <c r="D950" s="196"/>
      <c r="E950" s="196"/>
      <c r="F950" s="284"/>
      <c r="G950" s="196"/>
      <c r="H950" s="196"/>
      <c r="I950" s="196"/>
      <c r="J950" s="114"/>
      <c r="AW950" s="117"/>
      <c r="AX950" s="117"/>
      <c r="AY950" s="117"/>
      <c r="AZ950" s="117"/>
      <c r="BA950" s="117"/>
      <c r="BB950" s="117"/>
      <c r="BC950" s="117"/>
      <c r="BD950" s="117"/>
    </row>
    <row r="951" spans="1:56" ht="15">
      <c r="A951" s="114"/>
      <c r="B951" s="703" t="s">
        <v>329</v>
      </c>
      <c r="C951" s="285">
        <v>25</v>
      </c>
      <c r="D951" s="286" t="s">
        <v>12</v>
      </c>
      <c r="E951" s="1199" t="s">
        <v>344</v>
      </c>
      <c r="F951" s="1200"/>
      <c r="G951" s="196"/>
      <c r="H951" s="196"/>
      <c r="I951" s="196"/>
      <c r="J951" s="114"/>
      <c r="AW951" s="117"/>
      <c r="AX951" s="117"/>
      <c r="AY951" s="117"/>
      <c r="AZ951" s="117"/>
      <c r="BA951" s="117"/>
      <c r="BB951" s="117"/>
      <c r="BC951" s="117"/>
      <c r="BD951" s="117"/>
    </row>
    <row r="952" spans="1:56" ht="15">
      <c r="A952" s="114"/>
      <c r="B952" s="703" t="s">
        <v>102</v>
      </c>
      <c r="C952" s="285">
        <v>2638</v>
      </c>
      <c r="D952" s="286" t="s">
        <v>12</v>
      </c>
      <c r="E952" s="1201"/>
      <c r="F952" s="1202"/>
      <c r="G952" s="196"/>
      <c r="H952" s="196"/>
      <c r="I952" s="196"/>
      <c r="J952" s="114"/>
      <c r="AW952" s="117"/>
      <c r="AX952" s="117"/>
      <c r="AY952" s="117"/>
      <c r="AZ952" s="117"/>
      <c r="BA952" s="117"/>
      <c r="BB952" s="117"/>
      <c r="BC952" s="117"/>
      <c r="BD952" s="117"/>
    </row>
    <row r="953" spans="1:56" ht="15">
      <c r="A953" s="114"/>
      <c r="B953" s="693"/>
      <c r="C953" s="196"/>
      <c r="D953" s="196"/>
      <c r="E953" s="196"/>
      <c r="F953" s="284"/>
      <c r="G953" s="196"/>
      <c r="H953" s="196"/>
      <c r="I953" s="196"/>
      <c r="J953" s="114"/>
      <c r="AW953" s="117"/>
      <c r="AX953" s="117"/>
      <c r="AY953" s="117"/>
      <c r="AZ953" s="117"/>
      <c r="BA953" s="117"/>
      <c r="BB953" s="117"/>
      <c r="BC953" s="117"/>
      <c r="BD953" s="117"/>
    </row>
    <row r="954" spans="1:56" ht="15">
      <c r="A954" s="114"/>
      <c r="B954" s="691" t="s">
        <v>345</v>
      </c>
      <c r="C954" s="196"/>
      <c r="D954" s="196"/>
      <c r="E954" s="196"/>
      <c r="F954" s="284"/>
      <c r="G954" s="196"/>
      <c r="H954" s="196"/>
      <c r="I954" s="196"/>
      <c r="J954" s="114"/>
      <c r="AW954" s="117"/>
      <c r="AX954" s="117"/>
      <c r="AY954" s="117"/>
      <c r="AZ954" s="117"/>
      <c r="BA954" s="117"/>
      <c r="BB954" s="117"/>
      <c r="BC954" s="117"/>
      <c r="BD954" s="117"/>
    </row>
    <row r="955" spans="1:56" ht="15">
      <c r="A955" s="114"/>
      <c r="B955" s="703" t="s">
        <v>329</v>
      </c>
      <c r="C955" s="285">
        <v>9</v>
      </c>
      <c r="D955" s="286" t="s">
        <v>12</v>
      </c>
      <c r="E955" s="1199" t="s">
        <v>346</v>
      </c>
      <c r="F955" s="1200"/>
      <c r="G955" s="196"/>
      <c r="H955" s="196"/>
      <c r="I955" s="196"/>
      <c r="J955" s="114"/>
      <c r="AW955" s="117"/>
      <c r="AX955" s="117"/>
      <c r="AY955" s="117"/>
      <c r="AZ955" s="117"/>
      <c r="BA955" s="117"/>
      <c r="BB955" s="117"/>
      <c r="BC955" s="117"/>
      <c r="BD955" s="117"/>
    </row>
    <row r="956" spans="1:56" ht="15">
      <c r="A956" s="114"/>
      <c r="B956" s="703" t="s">
        <v>102</v>
      </c>
      <c r="C956" s="285">
        <v>1628</v>
      </c>
      <c r="D956" s="286" t="s">
        <v>12</v>
      </c>
      <c r="E956" s="1201"/>
      <c r="F956" s="1202"/>
      <c r="G956" s="196"/>
      <c r="H956" s="196"/>
      <c r="I956" s="196"/>
      <c r="J956" s="114"/>
      <c r="AW956" s="117"/>
      <c r="AX956" s="117"/>
      <c r="AY956" s="117"/>
      <c r="AZ956" s="117"/>
      <c r="BA956" s="117"/>
      <c r="BB956" s="117"/>
      <c r="BC956" s="117"/>
      <c r="BD956" s="117"/>
    </row>
    <row r="957" spans="1:56" ht="15">
      <c r="A957" s="114"/>
      <c r="B957" s="693"/>
      <c r="C957" s="196"/>
      <c r="D957" s="196"/>
      <c r="E957" s="196"/>
      <c r="F957" s="284"/>
      <c r="G957" s="196"/>
      <c r="H957" s="196"/>
      <c r="I957" s="196"/>
      <c r="J957" s="114"/>
      <c r="AW957" s="117"/>
      <c r="AX957" s="117"/>
      <c r="AY957" s="117"/>
      <c r="AZ957" s="117"/>
      <c r="BA957" s="117"/>
      <c r="BB957" s="117"/>
      <c r="BC957" s="117"/>
      <c r="BD957" s="117"/>
    </row>
    <row r="958" spans="1:56" ht="15">
      <c r="A958" s="114"/>
      <c r="B958" s="691" t="s">
        <v>347</v>
      </c>
      <c r="C958" s="196"/>
      <c r="D958" s="196"/>
      <c r="E958" s="196"/>
      <c r="F958" s="284"/>
      <c r="G958" s="196"/>
      <c r="H958" s="196"/>
      <c r="I958" s="196"/>
      <c r="J958" s="114"/>
      <c r="AW958" s="117"/>
      <c r="AX958" s="117"/>
      <c r="AY958" s="117"/>
      <c r="AZ958" s="117"/>
      <c r="BA958" s="117"/>
      <c r="BB958" s="117"/>
      <c r="BC958" s="117"/>
      <c r="BD958" s="117"/>
    </row>
    <row r="959" spans="1:56" ht="15">
      <c r="A959" s="114"/>
      <c r="B959" s="703" t="s">
        <v>102</v>
      </c>
      <c r="C959" s="285">
        <v>522</v>
      </c>
      <c r="D959" s="286" t="s">
        <v>12</v>
      </c>
      <c r="E959" s="1305" t="s">
        <v>348</v>
      </c>
      <c r="F959" s="1306"/>
      <c r="G959" s="196"/>
      <c r="H959" s="196"/>
      <c r="I959" s="196"/>
      <c r="J959" s="114"/>
      <c r="AW959" s="117"/>
      <c r="AX959" s="117"/>
      <c r="AY959" s="117"/>
      <c r="AZ959" s="117"/>
      <c r="BA959" s="117"/>
      <c r="BB959" s="117"/>
      <c r="BC959" s="117"/>
      <c r="BD959" s="117"/>
    </row>
    <row r="960" spans="1:56" ht="15">
      <c r="A960" s="114"/>
      <c r="B960" s="693"/>
      <c r="C960" s="196"/>
      <c r="D960" s="196"/>
      <c r="E960" s="196"/>
      <c r="F960" s="284"/>
      <c r="G960" s="196"/>
      <c r="H960" s="196"/>
      <c r="I960" s="196"/>
      <c r="J960" s="114"/>
      <c r="AW960" s="117"/>
      <c r="AX960" s="117"/>
      <c r="AY960" s="117"/>
      <c r="AZ960" s="117"/>
      <c r="BA960" s="117"/>
      <c r="BB960" s="117"/>
      <c r="BC960" s="117"/>
      <c r="BD960" s="117"/>
    </row>
    <row r="961" spans="1:56" ht="15">
      <c r="A961" s="114"/>
      <c r="B961" s="691" t="s">
        <v>2352</v>
      </c>
      <c r="C961" s="196"/>
      <c r="D961" s="196"/>
      <c r="E961" s="196"/>
      <c r="F961" s="284"/>
      <c r="G961" s="196"/>
      <c r="H961" s="196"/>
      <c r="I961" s="196"/>
      <c r="J961" s="114"/>
      <c r="AW961" s="117"/>
      <c r="AX961" s="117"/>
      <c r="AY961" s="117"/>
      <c r="AZ961" s="117"/>
      <c r="BA961" s="117"/>
      <c r="BB961" s="117"/>
      <c r="BC961" s="117"/>
      <c r="BD961" s="117"/>
    </row>
    <row r="962" spans="1:56" ht="15">
      <c r="A962" s="114"/>
      <c r="B962" s="703" t="s">
        <v>329</v>
      </c>
      <c r="C962" s="285">
        <v>26</v>
      </c>
      <c r="D962" s="286" t="s">
        <v>12</v>
      </c>
      <c r="E962" s="1199" t="s">
        <v>349</v>
      </c>
      <c r="F962" s="1200"/>
      <c r="G962" s="196"/>
      <c r="H962" s="196"/>
      <c r="I962" s="196"/>
      <c r="J962" s="114"/>
      <c r="AW962" s="117"/>
      <c r="AX962" s="117"/>
      <c r="AY962" s="117"/>
      <c r="AZ962" s="117"/>
      <c r="BA962" s="117"/>
      <c r="BB962" s="117"/>
      <c r="BC962" s="117"/>
      <c r="BD962" s="117"/>
    </row>
    <row r="963" spans="1:56" ht="15">
      <c r="A963" s="114"/>
      <c r="B963" s="703" t="s">
        <v>102</v>
      </c>
      <c r="C963" s="285">
        <v>759</v>
      </c>
      <c r="D963" s="286" t="s">
        <v>12</v>
      </c>
      <c r="E963" s="1201"/>
      <c r="F963" s="1202"/>
      <c r="G963" s="196"/>
      <c r="H963" s="196"/>
      <c r="I963" s="196"/>
      <c r="J963" s="114"/>
      <c r="AW963" s="117"/>
      <c r="AX963" s="117"/>
      <c r="AY963" s="117"/>
      <c r="AZ963" s="117"/>
      <c r="BA963" s="117"/>
      <c r="BB963" s="117"/>
      <c r="BC963" s="117"/>
      <c r="BD963" s="117"/>
    </row>
    <row r="964" spans="1:56" ht="15">
      <c r="A964" s="114"/>
      <c r="B964" s="693"/>
      <c r="C964" s="196"/>
      <c r="D964" s="196"/>
      <c r="E964" s="196"/>
      <c r="F964" s="284"/>
      <c r="G964" s="196"/>
      <c r="H964" s="196"/>
      <c r="I964" s="196"/>
      <c r="J964" s="114"/>
      <c r="AW964" s="117"/>
      <c r="AX964" s="117"/>
      <c r="AY964" s="117"/>
      <c r="AZ964" s="117"/>
      <c r="BA964" s="117"/>
      <c r="BB964" s="117"/>
      <c r="BC964" s="117"/>
      <c r="BD964" s="117"/>
    </row>
    <row r="965" spans="1:56" ht="15">
      <c r="A965" s="114"/>
      <c r="B965" s="691" t="s">
        <v>2353</v>
      </c>
      <c r="C965" s="196"/>
      <c r="D965" s="196"/>
      <c r="E965" s="196"/>
      <c r="F965" s="284"/>
      <c r="G965" s="196"/>
      <c r="H965" s="196"/>
      <c r="I965" s="196"/>
      <c r="J965" s="114"/>
      <c r="AW965" s="117"/>
      <c r="AX965" s="117"/>
      <c r="AY965" s="117"/>
      <c r="AZ965" s="117"/>
      <c r="BA965" s="117"/>
      <c r="BB965" s="117"/>
      <c r="BC965" s="117"/>
      <c r="BD965" s="117"/>
    </row>
    <row r="966" spans="1:56" ht="15">
      <c r="A966" s="114"/>
      <c r="B966" s="703" t="s">
        <v>329</v>
      </c>
      <c r="C966" s="285">
        <v>61</v>
      </c>
      <c r="D966" s="286" t="s">
        <v>12</v>
      </c>
      <c r="E966" s="1199" t="s">
        <v>350</v>
      </c>
      <c r="F966" s="1200"/>
      <c r="G966" s="196"/>
      <c r="H966" s="196"/>
      <c r="I966" s="196"/>
      <c r="J966" s="114"/>
      <c r="AW966" s="117"/>
      <c r="AX966" s="117"/>
      <c r="AY966" s="117"/>
      <c r="AZ966" s="117"/>
      <c r="BA966" s="117"/>
      <c r="BB966" s="117"/>
      <c r="BC966" s="117"/>
      <c r="BD966" s="117"/>
    </row>
    <row r="967" spans="1:56" ht="15">
      <c r="A967" s="114"/>
      <c r="B967" s="703"/>
      <c r="C967" s="285">
        <v>6</v>
      </c>
      <c r="D967" s="286" t="s">
        <v>12</v>
      </c>
      <c r="E967" s="1216"/>
      <c r="F967" s="1217"/>
      <c r="G967" s="196"/>
      <c r="H967" s="196"/>
      <c r="I967" s="196"/>
      <c r="J967" s="114"/>
      <c r="AW967" s="117"/>
      <c r="AX967" s="117"/>
      <c r="AY967" s="117"/>
      <c r="AZ967" s="117"/>
      <c r="BA967" s="117"/>
      <c r="BB967" s="117"/>
      <c r="BC967" s="117"/>
      <c r="BD967" s="117"/>
    </row>
    <row r="968" spans="1:56" ht="15">
      <c r="A968" s="114"/>
      <c r="B968" s="703" t="s">
        <v>102</v>
      </c>
      <c r="C968" s="285">
        <v>992</v>
      </c>
      <c r="D968" s="286" t="s">
        <v>12</v>
      </c>
      <c r="E968" s="1216"/>
      <c r="F968" s="1217"/>
      <c r="G968" s="196"/>
      <c r="H968" s="196"/>
      <c r="I968" s="196"/>
      <c r="J968" s="114"/>
      <c r="AW968" s="117"/>
      <c r="AX968" s="117"/>
      <c r="AY968" s="117"/>
      <c r="AZ968" s="117"/>
      <c r="BA968" s="117"/>
      <c r="BB968" s="117"/>
      <c r="BC968" s="117"/>
      <c r="BD968" s="117"/>
    </row>
    <row r="969" spans="1:56" ht="15">
      <c r="A969" s="114"/>
      <c r="B969" s="703"/>
      <c r="C969" s="285">
        <v>35</v>
      </c>
      <c r="D969" s="286" t="s">
        <v>12</v>
      </c>
      <c r="E969" s="1201"/>
      <c r="F969" s="1202"/>
      <c r="G969" s="196"/>
      <c r="H969" s="196"/>
      <c r="I969" s="196"/>
      <c r="J969" s="114"/>
      <c r="AW969" s="117"/>
      <c r="AX969" s="117"/>
      <c r="AY969" s="117"/>
      <c r="AZ969" s="117"/>
      <c r="BA969" s="117"/>
      <c r="BB969" s="117"/>
      <c r="BC969" s="117"/>
      <c r="BD969" s="117"/>
    </row>
    <row r="970" spans="1:56" ht="15">
      <c r="A970" s="114"/>
      <c r="B970" s="694"/>
      <c r="C970" s="287"/>
      <c r="D970" s="196"/>
      <c r="E970" s="288"/>
      <c r="F970" s="284"/>
      <c r="G970" s="196"/>
      <c r="H970" s="196"/>
      <c r="I970" s="196"/>
      <c r="J970" s="114"/>
      <c r="AW970" s="117"/>
      <c r="AX970" s="117"/>
      <c r="AY970" s="117"/>
      <c r="AZ970" s="117"/>
      <c r="BA970" s="117"/>
      <c r="BB970" s="117"/>
      <c r="BC970" s="117"/>
      <c r="BD970" s="117"/>
    </row>
    <row r="971" spans="1:56" ht="15">
      <c r="A971" s="114"/>
      <c r="B971" s="691" t="s">
        <v>351</v>
      </c>
      <c r="C971" s="287"/>
      <c r="D971" s="196"/>
      <c r="E971" s="288"/>
      <c r="F971" s="284"/>
      <c r="G971" s="196"/>
      <c r="H971" s="196"/>
      <c r="I971" s="196"/>
      <c r="J971" s="114"/>
      <c r="AW971" s="117"/>
      <c r="AX971" s="117"/>
      <c r="AY971" s="117"/>
      <c r="AZ971" s="117"/>
      <c r="BA971" s="117"/>
      <c r="BB971" s="117"/>
      <c r="BC971" s="117"/>
      <c r="BD971" s="117"/>
    </row>
    <row r="972" spans="1:56" ht="15">
      <c r="A972" s="114"/>
      <c r="B972" s="718" t="s">
        <v>352</v>
      </c>
      <c r="C972" s="289"/>
      <c r="D972" s="290"/>
      <c r="E972" s="291">
        <f>SUM(C968:C969,C916,C963,C959,C956,C952,C948,C944,C940,C937,C933,C929,C925,C921,C912)</f>
        <v>55070</v>
      </c>
      <c r="F972" s="139" t="s">
        <v>12</v>
      </c>
      <c r="G972" s="362"/>
      <c r="H972" s="362"/>
      <c r="I972" s="362"/>
      <c r="J972" s="114"/>
      <c r="AU972" s="117"/>
      <c r="AV972" s="117"/>
      <c r="AW972" s="117"/>
      <c r="AX972" s="117"/>
      <c r="AY972" s="117"/>
      <c r="AZ972" s="117"/>
      <c r="BA972" s="117"/>
      <c r="BB972" s="117"/>
      <c r="BC972" s="117"/>
      <c r="BD972" s="117"/>
    </row>
    <row r="973" spans="1:56" thickBot="1">
      <c r="A973" s="114"/>
      <c r="B973" s="720" t="s">
        <v>353</v>
      </c>
      <c r="C973" s="174"/>
      <c r="D973" s="176"/>
      <c r="E973" s="428">
        <f>SUM(C966:C967,C962,C955,C951,C947,C943,C936,C932,C928,C924,C919:C920)</f>
        <v>3203</v>
      </c>
      <c r="F973" s="292" t="s">
        <v>12</v>
      </c>
      <c r="G973" s="362"/>
      <c r="H973" s="362"/>
      <c r="I973" s="362"/>
      <c r="J973" s="114"/>
      <c r="AU973" s="117"/>
      <c r="AV973" s="117"/>
      <c r="AW973" s="117"/>
      <c r="AX973" s="117"/>
      <c r="AY973" s="117"/>
      <c r="AZ973" s="117"/>
      <c r="BA973" s="117"/>
      <c r="BB973" s="117"/>
      <c r="BC973" s="117"/>
      <c r="BD973" s="117"/>
    </row>
    <row r="974" spans="1:56" thickBot="1">
      <c r="A974" s="114"/>
      <c r="B974" s="293"/>
      <c r="C974" s="81"/>
      <c r="D974" s="81"/>
      <c r="E974" s="81"/>
      <c r="F974" s="81"/>
      <c r="G974" s="81"/>
      <c r="H974" s="82"/>
      <c r="I974" s="82"/>
      <c r="J974" s="114"/>
      <c r="AW974" s="117"/>
      <c r="AX974" s="117"/>
      <c r="AY974" s="117"/>
      <c r="AZ974" s="117"/>
      <c r="BA974" s="117"/>
      <c r="BB974" s="117"/>
      <c r="BC974" s="117"/>
      <c r="BD974" s="117"/>
    </row>
    <row r="975" spans="1:56" ht="24.75" thickTop="1" thickBot="1">
      <c r="A975" s="114"/>
      <c r="B975" s="579" t="s">
        <v>91</v>
      </c>
      <c r="C975" s="186"/>
      <c r="D975" s="186"/>
      <c r="E975" s="186"/>
      <c r="F975" s="186"/>
      <c r="G975" s="186"/>
      <c r="H975" s="186"/>
      <c r="I975" s="186"/>
      <c r="J975" s="186"/>
    </row>
    <row r="976" spans="1:56" ht="17.25" thickTop="1" thickBot="1">
      <c r="A976" s="114"/>
      <c r="B976" s="115"/>
      <c r="C976" s="115"/>
      <c r="D976" s="115"/>
      <c r="E976" s="115"/>
      <c r="F976" s="115"/>
      <c r="G976" s="115"/>
      <c r="H976" s="115"/>
      <c r="I976" s="115"/>
      <c r="J976" s="114"/>
      <c r="AW976" s="117"/>
      <c r="AX976" s="117"/>
      <c r="AY976" s="117"/>
      <c r="AZ976" s="117"/>
      <c r="BA976" s="117"/>
      <c r="BB976" s="117"/>
      <c r="BC976" s="117"/>
      <c r="BD976" s="117"/>
    </row>
    <row r="977" spans="1:56" ht="15">
      <c r="A977" s="114"/>
      <c r="B977" s="780" t="s">
        <v>2273</v>
      </c>
      <c r="C977" s="294"/>
      <c r="D977" s="294"/>
      <c r="E977" s="294"/>
      <c r="F977" s="294"/>
      <c r="G977" s="294"/>
      <c r="H977" s="295"/>
      <c r="I977" s="295"/>
      <c r="J977" s="565"/>
      <c r="BB977" s="117"/>
      <c r="BC977" s="117"/>
      <c r="BD977" s="117"/>
    </row>
    <row r="978" spans="1:56" ht="15">
      <c r="A978" s="114"/>
      <c r="B978" s="296" t="s">
        <v>354</v>
      </c>
      <c r="C978" s="81"/>
      <c r="D978" s="81"/>
      <c r="E978" s="81"/>
      <c r="F978" s="81"/>
      <c r="G978" s="81"/>
      <c r="H978" s="82"/>
      <c r="I978" s="82"/>
      <c r="J978" s="6"/>
      <c r="BB978" s="117"/>
      <c r="BC978" s="117"/>
      <c r="BD978" s="117"/>
    </row>
    <row r="979" spans="1:56" ht="15">
      <c r="A979" s="114"/>
      <c r="B979" s="288" t="s">
        <v>1787</v>
      </c>
      <c r="C979" s="230"/>
      <c r="D979" s="230"/>
      <c r="E979" s="384"/>
      <c r="F979" s="196"/>
      <c r="G979" s="196"/>
      <c r="H979" s="196"/>
      <c r="I979" s="196"/>
      <c r="J979" s="114"/>
      <c r="AW979" s="117"/>
      <c r="AX979" s="117"/>
      <c r="AY979" s="117"/>
      <c r="AZ979" s="117"/>
      <c r="BA979" s="117"/>
      <c r="BB979" s="117"/>
      <c r="BC979" s="117"/>
      <c r="BD979" s="117"/>
    </row>
    <row r="980" spans="1:56" ht="15">
      <c r="A980" s="114"/>
      <c r="B980" s="293"/>
      <c r="C980" s="81"/>
      <c r="D980" s="81"/>
      <c r="E980" s="81"/>
      <c r="F980" s="81"/>
      <c r="G980" s="81"/>
      <c r="H980" s="82"/>
      <c r="I980" s="82"/>
      <c r="J980" s="6"/>
      <c r="BB980" s="117"/>
      <c r="BC980" s="117"/>
      <c r="BD980" s="117"/>
    </row>
    <row r="981" spans="1:56" ht="15">
      <c r="A981" s="114"/>
      <c r="B981" s="242" t="s">
        <v>97</v>
      </c>
      <c r="C981" s="199" t="s">
        <v>61</v>
      </c>
      <c r="D981" s="199" t="s">
        <v>82</v>
      </c>
      <c r="E981" s="199" t="s">
        <v>66</v>
      </c>
      <c r="F981" s="199" t="s">
        <v>62</v>
      </c>
      <c r="G981" s="243" t="s">
        <v>99</v>
      </c>
      <c r="H981" s="243" t="s">
        <v>68</v>
      </c>
      <c r="I981" s="82"/>
      <c r="J981" s="362"/>
      <c r="BB981" s="117"/>
      <c r="BC981" s="117"/>
      <c r="BD981" s="117"/>
    </row>
    <row r="982" spans="1:56" ht="15">
      <c r="A982" s="114"/>
      <c r="B982" s="244" t="s">
        <v>157</v>
      </c>
      <c r="C982" s="200">
        <v>1</v>
      </c>
      <c r="D982" s="245">
        <v>0.2</v>
      </c>
      <c r="E982" s="201">
        <v>1.1499999999999999</v>
      </c>
      <c r="F982" s="201">
        <v>53.28</v>
      </c>
      <c r="G982" s="202">
        <f>D982*E982*F982*C982</f>
        <v>12.254399999999999</v>
      </c>
      <c r="H982" s="202">
        <f>((E982*2)+D982)*F982*C982</f>
        <v>133.19999999999999</v>
      </c>
      <c r="I982" s="82"/>
      <c r="J982" s="362"/>
      <c r="BB982" s="117"/>
      <c r="BC982" s="117"/>
      <c r="BD982" s="117"/>
    </row>
    <row r="983" spans="1:56" ht="15">
      <c r="A983" s="114"/>
      <c r="B983" s="244" t="s">
        <v>119</v>
      </c>
      <c r="C983" s="200">
        <v>1</v>
      </c>
      <c r="D983" s="245">
        <v>0.2</v>
      </c>
      <c r="E983" s="201">
        <v>1.1499999999999999</v>
      </c>
      <c r="F983" s="201">
        <v>53.28</v>
      </c>
      <c r="G983" s="202">
        <f>D983*E983*F983*C983</f>
        <v>12.254399999999999</v>
      </c>
      <c r="H983" s="202">
        <f>((E983*2)+D983)*F983*C983</f>
        <v>133.19999999999999</v>
      </c>
      <c r="I983" s="82"/>
      <c r="J983" s="362"/>
      <c r="BB983" s="117"/>
      <c r="BC983" s="117"/>
      <c r="BD983" s="117"/>
    </row>
    <row r="984" spans="1:56" ht="15">
      <c r="A984" s="114"/>
      <c r="B984" s="244" t="s">
        <v>158</v>
      </c>
      <c r="C984" s="200">
        <v>1</v>
      </c>
      <c r="D984" s="245">
        <v>0.2</v>
      </c>
      <c r="E984" s="201">
        <v>1.1499999999999999</v>
      </c>
      <c r="F984" s="201">
        <v>11.1</v>
      </c>
      <c r="G984" s="202">
        <f>D984*E984*F984*C984</f>
        <v>2.5529999999999999</v>
      </c>
      <c r="H984" s="202">
        <f>((E984*2)+D984)*F984*C984</f>
        <v>27.75</v>
      </c>
      <c r="I984" s="82"/>
      <c r="J984" s="362"/>
      <c r="BB984" s="117"/>
      <c r="BC984" s="117"/>
      <c r="BD984" s="117"/>
    </row>
    <row r="985" spans="1:56" ht="15">
      <c r="A985" s="114"/>
      <c r="B985" s="244" t="s">
        <v>153</v>
      </c>
      <c r="C985" s="200">
        <v>1</v>
      </c>
      <c r="D985" s="245">
        <v>0.2</v>
      </c>
      <c r="E985" s="201">
        <v>1.1499999999999999</v>
      </c>
      <c r="F985" s="201">
        <v>11.1</v>
      </c>
      <c r="G985" s="202">
        <f>D985*E985*F985*C985</f>
        <v>2.5529999999999999</v>
      </c>
      <c r="H985" s="202">
        <f>((E985*2)+D985)*F985*C985</f>
        <v>27.75</v>
      </c>
      <c r="I985" s="82"/>
      <c r="J985" s="362"/>
      <c r="BB985" s="117"/>
      <c r="BC985" s="117"/>
      <c r="BD985" s="117"/>
    </row>
    <row r="986" spans="1:56" ht="15">
      <c r="A986" s="114"/>
      <c r="B986" s="114"/>
      <c r="C986" s="114"/>
      <c r="D986" s="114"/>
      <c r="E986" s="114"/>
      <c r="F986" s="254" t="s">
        <v>76</v>
      </c>
      <c r="G986" s="228">
        <f>SUM(G982:G985)</f>
        <v>29.614799999999999</v>
      </c>
      <c r="H986" s="228">
        <f>SUM(H982:H985)</f>
        <v>321.89999999999998</v>
      </c>
      <c r="I986" s="82"/>
      <c r="J986" s="362"/>
      <c r="BB986" s="117"/>
      <c r="BC986" s="117"/>
      <c r="BD986" s="117"/>
    </row>
    <row r="987" spans="1:56" ht="15">
      <c r="A987" s="114"/>
      <c r="B987" s="114"/>
      <c r="C987" s="114"/>
      <c r="D987" s="114"/>
      <c r="E987" s="114"/>
      <c r="F987" s="114"/>
      <c r="G987" s="114"/>
      <c r="H987" s="114"/>
      <c r="I987" s="82"/>
      <c r="J987" s="362"/>
      <c r="BB987" s="117"/>
      <c r="BC987" s="117"/>
      <c r="BD987" s="117"/>
    </row>
    <row r="988" spans="1:56" ht="15">
      <c r="A988" s="114"/>
      <c r="B988" s="242" t="s">
        <v>96</v>
      </c>
      <c r="C988" s="199" t="s">
        <v>61</v>
      </c>
      <c r="D988" s="199" t="s">
        <v>82</v>
      </c>
      <c r="E988" s="199" t="s">
        <v>66</v>
      </c>
      <c r="F988" s="199" t="s">
        <v>62</v>
      </c>
      <c r="G988" s="243" t="s">
        <v>99</v>
      </c>
      <c r="H988" s="243" t="s">
        <v>68</v>
      </c>
      <c r="I988" s="82"/>
      <c r="J988" s="114"/>
      <c r="BB988" s="117"/>
      <c r="BC988" s="117"/>
      <c r="BD988" s="117"/>
    </row>
    <row r="989" spans="1:56" ht="15">
      <c r="A989" s="114"/>
      <c r="B989" s="244" t="s">
        <v>355</v>
      </c>
      <c r="C989" s="200">
        <v>1</v>
      </c>
      <c r="D989" s="245">
        <v>0.3</v>
      </c>
      <c r="E989" s="201">
        <v>0.6</v>
      </c>
      <c r="F989" s="201">
        <v>6.55</v>
      </c>
      <c r="G989" s="202">
        <f>D989*E989*F989*C989</f>
        <v>1.1789999999999998</v>
      </c>
      <c r="H989" s="202">
        <f t="shared" ref="H989:H1028" si="12">(D989+E989)*2*F989*C989</f>
        <v>11.79</v>
      </c>
      <c r="I989" s="82"/>
      <c r="J989" s="114"/>
      <c r="BB989" s="117"/>
      <c r="BC989" s="117"/>
      <c r="BD989" s="117"/>
    </row>
    <row r="990" spans="1:56" ht="15">
      <c r="A990" s="114"/>
      <c r="B990" s="244" t="s">
        <v>356</v>
      </c>
      <c r="C990" s="200">
        <v>1</v>
      </c>
      <c r="D990" s="245">
        <v>0.3</v>
      </c>
      <c r="E990" s="201">
        <v>0.6</v>
      </c>
      <c r="F990" s="201">
        <v>5.4</v>
      </c>
      <c r="G990" s="202">
        <f t="shared" ref="G990:G1028" si="13">D990*E990*F990*C990</f>
        <v>0.97199999999999998</v>
      </c>
      <c r="H990" s="202">
        <f t="shared" si="12"/>
        <v>9.7199999999999989</v>
      </c>
      <c r="I990" s="82"/>
      <c r="J990" s="114"/>
      <c r="BB990" s="117"/>
      <c r="BC990" s="117"/>
      <c r="BD990" s="117"/>
    </row>
    <row r="991" spans="1:56" ht="15">
      <c r="A991" s="114"/>
      <c r="B991" s="244" t="s">
        <v>357</v>
      </c>
      <c r="C991" s="200">
        <v>1</v>
      </c>
      <c r="D991" s="245">
        <v>0.3</v>
      </c>
      <c r="E991" s="201">
        <v>0.2</v>
      </c>
      <c r="F991" s="201">
        <v>1.1499999999999999</v>
      </c>
      <c r="G991" s="202">
        <f t="shared" si="13"/>
        <v>6.8999999999999992E-2</v>
      </c>
      <c r="H991" s="202">
        <f t="shared" si="12"/>
        <v>1.1499999999999999</v>
      </c>
      <c r="I991" s="82"/>
      <c r="J991" s="114"/>
      <c r="BB991" s="117"/>
      <c r="BC991" s="117"/>
      <c r="BD991" s="117"/>
    </row>
    <row r="992" spans="1:56" ht="15">
      <c r="A992" s="114"/>
      <c r="B992" s="244" t="s">
        <v>358</v>
      </c>
      <c r="C992" s="200">
        <v>1</v>
      </c>
      <c r="D992" s="245">
        <v>0.3</v>
      </c>
      <c r="E992" s="201">
        <v>0.6</v>
      </c>
      <c r="F992" s="201">
        <v>5.4</v>
      </c>
      <c r="G992" s="202">
        <f t="shared" si="13"/>
        <v>0.97199999999999998</v>
      </c>
      <c r="H992" s="202">
        <f t="shared" si="12"/>
        <v>9.7199999999999989</v>
      </c>
      <c r="I992" s="82"/>
      <c r="J992" s="114"/>
      <c r="BB992" s="117"/>
      <c r="BC992" s="117"/>
      <c r="BD992" s="117"/>
    </row>
    <row r="993" spans="1:56" ht="15">
      <c r="A993" s="114"/>
      <c r="B993" s="244" t="s">
        <v>359</v>
      </c>
      <c r="C993" s="200">
        <v>1</v>
      </c>
      <c r="D993" s="245">
        <v>0.3</v>
      </c>
      <c r="E993" s="201">
        <v>0.2</v>
      </c>
      <c r="F993" s="201">
        <v>1.1499999999999999</v>
      </c>
      <c r="G993" s="202">
        <f t="shared" si="13"/>
        <v>6.8999999999999992E-2</v>
      </c>
      <c r="H993" s="202">
        <f t="shared" si="12"/>
        <v>1.1499999999999999</v>
      </c>
      <c r="I993" s="82"/>
      <c r="J993" s="114"/>
      <c r="BB993" s="117"/>
      <c r="BC993" s="117"/>
      <c r="BD993" s="117"/>
    </row>
    <row r="994" spans="1:56" ht="15">
      <c r="A994" s="114"/>
      <c r="B994" s="244" t="s">
        <v>360</v>
      </c>
      <c r="C994" s="200">
        <v>1</v>
      </c>
      <c r="D994" s="245">
        <v>0.3</v>
      </c>
      <c r="E994" s="201">
        <v>0.6</v>
      </c>
      <c r="F994" s="201">
        <v>5.4</v>
      </c>
      <c r="G994" s="202">
        <f t="shared" si="13"/>
        <v>0.97199999999999998</v>
      </c>
      <c r="H994" s="202">
        <f t="shared" si="12"/>
        <v>9.7199999999999989</v>
      </c>
      <c r="I994" s="82"/>
      <c r="J994" s="114"/>
      <c r="BB994" s="117"/>
      <c r="BC994" s="117"/>
      <c r="BD994" s="117"/>
    </row>
    <row r="995" spans="1:56" ht="15">
      <c r="A995" s="114"/>
      <c r="B995" s="244" t="s">
        <v>361</v>
      </c>
      <c r="C995" s="200">
        <v>1</v>
      </c>
      <c r="D995" s="245">
        <v>0.3</v>
      </c>
      <c r="E995" s="201">
        <v>0.2</v>
      </c>
      <c r="F995" s="201">
        <v>1.1499999999999999</v>
      </c>
      <c r="G995" s="202">
        <f t="shared" si="13"/>
        <v>6.8999999999999992E-2</v>
      </c>
      <c r="H995" s="202">
        <f t="shared" si="12"/>
        <v>1.1499999999999999</v>
      </c>
      <c r="I995" s="82"/>
      <c r="J995" s="114"/>
      <c r="BB995" s="117"/>
      <c r="BC995" s="117"/>
      <c r="BD995" s="117"/>
    </row>
    <row r="996" spans="1:56" ht="15">
      <c r="A996" s="114"/>
      <c r="B996" s="244" t="s">
        <v>362</v>
      </c>
      <c r="C996" s="200">
        <v>1</v>
      </c>
      <c r="D996" s="245">
        <v>0.3</v>
      </c>
      <c r="E996" s="201">
        <v>0.6</v>
      </c>
      <c r="F996" s="201">
        <v>5.4</v>
      </c>
      <c r="G996" s="202">
        <f t="shared" si="13"/>
        <v>0.97199999999999998</v>
      </c>
      <c r="H996" s="202">
        <f t="shared" si="12"/>
        <v>9.7199999999999989</v>
      </c>
      <c r="I996" s="82"/>
      <c r="J996" s="114"/>
      <c r="BB996" s="117"/>
      <c r="BC996" s="117"/>
      <c r="BD996" s="117"/>
    </row>
    <row r="997" spans="1:56" ht="15">
      <c r="A997" s="114"/>
      <c r="B997" s="244" t="s">
        <v>363</v>
      </c>
      <c r="C997" s="200">
        <v>1</v>
      </c>
      <c r="D997" s="245">
        <v>0.3</v>
      </c>
      <c r="E997" s="201">
        <v>0.2</v>
      </c>
      <c r="F997" s="201">
        <v>1.1499999999999999</v>
      </c>
      <c r="G997" s="202">
        <f t="shared" si="13"/>
        <v>6.8999999999999992E-2</v>
      </c>
      <c r="H997" s="202">
        <f t="shared" si="12"/>
        <v>1.1499999999999999</v>
      </c>
      <c r="I997" s="82"/>
      <c r="J997" s="114"/>
      <c r="BB997" s="117"/>
      <c r="BC997" s="117"/>
      <c r="BD997" s="117"/>
    </row>
    <row r="998" spans="1:56" ht="15">
      <c r="A998" s="114"/>
      <c r="B998" s="244" t="s">
        <v>364</v>
      </c>
      <c r="C998" s="200">
        <v>1</v>
      </c>
      <c r="D998" s="245">
        <v>0.3</v>
      </c>
      <c r="E998" s="201">
        <v>0.6</v>
      </c>
      <c r="F998" s="201">
        <v>5.4</v>
      </c>
      <c r="G998" s="202">
        <f t="shared" si="13"/>
        <v>0.97199999999999998</v>
      </c>
      <c r="H998" s="202">
        <f t="shared" si="12"/>
        <v>9.7199999999999989</v>
      </c>
      <c r="I998" s="82"/>
      <c r="J998" s="114"/>
      <c r="BB998" s="117"/>
      <c r="BC998" s="117"/>
      <c r="BD998" s="117"/>
    </row>
    <row r="999" spans="1:56" ht="15">
      <c r="A999" s="114"/>
      <c r="B999" s="244" t="s">
        <v>365</v>
      </c>
      <c r="C999" s="200">
        <v>1</v>
      </c>
      <c r="D999" s="245">
        <v>0.3</v>
      </c>
      <c r="E999" s="201">
        <v>0.2</v>
      </c>
      <c r="F999" s="201">
        <v>1.1499999999999999</v>
      </c>
      <c r="G999" s="202">
        <f t="shared" si="13"/>
        <v>6.8999999999999992E-2</v>
      </c>
      <c r="H999" s="202">
        <f t="shared" si="12"/>
        <v>1.1499999999999999</v>
      </c>
      <c r="I999" s="82"/>
      <c r="J999" s="114"/>
      <c r="BB999" s="117"/>
      <c r="BC999" s="117"/>
      <c r="BD999" s="117"/>
    </row>
    <row r="1000" spans="1:56" ht="15">
      <c r="A1000" s="114"/>
      <c r="B1000" s="244" t="s">
        <v>366</v>
      </c>
      <c r="C1000" s="200">
        <v>1</v>
      </c>
      <c r="D1000" s="245">
        <v>0.3</v>
      </c>
      <c r="E1000" s="201">
        <v>0.6</v>
      </c>
      <c r="F1000" s="201">
        <v>5.4</v>
      </c>
      <c r="G1000" s="202">
        <f t="shared" si="13"/>
        <v>0.97199999999999998</v>
      </c>
      <c r="H1000" s="202">
        <f t="shared" si="12"/>
        <v>9.7199999999999989</v>
      </c>
      <c r="I1000" s="82"/>
      <c r="J1000" s="114"/>
      <c r="BB1000" s="117"/>
      <c r="BC1000" s="117"/>
      <c r="BD1000" s="117"/>
    </row>
    <row r="1001" spans="1:56" ht="15">
      <c r="A1001" s="114"/>
      <c r="B1001" s="244" t="s">
        <v>367</v>
      </c>
      <c r="C1001" s="200">
        <v>1</v>
      </c>
      <c r="D1001" s="245">
        <v>0.3</v>
      </c>
      <c r="E1001" s="201">
        <v>0.2</v>
      </c>
      <c r="F1001" s="201">
        <v>1.1499999999999999</v>
      </c>
      <c r="G1001" s="202">
        <f t="shared" si="13"/>
        <v>6.8999999999999992E-2</v>
      </c>
      <c r="H1001" s="202">
        <f t="shared" si="12"/>
        <v>1.1499999999999999</v>
      </c>
      <c r="I1001" s="82"/>
      <c r="J1001" s="114"/>
      <c r="BB1001" s="117"/>
      <c r="BC1001" s="117"/>
      <c r="BD1001" s="117"/>
    </row>
    <row r="1002" spans="1:56" ht="15">
      <c r="A1002" s="114"/>
      <c r="B1002" s="244" t="s">
        <v>368</v>
      </c>
      <c r="C1002" s="200">
        <v>1</v>
      </c>
      <c r="D1002" s="245">
        <v>0.3</v>
      </c>
      <c r="E1002" s="201">
        <v>0.6</v>
      </c>
      <c r="F1002" s="201">
        <v>5.4</v>
      </c>
      <c r="G1002" s="202">
        <f t="shared" si="13"/>
        <v>0.97199999999999998</v>
      </c>
      <c r="H1002" s="202">
        <f t="shared" si="12"/>
        <v>9.7199999999999989</v>
      </c>
      <c r="I1002" s="82"/>
      <c r="J1002" s="114"/>
      <c r="BB1002" s="117"/>
      <c r="BC1002" s="117"/>
      <c r="BD1002" s="117"/>
    </row>
    <row r="1003" spans="1:56" ht="15">
      <c r="A1003" s="114"/>
      <c r="B1003" s="244" t="s">
        <v>247</v>
      </c>
      <c r="C1003" s="200">
        <v>1</v>
      </c>
      <c r="D1003" s="245">
        <v>0.3</v>
      </c>
      <c r="E1003" s="201">
        <v>0.2</v>
      </c>
      <c r="F1003" s="201">
        <v>1.1499999999999999</v>
      </c>
      <c r="G1003" s="202">
        <f t="shared" si="13"/>
        <v>6.8999999999999992E-2</v>
      </c>
      <c r="H1003" s="202">
        <f t="shared" si="12"/>
        <v>1.1499999999999999</v>
      </c>
      <c r="I1003" s="82"/>
      <c r="J1003" s="114"/>
      <c r="BB1003" s="117"/>
      <c r="BC1003" s="117"/>
      <c r="BD1003" s="117"/>
    </row>
    <row r="1004" spans="1:56" ht="15">
      <c r="A1004" s="114"/>
      <c r="B1004" s="244" t="s">
        <v>369</v>
      </c>
      <c r="C1004" s="200">
        <v>1</v>
      </c>
      <c r="D1004" s="245">
        <v>0.3</v>
      </c>
      <c r="E1004" s="201">
        <v>0.6</v>
      </c>
      <c r="F1004" s="201">
        <v>5.4</v>
      </c>
      <c r="G1004" s="202">
        <f t="shared" si="13"/>
        <v>0.97199999999999998</v>
      </c>
      <c r="H1004" s="202">
        <f t="shared" si="12"/>
        <v>9.7199999999999989</v>
      </c>
      <c r="I1004" s="82"/>
      <c r="J1004" s="114"/>
      <c r="BB1004" s="117"/>
      <c r="BC1004" s="117"/>
      <c r="BD1004" s="117"/>
    </row>
    <row r="1005" spans="1:56" ht="15">
      <c r="A1005" s="114"/>
      <c r="B1005" s="244" t="s">
        <v>370</v>
      </c>
      <c r="C1005" s="200">
        <v>1</v>
      </c>
      <c r="D1005" s="245">
        <v>0.3</v>
      </c>
      <c r="E1005" s="201">
        <v>0.2</v>
      </c>
      <c r="F1005" s="201">
        <v>1.1499999999999999</v>
      </c>
      <c r="G1005" s="202">
        <f t="shared" si="13"/>
        <v>6.8999999999999992E-2</v>
      </c>
      <c r="H1005" s="202">
        <f t="shared" si="12"/>
        <v>1.1499999999999999</v>
      </c>
      <c r="I1005" s="82"/>
      <c r="J1005" s="114"/>
      <c r="BB1005" s="117"/>
      <c r="BC1005" s="117"/>
      <c r="BD1005" s="117"/>
    </row>
    <row r="1006" spans="1:56" ht="15">
      <c r="A1006" s="114"/>
      <c r="B1006" s="244" t="s">
        <v>371</v>
      </c>
      <c r="C1006" s="200">
        <v>1</v>
      </c>
      <c r="D1006" s="245">
        <v>0.3</v>
      </c>
      <c r="E1006" s="201">
        <v>0.6</v>
      </c>
      <c r="F1006" s="201">
        <v>6.55</v>
      </c>
      <c r="G1006" s="202">
        <f t="shared" si="13"/>
        <v>1.1789999999999998</v>
      </c>
      <c r="H1006" s="202">
        <f t="shared" si="12"/>
        <v>11.79</v>
      </c>
      <c r="I1006" s="82"/>
      <c r="J1006" s="114"/>
      <c r="BB1006" s="117"/>
      <c r="BC1006" s="117"/>
      <c r="BD1006" s="117"/>
    </row>
    <row r="1007" spans="1:56" ht="15">
      <c r="A1007" s="114"/>
      <c r="B1007" s="244" t="s">
        <v>372</v>
      </c>
      <c r="C1007" s="200">
        <v>1</v>
      </c>
      <c r="D1007" s="245">
        <v>0.6</v>
      </c>
      <c r="E1007" s="201">
        <v>0.3</v>
      </c>
      <c r="F1007" s="201">
        <v>5.4</v>
      </c>
      <c r="G1007" s="202">
        <f t="shared" si="13"/>
        <v>0.97199999999999998</v>
      </c>
      <c r="H1007" s="202">
        <f t="shared" si="12"/>
        <v>9.7199999999999989</v>
      </c>
      <c r="I1007" s="82"/>
      <c r="J1007" s="114"/>
      <c r="BB1007" s="117"/>
      <c r="BC1007" s="117"/>
      <c r="BD1007" s="117"/>
    </row>
    <row r="1008" spans="1:56" ht="15">
      <c r="A1008" s="114"/>
      <c r="B1008" s="244" t="s">
        <v>373</v>
      </c>
      <c r="C1008" s="200">
        <v>1</v>
      </c>
      <c r="D1008" s="245">
        <v>0.2</v>
      </c>
      <c r="E1008" s="201">
        <v>0.3</v>
      </c>
      <c r="F1008" s="201">
        <v>1.1499999999999999</v>
      </c>
      <c r="G1008" s="202">
        <f t="shared" si="13"/>
        <v>6.8999999999999992E-2</v>
      </c>
      <c r="H1008" s="202">
        <f t="shared" si="12"/>
        <v>1.1499999999999999</v>
      </c>
      <c r="I1008" s="82"/>
      <c r="J1008" s="114"/>
      <c r="BB1008" s="117"/>
      <c r="BC1008" s="117"/>
      <c r="BD1008" s="117"/>
    </row>
    <row r="1009" spans="1:56" ht="15">
      <c r="A1009" s="114"/>
      <c r="B1009" s="244" t="s">
        <v>374</v>
      </c>
      <c r="C1009" s="200">
        <v>1</v>
      </c>
      <c r="D1009" s="245">
        <v>0.6</v>
      </c>
      <c r="E1009" s="201">
        <v>0.3</v>
      </c>
      <c r="F1009" s="201">
        <v>5.4</v>
      </c>
      <c r="G1009" s="202">
        <f t="shared" si="13"/>
        <v>0.97199999999999998</v>
      </c>
      <c r="H1009" s="202">
        <f t="shared" si="12"/>
        <v>9.7199999999999989</v>
      </c>
      <c r="I1009" s="82"/>
      <c r="J1009" s="114"/>
      <c r="BB1009" s="117"/>
      <c r="BC1009" s="117"/>
      <c r="BD1009" s="117"/>
    </row>
    <row r="1010" spans="1:56" ht="15">
      <c r="A1010" s="114"/>
      <c r="B1010" s="244" t="s">
        <v>375</v>
      </c>
      <c r="C1010" s="200">
        <v>1</v>
      </c>
      <c r="D1010" s="245">
        <v>0.2</v>
      </c>
      <c r="E1010" s="201">
        <v>0.3</v>
      </c>
      <c r="F1010" s="201">
        <v>1.1499999999999999</v>
      </c>
      <c r="G1010" s="202">
        <f t="shared" si="13"/>
        <v>6.8999999999999992E-2</v>
      </c>
      <c r="H1010" s="202">
        <f t="shared" si="12"/>
        <v>1.1499999999999999</v>
      </c>
      <c r="I1010" s="82"/>
      <c r="J1010" s="114"/>
      <c r="BB1010" s="117"/>
      <c r="BC1010" s="117"/>
      <c r="BD1010" s="117"/>
    </row>
    <row r="1011" spans="1:56" ht="15">
      <c r="A1011" s="114"/>
      <c r="B1011" s="244" t="s">
        <v>376</v>
      </c>
      <c r="C1011" s="200">
        <v>1</v>
      </c>
      <c r="D1011" s="245">
        <v>0.3</v>
      </c>
      <c r="E1011" s="201">
        <v>0.6</v>
      </c>
      <c r="F1011" s="201">
        <v>6.55</v>
      </c>
      <c r="G1011" s="202">
        <f t="shared" si="13"/>
        <v>1.1789999999999998</v>
      </c>
      <c r="H1011" s="202">
        <f t="shared" si="12"/>
        <v>11.79</v>
      </c>
      <c r="I1011" s="82"/>
      <c r="J1011" s="114"/>
      <c r="BB1011" s="117"/>
      <c r="BC1011" s="117"/>
      <c r="BD1011" s="117"/>
    </row>
    <row r="1012" spans="1:56" ht="15">
      <c r="A1012" s="114"/>
      <c r="B1012" s="244" t="s">
        <v>377</v>
      </c>
      <c r="C1012" s="200">
        <v>1</v>
      </c>
      <c r="D1012" s="245">
        <v>0.3</v>
      </c>
      <c r="E1012" s="201">
        <v>0.6</v>
      </c>
      <c r="F1012" s="201">
        <v>5.4</v>
      </c>
      <c r="G1012" s="202">
        <f t="shared" si="13"/>
        <v>0.97199999999999998</v>
      </c>
      <c r="H1012" s="202">
        <f t="shared" si="12"/>
        <v>9.7199999999999989</v>
      </c>
      <c r="I1012" s="82"/>
      <c r="J1012" s="114"/>
      <c r="BB1012" s="117"/>
      <c r="BC1012" s="117"/>
      <c r="BD1012" s="117"/>
    </row>
    <row r="1013" spans="1:56" ht="15">
      <c r="A1013" s="114"/>
      <c r="B1013" s="244" t="s">
        <v>378</v>
      </c>
      <c r="C1013" s="200">
        <v>1</v>
      </c>
      <c r="D1013" s="245">
        <v>0.3</v>
      </c>
      <c r="E1013" s="201">
        <v>0.2</v>
      </c>
      <c r="F1013" s="201">
        <v>1.1499999999999999</v>
      </c>
      <c r="G1013" s="202">
        <f t="shared" si="13"/>
        <v>6.8999999999999992E-2</v>
      </c>
      <c r="H1013" s="202">
        <f t="shared" si="12"/>
        <v>1.1499999999999999</v>
      </c>
      <c r="I1013" s="82"/>
      <c r="J1013" s="114"/>
      <c r="BB1013" s="117"/>
      <c r="BC1013" s="117"/>
      <c r="BD1013" s="117"/>
    </row>
    <row r="1014" spans="1:56" ht="15">
      <c r="A1014" s="114"/>
      <c r="B1014" s="244" t="s">
        <v>379</v>
      </c>
      <c r="C1014" s="200">
        <v>1</v>
      </c>
      <c r="D1014" s="245">
        <v>0.3</v>
      </c>
      <c r="E1014" s="201">
        <v>0.6</v>
      </c>
      <c r="F1014" s="201">
        <v>5.4</v>
      </c>
      <c r="G1014" s="202">
        <f t="shared" si="13"/>
        <v>0.97199999999999998</v>
      </c>
      <c r="H1014" s="202">
        <f t="shared" si="12"/>
        <v>9.7199999999999989</v>
      </c>
      <c r="I1014" s="82"/>
      <c r="J1014" s="114"/>
      <c r="BB1014" s="117"/>
      <c r="BC1014" s="117"/>
      <c r="BD1014" s="117"/>
    </row>
    <row r="1015" spans="1:56" ht="15">
      <c r="A1015" s="114"/>
      <c r="B1015" s="244" t="s">
        <v>380</v>
      </c>
      <c r="C1015" s="200">
        <v>1</v>
      </c>
      <c r="D1015" s="245">
        <v>0.3</v>
      </c>
      <c r="E1015" s="201">
        <v>0.2</v>
      </c>
      <c r="F1015" s="201">
        <v>1.1499999999999999</v>
      </c>
      <c r="G1015" s="202">
        <f t="shared" si="13"/>
        <v>6.8999999999999992E-2</v>
      </c>
      <c r="H1015" s="202">
        <f t="shared" si="12"/>
        <v>1.1499999999999999</v>
      </c>
      <c r="I1015" s="82"/>
      <c r="J1015" s="114"/>
      <c r="BB1015" s="117"/>
      <c r="BC1015" s="117"/>
      <c r="BD1015" s="117"/>
    </row>
    <row r="1016" spans="1:56" ht="15">
      <c r="A1016" s="114"/>
      <c r="B1016" s="244" t="s">
        <v>381</v>
      </c>
      <c r="C1016" s="200">
        <v>1</v>
      </c>
      <c r="D1016" s="245">
        <v>0.3</v>
      </c>
      <c r="E1016" s="201">
        <v>0.6</v>
      </c>
      <c r="F1016" s="201">
        <v>5.4</v>
      </c>
      <c r="G1016" s="202">
        <f t="shared" si="13"/>
        <v>0.97199999999999998</v>
      </c>
      <c r="H1016" s="202">
        <f t="shared" si="12"/>
        <v>9.7199999999999989</v>
      </c>
      <c r="I1016" s="82"/>
      <c r="J1016" s="114"/>
      <c r="BB1016" s="117"/>
      <c r="BC1016" s="117"/>
      <c r="BD1016" s="117"/>
    </row>
    <row r="1017" spans="1:56" ht="15">
      <c r="A1017" s="114"/>
      <c r="B1017" s="244" t="s">
        <v>382</v>
      </c>
      <c r="C1017" s="200">
        <v>1</v>
      </c>
      <c r="D1017" s="245">
        <v>0.3</v>
      </c>
      <c r="E1017" s="201">
        <v>0.2</v>
      </c>
      <c r="F1017" s="201">
        <v>1.1499999999999999</v>
      </c>
      <c r="G1017" s="202">
        <f t="shared" si="13"/>
        <v>6.8999999999999992E-2</v>
      </c>
      <c r="H1017" s="202">
        <f t="shared" si="12"/>
        <v>1.1499999999999999</v>
      </c>
      <c r="I1017" s="82"/>
      <c r="J1017" s="114"/>
      <c r="BB1017" s="117"/>
      <c r="BC1017" s="117"/>
      <c r="BD1017" s="117"/>
    </row>
    <row r="1018" spans="1:56" ht="15">
      <c r="A1018" s="114"/>
      <c r="B1018" s="244" t="s">
        <v>383</v>
      </c>
      <c r="C1018" s="200">
        <v>1</v>
      </c>
      <c r="D1018" s="245">
        <v>0.3</v>
      </c>
      <c r="E1018" s="201">
        <v>0.6</v>
      </c>
      <c r="F1018" s="201">
        <v>5.4</v>
      </c>
      <c r="G1018" s="202">
        <f t="shared" si="13"/>
        <v>0.97199999999999998</v>
      </c>
      <c r="H1018" s="202">
        <f t="shared" si="12"/>
        <v>9.7199999999999989</v>
      </c>
      <c r="I1018" s="82"/>
      <c r="J1018" s="114"/>
      <c r="BB1018" s="117"/>
      <c r="BC1018" s="117"/>
      <c r="BD1018" s="117"/>
    </row>
    <row r="1019" spans="1:56" ht="15">
      <c r="A1019" s="114"/>
      <c r="B1019" s="244" t="s">
        <v>384</v>
      </c>
      <c r="C1019" s="200">
        <v>1</v>
      </c>
      <c r="D1019" s="245">
        <v>0.3</v>
      </c>
      <c r="E1019" s="201">
        <v>0.2</v>
      </c>
      <c r="F1019" s="201">
        <v>1.1499999999999999</v>
      </c>
      <c r="G1019" s="202">
        <f t="shared" si="13"/>
        <v>6.8999999999999992E-2</v>
      </c>
      <c r="H1019" s="202">
        <f t="shared" si="12"/>
        <v>1.1499999999999999</v>
      </c>
      <c r="I1019" s="82"/>
      <c r="J1019" s="114"/>
      <c r="BB1019" s="117"/>
      <c r="BC1019" s="117"/>
      <c r="BD1019" s="117"/>
    </row>
    <row r="1020" spans="1:56" ht="15">
      <c r="A1020" s="114"/>
      <c r="B1020" s="244" t="s">
        <v>385</v>
      </c>
      <c r="C1020" s="200">
        <v>1</v>
      </c>
      <c r="D1020" s="245">
        <v>0.3</v>
      </c>
      <c r="E1020" s="201">
        <v>0.6</v>
      </c>
      <c r="F1020" s="201">
        <v>5.4</v>
      </c>
      <c r="G1020" s="202">
        <f t="shared" si="13"/>
        <v>0.97199999999999998</v>
      </c>
      <c r="H1020" s="202">
        <f t="shared" si="12"/>
        <v>9.7199999999999989</v>
      </c>
      <c r="I1020" s="82"/>
      <c r="J1020" s="114"/>
      <c r="BB1020" s="117"/>
      <c r="BC1020" s="117"/>
      <c r="BD1020" s="117"/>
    </row>
    <row r="1021" spans="1:56" ht="15">
      <c r="A1021" s="114"/>
      <c r="B1021" s="244" t="s">
        <v>386</v>
      </c>
      <c r="C1021" s="200">
        <v>1</v>
      </c>
      <c r="D1021" s="245">
        <v>0.3</v>
      </c>
      <c r="E1021" s="201">
        <v>0.2</v>
      </c>
      <c r="F1021" s="201">
        <v>1.1499999999999999</v>
      </c>
      <c r="G1021" s="202">
        <f t="shared" si="13"/>
        <v>6.8999999999999992E-2</v>
      </c>
      <c r="H1021" s="202">
        <f t="shared" si="12"/>
        <v>1.1499999999999999</v>
      </c>
      <c r="I1021" s="82"/>
      <c r="J1021" s="114"/>
      <c r="BB1021" s="117"/>
      <c r="BC1021" s="117"/>
      <c r="BD1021" s="117"/>
    </row>
    <row r="1022" spans="1:56" ht="15">
      <c r="A1022" s="114"/>
      <c r="B1022" s="244" t="s">
        <v>387</v>
      </c>
      <c r="C1022" s="200">
        <v>1</v>
      </c>
      <c r="D1022" s="245">
        <v>0.3</v>
      </c>
      <c r="E1022" s="201">
        <v>0.6</v>
      </c>
      <c r="F1022" s="201">
        <v>5.4</v>
      </c>
      <c r="G1022" s="202">
        <f t="shared" si="13"/>
        <v>0.97199999999999998</v>
      </c>
      <c r="H1022" s="202">
        <f t="shared" si="12"/>
        <v>9.7199999999999989</v>
      </c>
      <c r="I1022" s="82"/>
      <c r="J1022" s="114"/>
      <c r="BB1022" s="117"/>
      <c r="BC1022" s="117"/>
      <c r="BD1022" s="117"/>
    </row>
    <row r="1023" spans="1:56" ht="15">
      <c r="A1023" s="114"/>
      <c r="B1023" s="244" t="s">
        <v>388</v>
      </c>
      <c r="C1023" s="200">
        <v>1</v>
      </c>
      <c r="D1023" s="245">
        <v>0.3</v>
      </c>
      <c r="E1023" s="201">
        <v>0.2</v>
      </c>
      <c r="F1023" s="201">
        <v>1.1499999999999999</v>
      </c>
      <c r="G1023" s="202">
        <f t="shared" si="13"/>
        <v>6.8999999999999992E-2</v>
      </c>
      <c r="H1023" s="202">
        <f t="shared" si="12"/>
        <v>1.1499999999999999</v>
      </c>
      <c r="I1023" s="82"/>
      <c r="J1023" s="114"/>
      <c r="BB1023" s="117"/>
      <c r="BC1023" s="117"/>
      <c r="BD1023" s="117"/>
    </row>
    <row r="1024" spans="1:56" ht="15">
      <c r="A1024" s="114"/>
      <c r="B1024" s="244" t="s">
        <v>389</v>
      </c>
      <c r="C1024" s="200">
        <v>1</v>
      </c>
      <c r="D1024" s="245">
        <v>0.3</v>
      </c>
      <c r="E1024" s="201">
        <v>0.6</v>
      </c>
      <c r="F1024" s="201">
        <v>5.4</v>
      </c>
      <c r="G1024" s="202">
        <f t="shared" si="13"/>
        <v>0.97199999999999998</v>
      </c>
      <c r="H1024" s="202">
        <f t="shared" si="12"/>
        <v>9.7199999999999989</v>
      </c>
      <c r="I1024" s="82"/>
      <c r="J1024" s="114"/>
      <c r="BB1024" s="117"/>
      <c r="BC1024" s="117"/>
      <c r="BD1024" s="117"/>
    </row>
    <row r="1025" spans="1:56" ht="15">
      <c r="A1025" s="114"/>
      <c r="B1025" s="244" t="s">
        <v>390</v>
      </c>
      <c r="C1025" s="200">
        <v>1</v>
      </c>
      <c r="D1025" s="245">
        <v>0.3</v>
      </c>
      <c r="E1025" s="201">
        <v>0.2</v>
      </c>
      <c r="F1025" s="201">
        <v>1.1499999999999999</v>
      </c>
      <c r="G1025" s="202">
        <f t="shared" si="13"/>
        <v>6.8999999999999992E-2</v>
      </c>
      <c r="H1025" s="202">
        <f t="shared" si="12"/>
        <v>1.1499999999999999</v>
      </c>
      <c r="I1025" s="82"/>
      <c r="J1025" s="114"/>
      <c r="BB1025" s="117"/>
      <c r="BC1025" s="117"/>
      <c r="BD1025" s="117"/>
    </row>
    <row r="1026" spans="1:56" ht="15">
      <c r="A1026" s="114"/>
      <c r="B1026" s="244" t="s">
        <v>391</v>
      </c>
      <c r="C1026" s="200">
        <v>1</v>
      </c>
      <c r="D1026" s="245">
        <v>0.3</v>
      </c>
      <c r="E1026" s="201">
        <v>0.6</v>
      </c>
      <c r="F1026" s="201">
        <v>5.4</v>
      </c>
      <c r="G1026" s="202">
        <f t="shared" si="13"/>
        <v>0.97199999999999998</v>
      </c>
      <c r="H1026" s="202">
        <f t="shared" si="12"/>
        <v>9.7199999999999989</v>
      </c>
      <c r="I1026" s="82"/>
      <c r="J1026" s="114"/>
      <c r="BB1026" s="117"/>
      <c r="BC1026" s="117"/>
      <c r="BD1026" s="117"/>
    </row>
    <row r="1027" spans="1:56" ht="15">
      <c r="A1027" s="114"/>
      <c r="B1027" s="244" t="s">
        <v>392</v>
      </c>
      <c r="C1027" s="200">
        <v>1</v>
      </c>
      <c r="D1027" s="245">
        <v>0.3</v>
      </c>
      <c r="E1027" s="201">
        <v>0.2</v>
      </c>
      <c r="F1027" s="201">
        <v>1.1499999999999999</v>
      </c>
      <c r="G1027" s="202">
        <f t="shared" si="13"/>
        <v>6.8999999999999992E-2</v>
      </c>
      <c r="H1027" s="202">
        <f t="shared" si="12"/>
        <v>1.1499999999999999</v>
      </c>
      <c r="I1027" s="82"/>
      <c r="J1027" s="114"/>
      <c r="BB1027" s="117"/>
      <c r="BC1027" s="117"/>
      <c r="BD1027" s="117"/>
    </row>
    <row r="1028" spans="1:56" ht="15">
      <c r="A1028" s="114"/>
      <c r="B1028" s="244" t="s">
        <v>393</v>
      </c>
      <c r="C1028" s="200">
        <v>1</v>
      </c>
      <c r="D1028" s="245">
        <v>0.3</v>
      </c>
      <c r="E1028" s="201">
        <v>0.6</v>
      </c>
      <c r="F1028" s="201">
        <v>6.55</v>
      </c>
      <c r="G1028" s="202">
        <f t="shared" si="13"/>
        <v>1.1789999999999998</v>
      </c>
      <c r="H1028" s="202">
        <f t="shared" si="12"/>
        <v>11.79</v>
      </c>
      <c r="I1028" s="82"/>
      <c r="J1028" s="114"/>
      <c r="BB1028" s="117"/>
      <c r="BC1028" s="117"/>
      <c r="BD1028" s="117"/>
    </row>
    <row r="1029" spans="1:56" ht="15">
      <c r="A1029" s="114"/>
      <c r="B1029" s="114"/>
      <c r="C1029" s="114"/>
      <c r="D1029" s="114"/>
      <c r="E1029" s="114"/>
      <c r="F1029" s="254" t="s">
        <v>76</v>
      </c>
      <c r="G1029" s="228">
        <f>SUM(G989:G1028)</f>
        <v>23.454000000000004</v>
      </c>
      <c r="H1029" s="228">
        <f>SUM(H989:H1028)</f>
        <v>242.82000000000002</v>
      </c>
      <c r="I1029" s="82"/>
      <c r="J1029" s="114"/>
      <c r="BB1029" s="117"/>
      <c r="BC1029" s="117"/>
      <c r="BD1029" s="117"/>
    </row>
    <row r="1030" spans="1:56" ht="15">
      <c r="A1030" s="114"/>
      <c r="B1030" s="114"/>
      <c r="C1030" s="114"/>
      <c r="D1030" s="114"/>
      <c r="E1030" s="114"/>
      <c r="F1030" s="227"/>
      <c r="G1030" s="297"/>
      <c r="H1030" s="297"/>
      <c r="I1030" s="82"/>
      <c r="J1030" s="114"/>
      <c r="BB1030" s="117"/>
      <c r="BC1030" s="117"/>
      <c r="BD1030" s="117"/>
    </row>
    <row r="1031" spans="1:56" ht="15">
      <c r="A1031" s="114"/>
      <c r="B1031" s="242" t="s">
        <v>394</v>
      </c>
      <c r="C1031" s="199" t="s">
        <v>61</v>
      </c>
      <c r="D1031" s="199" t="s">
        <v>395</v>
      </c>
      <c r="E1031" s="199" t="s">
        <v>396</v>
      </c>
      <c r="F1031" s="199" t="s">
        <v>48</v>
      </c>
      <c r="G1031" s="243" t="s">
        <v>95</v>
      </c>
      <c r="H1031" s="243" t="s">
        <v>397</v>
      </c>
      <c r="I1031" s="114"/>
      <c r="J1031" s="114"/>
      <c r="AZ1031" s="117"/>
      <c r="BA1031" s="117"/>
      <c r="BB1031" s="117"/>
      <c r="BC1031" s="117"/>
      <c r="BD1031" s="117"/>
    </row>
    <row r="1032" spans="1:56">
      <c r="A1032" s="114"/>
      <c r="B1032" s="298" t="s">
        <v>398</v>
      </c>
      <c r="C1032" s="200">
        <v>1</v>
      </c>
      <c r="D1032" s="175">
        <f>2*338.33</f>
        <v>676.66</v>
      </c>
      <c r="E1032" s="226">
        <v>0.08</v>
      </c>
      <c r="F1032" s="299"/>
      <c r="G1032" s="273">
        <f>D1032*E1032*C1032</f>
        <v>54.132799999999996</v>
      </c>
      <c r="H1032" s="274">
        <f>D1032*0.05*E1032</f>
        <v>2.7066399999999997</v>
      </c>
      <c r="I1032" s="114"/>
      <c r="J1032" s="114"/>
      <c r="AZ1032" s="117"/>
      <c r="BA1032" s="117"/>
      <c r="BB1032" s="117"/>
      <c r="BC1032" s="117"/>
      <c r="BD1032" s="117"/>
    </row>
    <row r="1033" spans="1:56" ht="16.5" thickBot="1">
      <c r="A1033" s="114"/>
      <c r="B1033" s="300"/>
      <c r="C1033" s="197"/>
      <c r="D1033" s="138"/>
      <c r="E1033" s="6"/>
      <c r="F1033" s="115"/>
      <c r="G1033" s="138"/>
      <c r="H1033" s="301"/>
      <c r="I1033" s="114"/>
      <c r="J1033" s="114"/>
      <c r="AZ1033" s="117"/>
      <c r="BA1033" s="117"/>
      <c r="BB1033" s="117"/>
      <c r="BC1033" s="117"/>
      <c r="BD1033" s="117"/>
    </row>
    <row r="1034" spans="1:56">
      <c r="A1034" s="114"/>
      <c r="B1034" s="1285" t="s">
        <v>98</v>
      </c>
      <c r="C1034" s="1286"/>
      <c r="D1034" s="1286"/>
      <c r="E1034" s="1286"/>
      <c r="F1034" s="1287"/>
      <c r="G1034" s="115"/>
      <c r="H1034" s="115"/>
      <c r="I1034" s="82"/>
      <c r="J1034" s="114"/>
      <c r="BB1034" s="117"/>
      <c r="BC1034" s="117"/>
      <c r="BD1034" s="117"/>
    </row>
    <row r="1035" spans="1:56">
      <c r="A1035" s="114"/>
      <c r="B1035" s="634"/>
      <c r="C1035" s="115"/>
      <c r="D1035" s="115"/>
      <c r="E1035" s="115"/>
      <c r="F1035" s="182"/>
      <c r="G1035" s="115"/>
      <c r="H1035" s="236"/>
      <c r="I1035" s="3"/>
      <c r="J1035" s="114"/>
      <c r="BB1035" s="117"/>
      <c r="BC1035" s="117"/>
      <c r="BD1035" s="117"/>
    </row>
    <row r="1036" spans="1:56">
      <c r="A1036" s="114"/>
      <c r="B1036" s="635" t="s">
        <v>315</v>
      </c>
      <c r="C1036" s="203"/>
      <c r="D1036" s="204"/>
      <c r="E1036" s="205">
        <f>H986+H1029</f>
        <v>564.72</v>
      </c>
      <c r="F1036" s="216" t="s">
        <v>13</v>
      </c>
      <c r="G1036" s="115"/>
      <c r="H1036" s="236"/>
      <c r="I1036" s="3"/>
      <c r="J1036" s="114"/>
      <c r="BB1036" s="117"/>
      <c r="BC1036" s="117"/>
      <c r="BD1036" s="117"/>
    </row>
    <row r="1037" spans="1:56">
      <c r="A1037" s="114"/>
      <c r="B1037" s="635" t="s">
        <v>316</v>
      </c>
      <c r="C1037" s="203"/>
      <c r="D1037" s="204"/>
      <c r="E1037" s="205">
        <f>G986+G1029+G1032</f>
        <v>107.2016</v>
      </c>
      <c r="F1037" s="216" t="s">
        <v>100</v>
      </c>
      <c r="G1037" s="115"/>
      <c r="H1037" s="236"/>
      <c r="I1037" s="3"/>
      <c r="J1037" s="114"/>
      <c r="BB1037" s="117"/>
      <c r="BC1037" s="117"/>
      <c r="BD1037" s="117"/>
    </row>
    <row r="1038" spans="1:56">
      <c r="A1038" s="114"/>
      <c r="B1038" s="635" t="s">
        <v>317</v>
      </c>
      <c r="C1038" s="203"/>
      <c r="D1038" s="204"/>
      <c r="E1038" s="302">
        <f>H1032</f>
        <v>2.7066399999999997</v>
      </c>
      <c r="F1038" s="216" t="s">
        <v>100</v>
      </c>
      <c r="G1038" s="115"/>
      <c r="H1038" s="236"/>
      <c r="I1038" s="3"/>
      <c r="J1038" s="114"/>
      <c r="BB1038" s="117"/>
      <c r="BC1038" s="117"/>
      <c r="BD1038" s="117"/>
    </row>
    <row r="1039" spans="1:56">
      <c r="A1039" s="114"/>
      <c r="B1039" s="635" t="s">
        <v>318</v>
      </c>
      <c r="C1039" s="172"/>
      <c r="D1039" s="173"/>
      <c r="E1039" s="280">
        <f>2*85.78-11.36</f>
        <v>160.19999999999999</v>
      </c>
      <c r="F1039" s="216" t="s">
        <v>10</v>
      </c>
      <c r="G1039" s="115"/>
      <c r="H1039" s="236"/>
      <c r="I1039" s="3"/>
      <c r="J1039" s="114"/>
      <c r="BB1039" s="117"/>
      <c r="BC1039" s="117"/>
      <c r="BD1039" s="117"/>
    </row>
    <row r="1040" spans="1:56" ht="16.5" thickBot="1">
      <c r="A1040" s="114"/>
      <c r="B1040" s="779" t="s">
        <v>319</v>
      </c>
      <c r="C1040" s="174"/>
      <c r="D1040" s="176"/>
      <c r="E1040" s="281">
        <f>55+7*11.36</f>
        <v>134.51999999999998</v>
      </c>
      <c r="F1040" s="219" t="s">
        <v>10</v>
      </c>
      <c r="G1040" s="115"/>
      <c r="H1040" s="236"/>
      <c r="I1040" s="3"/>
      <c r="J1040" s="114"/>
      <c r="BB1040" s="117"/>
      <c r="BC1040" s="117"/>
      <c r="BD1040" s="117"/>
    </row>
    <row r="1041" spans="1:56">
      <c r="A1041" s="114"/>
      <c r="B1041" s="115"/>
      <c r="C1041" s="115"/>
      <c r="D1041" s="115"/>
      <c r="E1041" s="115"/>
      <c r="F1041" s="115"/>
      <c r="G1041" s="115"/>
      <c r="H1041" s="115"/>
      <c r="I1041" s="82"/>
      <c r="J1041" s="114"/>
      <c r="BB1041" s="117"/>
      <c r="BC1041" s="117"/>
      <c r="BD1041" s="117"/>
    </row>
    <row r="1042" spans="1:56" ht="16.5" thickBot="1">
      <c r="A1042" s="114"/>
      <c r="B1042" s="115"/>
      <c r="C1042" s="115"/>
      <c r="D1042" s="115"/>
      <c r="E1042" s="115"/>
      <c r="F1042" s="115"/>
      <c r="G1042" s="115"/>
      <c r="H1042" s="115"/>
      <c r="I1042" s="82"/>
      <c r="J1042" s="114"/>
      <c r="BB1042" s="117"/>
      <c r="BC1042" s="117"/>
      <c r="BD1042" s="117"/>
    </row>
    <row r="1043" spans="1:56">
      <c r="A1043" s="114"/>
      <c r="B1043" s="1285" t="s">
        <v>320</v>
      </c>
      <c r="C1043" s="1286"/>
      <c r="D1043" s="1286"/>
      <c r="E1043" s="1286"/>
      <c r="F1043" s="1287"/>
      <c r="G1043" s="115"/>
      <c r="H1043" s="115"/>
      <c r="I1043" s="82"/>
      <c r="J1043" s="114"/>
      <c r="BB1043" s="117"/>
      <c r="BC1043" s="117"/>
      <c r="BD1043" s="117"/>
    </row>
    <row r="1044" spans="1:56">
      <c r="A1044" s="114"/>
      <c r="B1044" s="690"/>
      <c r="C1044" s="115"/>
      <c r="D1044" s="115"/>
      <c r="E1044" s="115"/>
      <c r="F1044" s="182"/>
      <c r="G1044" s="115"/>
      <c r="H1044" s="115"/>
      <c r="I1044" s="82"/>
      <c r="J1044" s="114"/>
      <c r="BB1044" s="117"/>
      <c r="BC1044" s="117"/>
      <c r="BD1044" s="117"/>
    </row>
    <row r="1045" spans="1:56" ht="15">
      <c r="A1045" s="114"/>
      <c r="B1045" s="691" t="s">
        <v>399</v>
      </c>
      <c r="C1045" s="196"/>
      <c r="D1045" s="196"/>
      <c r="E1045" s="196"/>
      <c r="F1045" s="284"/>
      <c r="G1045" s="196"/>
      <c r="H1045" s="196"/>
      <c r="I1045" s="196"/>
      <c r="J1045" s="114"/>
      <c r="BB1045" s="117"/>
      <c r="BC1045" s="117"/>
      <c r="BD1045" s="117"/>
    </row>
    <row r="1046" spans="1:56" ht="15">
      <c r="A1046" s="114"/>
      <c r="B1046" s="692" t="s">
        <v>400</v>
      </c>
      <c r="C1046" s="280">
        <v>1639</v>
      </c>
      <c r="D1046" s="286" t="s">
        <v>12</v>
      </c>
      <c r="E1046" s="1199" t="s">
        <v>401</v>
      </c>
      <c r="F1046" s="1200"/>
      <c r="G1046" s="196"/>
      <c r="H1046" s="196"/>
      <c r="I1046" s="196"/>
      <c r="J1046" s="114"/>
      <c r="BB1046" s="117"/>
      <c r="BC1046" s="117"/>
      <c r="BD1046" s="117"/>
    </row>
    <row r="1047" spans="1:56" ht="15">
      <c r="A1047" s="114"/>
      <c r="B1047" s="692" t="s">
        <v>402</v>
      </c>
      <c r="C1047" s="280">
        <v>812</v>
      </c>
      <c r="D1047" s="286" t="s">
        <v>12</v>
      </c>
      <c r="E1047" s="1216"/>
      <c r="F1047" s="1217"/>
      <c r="G1047" s="196"/>
      <c r="H1047" s="196"/>
      <c r="I1047" s="196"/>
      <c r="J1047" s="114"/>
      <c r="BB1047" s="117"/>
      <c r="BC1047" s="117"/>
      <c r="BD1047" s="117"/>
    </row>
    <row r="1048" spans="1:56" ht="15">
      <c r="A1048" s="114"/>
      <c r="B1048" s="692" t="s">
        <v>403</v>
      </c>
      <c r="C1048" s="280">
        <v>18</v>
      </c>
      <c r="D1048" s="286" t="s">
        <v>12</v>
      </c>
      <c r="E1048" s="1201"/>
      <c r="F1048" s="1202"/>
      <c r="G1048" s="196"/>
      <c r="H1048" s="196"/>
      <c r="I1048" s="196"/>
      <c r="J1048" s="114"/>
      <c r="BB1048" s="117"/>
      <c r="BC1048" s="117"/>
      <c r="BD1048" s="117"/>
    </row>
    <row r="1049" spans="1:56" ht="15">
      <c r="A1049" s="114"/>
      <c r="B1049" s="693"/>
      <c r="C1049" s="196"/>
      <c r="D1049" s="196"/>
      <c r="E1049" s="196"/>
      <c r="F1049" s="284"/>
      <c r="G1049" s="196"/>
      <c r="H1049" s="196"/>
      <c r="I1049" s="196"/>
      <c r="J1049" s="114"/>
      <c r="BB1049" s="117"/>
      <c r="BC1049" s="117"/>
      <c r="BD1049" s="117"/>
    </row>
    <row r="1050" spans="1:56" ht="15">
      <c r="A1050" s="114"/>
      <c r="B1050" s="691" t="s">
        <v>404</v>
      </c>
      <c r="C1050" s="196"/>
      <c r="D1050" s="196"/>
      <c r="E1050" s="196"/>
      <c r="F1050" s="284"/>
      <c r="G1050" s="196"/>
      <c r="H1050" s="196"/>
      <c r="I1050" s="196"/>
      <c r="J1050" s="114"/>
      <c r="BB1050" s="117"/>
      <c r="BC1050" s="117"/>
      <c r="BD1050" s="117"/>
    </row>
    <row r="1051" spans="1:56" ht="15">
      <c r="A1051" s="114"/>
      <c r="B1051" s="692" t="s">
        <v>353</v>
      </c>
      <c r="C1051" s="280">
        <v>33</v>
      </c>
      <c r="D1051" s="286" t="s">
        <v>12</v>
      </c>
      <c r="E1051" s="1199" t="s">
        <v>405</v>
      </c>
      <c r="F1051" s="1200"/>
      <c r="G1051" s="196"/>
      <c r="H1051" s="196"/>
      <c r="I1051" s="196"/>
      <c r="J1051" s="114"/>
      <c r="BB1051" s="117"/>
      <c r="BC1051" s="117"/>
      <c r="BD1051" s="117"/>
    </row>
    <row r="1052" spans="1:56" ht="15">
      <c r="A1052" s="114"/>
      <c r="B1052" s="692" t="s">
        <v>352</v>
      </c>
      <c r="C1052" s="280">
        <v>7034</v>
      </c>
      <c r="D1052" s="286" t="s">
        <v>12</v>
      </c>
      <c r="E1052" s="1201"/>
      <c r="F1052" s="1202"/>
      <c r="G1052" s="196"/>
      <c r="H1052" s="196"/>
      <c r="I1052" s="196"/>
      <c r="J1052" s="114"/>
      <c r="BB1052" s="117"/>
      <c r="BC1052" s="117"/>
      <c r="BD1052" s="117"/>
    </row>
    <row r="1053" spans="1:56" ht="15">
      <c r="A1053" s="114"/>
      <c r="B1053" s="694"/>
      <c r="C1053" s="211"/>
      <c r="D1053" s="196"/>
      <c r="E1053" s="288"/>
      <c r="F1053" s="284"/>
      <c r="G1053" s="196"/>
      <c r="H1053" s="196"/>
      <c r="I1053" s="196"/>
      <c r="J1053" s="114"/>
      <c r="BB1053" s="117"/>
      <c r="BC1053" s="117"/>
      <c r="BD1053" s="117"/>
    </row>
    <row r="1054" spans="1:56">
      <c r="A1054" s="114"/>
      <c r="B1054" s="691" t="s">
        <v>351</v>
      </c>
      <c r="C1054" s="115"/>
      <c r="D1054" s="115"/>
      <c r="E1054" s="115"/>
      <c r="F1054" s="182"/>
      <c r="G1054" s="115"/>
      <c r="H1054" s="115"/>
      <c r="I1054" s="82"/>
      <c r="J1054" s="114"/>
      <c r="BB1054" s="117"/>
      <c r="BC1054" s="117"/>
      <c r="BD1054" s="117"/>
    </row>
    <row r="1055" spans="1:56">
      <c r="A1055" s="114"/>
      <c r="B1055" s="692" t="s">
        <v>352</v>
      </c>
      <c r="C1055" s="203"/>
      <c r="D1055" s="204"/>
      <c r="E1055" s="302">
        <f>C1052+C1048</f>
        <v>7052</v>
      </c>
      <c r="F1055" s="216" t="s">
        <v>12</v>
      </c>
      <c r="G1055" s="115"/>
      <c r="H1055" s="236"/>
      <c r="I1055" s="3"/>
      <c r="J1055" s="114"/>
      <c r="BB1055" s="117"/>
      <c r="BC1055" s="117"/>
      <c r="BD1055" s="117"/>
    </row>
    <row r="1056" spans="1:56" ht="16.5" thickBot="1">
      <c r="A1056" s="114"/>
      <c r="B1056" s="695" t="s">
        <v>353</v>
      </c>
      <c r="C1056" s="217"/>
      <c r="D1056" s="218"/>
      <c r="E1056" s="304">
        <f>C1046+C1047+C1051</f>
        <v>2484</v>
      </c>
      <c r="F1056" s="219" t="s">
        <v>12</v>
      </c>
      <c r="G1056" s="115"/>
      <c r="H1056" s="236"/>
      <c r="I1056" s="3"/>
      <c r="J1056" s="114"/>
      <c r="BB1056" s="117"/>
      <c r="BC1056" s="117"/>
      <c r="BD1056" s="117"/>
    </row>
    <row r="1057" spans="1:56">
      <c r="A1057" s="114"/>
      <c r="B1057" s="115"/>
      <c r="C1057" s="115"/>
      <c r="D1057" s="115"/>
      <c r="E1057" s="115"/>
      <c r="F1057" s="115"/>
      <c r="G1057" s="115"/>
      <c r="H1057" s="115"/>
      <c r="I1057" s="82"/>
      <c r="J1057" s="114"/>
      <c r="BB1057" s="117"/>
      <c r="BC1057" s="117"/>
      <c r="BD1057" s="117"/>
    </row>
    <row r="1058" spans="1:56">
      <c r="A1058" s="114"/>
      <c r="B1058" s="207"/>
      <c r="C1058" s="208"/>
      <c r="D1058" s="208"/>
      <c r="E1058" s="209"/>
      <c r="F1058" s="207"/>
      <c r="G1058" s="115"/>
      <c r="H1058" s="115"/>
      <c r="I1058" s="82"/>
      <c r="J1058" s="114"/>
      <c r="BB1058" s="117"/>
      <c r="BC1058" s="117"/>
      <c r="BD1058" s="117"/>
    </row>
    <row r="1059" spans="1:56" ht="15">
      <c r="A1059" s="114"/>
      <c r="B1059" s="778" t="s">
        <v>2295</v>
      </c>
      <c r="C1059" s="239"/>
      <c r="D1059" s="239"/>
      <c r="E1059" s="239"/>
      <c r="F1059" s="239"/>
      <c r="G1059" s="239"/>
      <c r="H1059" s="240"/>
      <c r="I1059" s="240"/>
      <c r="J1059" s="351"/>
      <c r="BB1059" s="117"/>
      <c r="BC1059" s="117"/>
      <c r="BD1059" s="117"/>
    </row>
    <row r="1060" spans="1:56" ht="15">
      <c r="A1060" s="114"/>
      <c r="B1060" s="296" t="s">
        <v>2320</v>
      </c>
      <c r="C1060" s="81"/>
      <c r="D1060" s="81"/>
      <c r="E1060" s="81"/>
      <c r="F1060" s="81"/>
      <c r="G1060" s="81"/>
      <c r="H1060" s="82"/>
      <c r="I1060" s="82"/>
      <c r="J1060" s="114"/>
      <c r="BB1060" s="117"/>
      <c r="BC1060" s="117"/>
      <c r="BD1060" s="117"/>
    </row>
    <row r="1061" spans="1:56" ht="15">
      <c r="A1061" s="114"/>
      <c r="B1061" s="288" t="s">
        <v>1787</v>
      </c>
      <c r="C1061" s="230"/>
      <c r="D1061" s="230"/>
      <c r="E1061" s="384"/>
      <c r="F1061" s="196"/>
      <c r="G1061" s="196"/>
      <c r="H1061" s="196"/>
      <c r="I1061" s="196"/>
      <c r="J1061" s="114"/>
      <c r="AW1061" s="117"/>
      <c r="AX1061" s="117"/>
      <c r="AY1061" s="117"/>
      <c r="AZ1061" s="117"/>
      <c r="BA1061" s="117"/>
      <c r="BB1061" s="117"/>
      <c r="BC1061" s="117"/>
      <c r="BD1061" s="117"/>
    </row>
    <row r="1062" spans="1:56">
      <c r="A1062" s="114"/>
      <c r="B1062" s="115"/>
      <c r="C1062" s="81"/>
      <c r="D1062" s="81"/>
      <c r="E1062" s="81"/>
      <c r="F1062" s="81"/>
      <c r="G1062" s="81"/>
      <c r="H1062" s="82"/>
      <c r="I1062" s="82"/>
      <c r="J1062" s="114"/>
      <c r="BB1062" s="117"/>
      <c r="BC1062" s="117"/>
      <c r="BD1062" s="117"/>
    </row>
    <row r="1063" spans="1:56" ht="15">
      <c r="A1063" s="114"/>
      <c r="B1063" s="242" t="s">
        <v>97</v>
      </c>
      <c r="C1063" s="199" t="s">
        <v>61</v>
      </c>
      <c r="D1063" s="199" t="s">
        <v>82</v>
      </c>
      <c r="E1063" s="199" t="s">
        <v>66</v>
      </c>
      <c r="F1063" s="199" t="s">
        <v>62</v>
      </c>
      <c r="G1063" s="243" t="s">
        <v>99</v>
      </c>
      <c r="H1063" s="243" t="s">
        <v>68</v>
      </c>
      <c r="I1063" s="82"/>
      <c r="J1063" s="114"/>
      <c r="BB1063" s="117"/>
      <c r="BC1063" s="117"/>
      <c r="BD1063" s="117"/>
    </row>
    <row r="1064" spans="1:56" ht="15">
      <c r="A1064" s="114"/>
      <c r="B1064" s="244" t="s">
        <v>157</v>
      </c>
      <c r="C1064" s="200">
        <v>1</v>
      </c>
      <c r="D1064" s="245">
        <v>0.2</v>
      </c>
      <c r="E1064" s="201">
        <v>1.1499999999999999</v>
      </c>
      <c r="F1064" s="201">
        <f>5.825+5.875</f>
        <v>11.7</v>
      </c>
      <c r="G1064" s="202">
        <f t="shared" ref="G1064:G1069" si="14">D1064*E1064*F1064*C1064</f>
        <v>2.6909999999999998</v>
      </c>
      <c r="H1064" s="202">
        <f t="shared" ref="H1064:H1069" si="15">((E1064*2)+D1064)*F1064*C1064</f>
        <v>29.25</v>
      </c>
      <c r="I1064" s="82"/>
      <c r="J1064" s="114"/>
      <c r="BB1064" s="117"/>
      <c r="BC1064" s="117"/>
      <c r="BD1064" s="117"/>
    </row>
    <row r="1065" spans="1:56" ht="15">
      <c r="A1065" s="114"/>
      <c r="B1065" s="244" t="s">
        <v>119</v>
      </c>
      <c r="C1065" s="200">
        <v>1</v>
      </c>
      <c r="D1065" s="245">
        <v>0.2</v>
      </c>
      <c r="E1065" s="201">
        <v>1.1499999999999999</v>
      </c>
      <c r="F1065" s="201">
        <f>5.825+5.875</f>
        <v>11.7</v>
      </c>
      <c r="G1065" s="202">
        <f t="shared" si="14"/>
        <v>2.6909999999999998</v>
      </c>
      <c r="H1065" s="202">
        <f t="shared" si="15"/>
        <v>29.25</v>
      </c>
      <c r="I1065" s="82"/>
      <c r="J1065" s="114"/>
      <c r="BB1065" s="117"/>
      <c r="BC1065" s="117"/>
      <c r="BD1065" s="117"/>
    </row>
    <row r="1066" spans="1:56" ht="15">
      <c r="A1066" s="114"/>
      <c r="B1066" s="244" t="s">
        <v>158</v>
      </c>
      <c r="C1066" s="200">
        <v>1</v>
      </c>
      <c r="D1066" s="245">
        <v>0.2</v>
      </c>
      <c r="E1066" s="201">
        <v>1.1499999999999999</v>
      </c>
      <c r="F1066" s="201">
        <f>3*7.75+7.615</f>
        <v>30.865000000000002</v>
      </c>
      <c r="G1066" s="202">
        <f t="shared" si="14"/>
        <v>7.0989500000000003</v>
      </c>
      <c r="H1066" s="202">
        <f t="shared" si="15"/>
        <v>77.162500000000009</v>
      </c>
      <c r="I1066" s="82"/>
      <c r="J1066" s="114"/>
      <c r="BB1066" s="117"/>
      <c r="BC1066" s="117"/>
      <c r="BD1066" s="117"/>
    </row>
    <row r="1067" spans="1:56" ht="15">
      <c r="A1067" s="114"/>
      <c r="B1067" s="244" t="s">
        <v>120</v>
      </c>
      <c r="C1067" s="200">
        <v>1</v>
      </c>
      <c r="D1067" s="245">
        <v>0.2</v>
      </c>
      <c r="E1067" s="201">
        <v>1.1499999999999999</v>
      </c>
      <c r="F1067" s="201">
        <f>2*7.75+7.615</f>
        <v>23.115000000000002</v>
      </c>
      <c r="G1067" s="202">
        <f t="shared" si="14"/>
        <v>5.3164499999999997</v>
      </c>
      <c r="H1067" s="202">
        <f t="shared" si="15"/>
        <v>57.787500000000009</v>
      </c>
      <c r="I1067" s="82"/>
      <c r="J1067" s="114"/>
      <c r="BB1067" s="117"/>
      <c r="BC1067" s="117"/>
      <c r="BD1067" s="117"/>
    </row>
    <row r="1068" spans="1:56" ht="15">
      <c r="A1068" s="114"/>
      <c r="B1068" s="244" t="s">
        <v>153</v>
      </c>
      <c r="C1068" s="200">
        <v>1</v>
      </c>
      <c r="D1068" s="245">
        <v>0.2</v>
      </c>
      <c r="E1068" s="201">
        <v>1.1499999999999999</v>
      </c>
      <c r="F1068" s="201">
        <f>3*7.75+7.615</f>
        <v>30.865000000000002</v>
      </c>
      <c r="G1068" s="202">
        <f t="shared" si="14"/>
        <v>7.0989500000000003</v>
      </c>
      <c r="H1068" s="202">
        <f t="shared" si="15"/>
        <v>77.162500000000009</v>
      </c>
      <c r="I1068" s="82"/>
      <c r="J1068" s="114"/>
      <c r="BB1068" s="117"/>
      <c r="BC1068" s="117"/>
      <c r="BD1068" s="117"/>
    </row>
    <row r="1069" spans="1:56" ht="15">
      <c r="A1069" s="114"/>
      <c r="B1069" s="244" t="s">
        <v>121</v>
      </c>
      <c r="C1069" s="200">
        <v>1</v>
      </c>
      <c r="D1069" s="245">
        <v>0.2</v>
      </c>
      <c r="E1069" s="201">
        <v>1.1499999999999999</v>
      </c>
      <c r="F1069" s="201">
        <f>2*7.75+7.615</f>
        <v>23.115000000000002</v>
      </c>
      <c r="G1069" s="202">
        <f t="shared" si="14"/>
        <v>5.3164499999999997</v>
      </c>
      <c r="H1069" s="202">
        <f t="shared" si="15"/>
        <v>57.787500000000009</v>
      </c>
      <c r="I1069" s="82"/>
      <c r="J1069" s="114"/>
      <c r="BB1069" s="117"/>
      <c r="BC1069" s="117"/>
      <c r="BD1069" s="117"/>
    </row>
    <row r="1070" spans="1:56" ht="15">
      <c r="A1070" s="114"/>
      <c r="B1070" s="114"/>
      <c r="C1070" s="114"/>
      <c r="D1070" s="114"/>
      <c r="E1070" s="114"/>
      <c r="F1070" s="227" t="s">
        <v>76</v>
      </c>
      <c r="G1070" s="228">
        <f>SUM(G1064:G1069)</f>
        <v>30.212799999999998</v>
      </c>
      <c r="H1070" s="228">
        <f>SUM(H1064:H1069)</f>
        <v>328.40000000000009</v>
      </c>
      <c r="I1070" s="82"/>
      <c r="J1070" s="114"/>
      <c r="BB1070" s="117"/>
      <c r="BC1070" s="117"/>
      <c r="BD1070" s="117"/>
    </row>
    <row r="1071" spans="1:56" ht="15">
      <c r="A1071" s="114"/>
      <c r="B1071" s="114"/>
      <c r="C1071" s="114"/>
      <c r="D1071" s="114"/>
      <c r="E1071" s="114"/>
      <c r="F1071" s="114"/>
      <c r="G1071" s="114"/>
      <c r="H1071" s="114"/>
      <c r="I1071" s="82"/>
      <c r="J1071" s="114"/>
      <c r="BB1071" s="117"/>
      <c r="BC1071" s="117"/>
      <c r="BD1071" s="117"/>
    </row>
    <row r="1072" spans="1:56" ht="15">
      <c r="A1072" s="114"/>
      <c r="B1072" s="242" t="s">
        <v>96</v>
      </c>
      <c r="C1072" s="199" t="s">
        <v>61</v>
      </c>
      <c r="D1072" s="199" t="s">
        <v>82</v>
      </c>
      <c r="E1072" s="199" t="s">
        <v>66</v>
      </c>
      <c r="F1072" s="199" t="s">
        <v>62</v>
      </c>
      <c r="G1072" s="243" t="s">
        <v>99</v>
      </c>
      <c r="H1072" s="243" t="s">
        <v>68</v>
      </c>
      <c r="I1072" s="82"/>
      <c r="J1072" s="114"/>
      <c r="BB1072" s="117"/>
      <c r="BC1072" s="117"/>
      <c r="BD1072" s="117"/>
    </row>
    <row r="1073" spans="1:56" ht="15">
      <c r="A1073" s="114"/>
      <c r="B1073" s="244" t="s">
        <v>406</v>
      </c>
      <c r="C1073" s="200">
        <v>1</v>
      </c>
      <c r="D1073" s="245">
        <v>0.4</v>
      </c>
      <c r="E1073" s="201">
        <v>0.25</v>
      </c>
      <c r="F1073" s="201">
        <v>6.55</v>
      </c>
      <c r="G1073" s="202">
        <f t="shared" ref="G1073:G1108" si="16">D1073*E1073*F1073*C1073</f>
        <v>0.65500000000000003</v>
      </c>
      <c r="H1073" s="202">
        <f t="shared" ref="H1073:H1108" si="17">(D1073+E1073)*2*F1073*C1073</f>
        <v>8.5150000000000006</v>
      </c>
      <c r="I1073" s="82"/>
      <c r="J1073" s="114"/>
      <c r="BB1073" s="117"/>
      <c r="BC1073" s="117"/>
      <c r="BD1073" s="117"/>
    </row>
    <row r="1074" spans="1:56" ht="15">
      <c r="A1074" s="114"/>
      <c r="B1074" s="244" t="s">
        <v>407</v>
      </c>
      <c r="C1074" s="200">
        <v>1</v>
      </c>
      <c r="D1074" s="245">
        <v>0.25</v>
      </c>
      <c r="E1074" s="201">
        <v>0.4</v>
      </c>
      <c r="F1074" s="201">
        <v>5</v>
      </c>
      <c r="G1074" s="202">
        <f t="shared" si="16"/>
        <v>0.5</v>
      </c>
      <c r="H1074" s="202">
        <f t="shared" si="17"/>
        <v>6.5</v>
      </c>
      <c r="I1074" s="82"/>
      <c r="J1074" s="114"/>
      <c r="BB1074" s="117"/>
      <c r="BC1074" s="117"/>
      <c r="BD1074" s="117"/>
    </row>
    <row r="1075" spans="1:56" ht="15">
      <c r="A1075" s="114"/>
      <c r="B1075" s="244" t="s">
        <v>408</v>
      </c>
      <c r="C1075" s="200">
        <v>1</v>
      </c>
      <c r="D1075" s="245">
        <v>0.25</v>
      </c>
      <c r="E1075" s="201">
        <v>0.2</v>
      </c>
      <c r="F1075" s="201">
        <v>1.55</v>
      </c>
      <c r="G1075" s="202">
        <f t="shared" si="16"/>
        <v>7.7500000000000013E-2</v>
      </c>
      <c r="H1075" s="202">
        <f t="shared" si="17"/>
        <v>1.395</v>
      </c>
      <c r="I1075" s="82"/>
      <c r="J1075" s="114"/>
      <c r="BB1075" s="117"/>
      <c r="BC1075" s="117"/>
      <c r="BD1075" s="117"/>
    </row>
    <row r="1076" spans="1:56" ht="15">
      <c r="A1076" s="114"/>
      <c r="B1076" s="244" t="s">
        <v>409</v>
      </c>
      <c r="C1076" s="200">
        <v>1</v>
      </c>
      <c r="D1076" s="245">
        <v>0.4</v>
      </c>
      <c r="E1076" s="201">
        <v>0.25</v>
      </c>
      <c r="F1076" s="201">
        <v>6.55</v>
      </c>
      <c r="G1076" s="202">
        <f t="shared" si="16"/>
        <v>0.65500000000000003</v>
      </c>
      <c r="H1076" s="202">
        <f t="shared" si="17"/>
        <v>8.5150000000000006</v>
      </c>
      <c r="I1076" s="82"/>
      <c r="J1076" s="114"/>
      <c r="BB1076" s="117"/>
      <c r="BC1076" s="117"/>
      <c r="BD1076" s="117"/>
    </row>
    <row r="1077" spans="1:56" ht="15">
      <c r="A1077" s="114"/>
      <c r="B1077" s="244" t="s">
        <v>410</v>
      </c>
      <c r="C1077" s="200">
        <v>1</v>
      </c>
      <c r="D1077" s="201">
        <v>0.4</v>
      </c>
      <c r="E1077" s="201">
        <v>0.25</v>
      </c>
      <c r="F1077" s="201">
        <v>5</v>
      </c>
      <c r="G1077" s="202">
        <f t="shared" si="16"/>
        <v>0.5</v>
      </c>
      <c r="H1077" s="202">
        <f t="shared" si="17"/>
        <v>6.5</v>
      </c>
      <c r="I1077" s="82"/>
      <c r="J1077" s="114"/>
      <c r="BB1077" s="117"/>
      <c r="BC1077" s="117"/>
      <c r="BD1077" s="117"/>
    </row>
    <row r="1078" spans="1:56" ht="15">
      <c r="A1078" s="114"/>
      <c r="B1078" s="244" t="s">
        <v>411</v>
      </c>
      <c r="C1078" s="200">
        <v>1</v>
      </c>
      <c r="D1078" s="201">
        <v>0.2</v>
      </c>
      <c r="E1078" s="201">
        <v>0.25</v>
      </c>
      <c r="F1078" s="201">
        <v>1.55</v>
      </c>
      <c r="G1078" s="202">
        <f t="shared" si="16"/>
        <v>7.7500000000000013E-2</v>
      </c>
      <c r="H1078" s="202">
        <f t="shared" si="17"/>
        <v>1.395</v>
      </c>
      <c r="I1078" s="82"/>
      <c r="J1078" s="114"/>
      <c r="BB1078" s="117"/>
      <c r="BC1078" s="117"/>
      <c r="BD1078" s="117"/>
    </row>
    <row r="1079" spans="1:56" ht="15">
      <c r="A1079" s="114"/>
      <c r="B1079" s="244" t="s">
        <v>412</v>
      </c>
      <c r="C1079" s="200">
        <v>1</v>
      </c>
      <c r="D1079" s="201">
        <v>0.4</v>
      </c>
      <c r="E1079" s="201">
        <v>0.25</v>
      </c>
      <c r="F1079" s="201">
        <v>5</v>
      </c>
      <c r="G1079" s="202">
        <f t="shared" si="16"/>
        <v>0.5</v>
      </c>
      <c r="H1079" s="202">
        <f t="shared" si="17"/>
        <v>6.5</v>
      </c>
      <c r="I1079" s="82"/>
      <c r="J1079" s="114"/>
      <c r="BB1079" s="117"/>
      <c r="BC1079" s="117"/>
      <c r="BD1079" s="117"/>
    </row>
    <row r="1080" spans="1:56" ht="15">
      <c r="A1080" s="114"/>
      <c r="B1080" s="244" t="s">
        <v>413</v>
      </c>
      <c r="C1080" s="200">
        <v>1</v>
      </c>
      <c r="D1080" s="201">
        <v>0.2</v>
      </c>
      <c r="E1080" s="201">
        <v>0.25</v>
      </c>
      <c r="F1080" s="201">
        <v>1.55</v>
      </c>
      <c r="G1080" s="202">
        <f t="shared" si="16"/>
        <v>7.7500000000000013E-2</v>
      </c>
      <c r="H1080" s="202">
        <f t="shared" si="17"/>
        <v>1.395</v>
      </c>
      <c r="I1080" s="82"/>
      <c r="J1080" s="114"/>
      <c r="BB1080" s="117"/>
      <c r="BC1080" s="117"/>
      <c r="BD1080" s="117"/>
    </row>
    <row r="1081" spans="1:56" ht="15">
      <c r="A1081" s="114"/>
      <c r="B1081" s="244" t="s">
        <v>414</v>
      </c>
      <c r="C1081" s="200">
        <v>1</v>
      </c>
      <c r="D1081" s="201">
        <v>0.4</v>
      </c>
      <c r="E1081" s="201">
        <v>0.25</v>
      </c>
      <c r="F1081" s="201">
        <v>5</v>
      </c>
      <c r="G1081" s="202">
        <f t="shared" si="16"/>
        <v>0.5</v>
      </c>
      <c r="H1081" s="202">
        <f t="shared" si="17"/>
        <v>6.5</v>
      </c>
      <c r="I1081" s="82"/>
      <c r="J1081" s="114"/>
      <c r="BB1081" s="117"/>
      <c r="BC1081" s="117"/>
      <c r="BD1081" s="117"/>
    </row>
    <row r="1082" spans="1:56" ht="15">
      <c r="A1082" s="114"/>
      <c r="B1082" s="244" t="s">
        <v>415</v>
      </c>
      <c r="C1082" s="200">
        <v>1</v>
      </c>
      <c r="D1082" s="201">
        <v>0.2</v>
      </c>
      <c r="E1082" s="201">
        <v>0.25</v>
      </c>
      <c r="F1082" s="201">
        <v>1.55</v>
      </c>
      <c r="G1082" s="202">
        <f t="shared" si="16"/>
        <v>7.7500000000000013E-2</v>
      </c>
      <c r="H1082" s="202">
        <f t="shared" si="17"/>
        <v>1.395</v>
      </c>
      <c r="I1082" s="82"/>
      <c r="J1082" s="114"/>
      <c r="BB1082" s="117"/>
      <c r="BC1082" s="117"/>
      <c r="BD1082" s="117"/>
    </row>
    <row r="1083" spans="1:56" ht="15">
      <c r="A1083" s="114"/>
      <c r="B1083" s="244" t="s">
        <v>416</v>
      </c>
      <c r="C1083" s="200">
        <v>1</v>
      </c>
      <c r="D1083" s="201">
        <v>0.4</v>
      </c>
      <c r="E1083" s="201">
        <v>0.25</v>
      </c>
      <c r="F1083" s="201">
        <v>5</v>
      </c>
      <c r="G1083" s="202">
        <f t="shared" si="16"/>
        <v>0.5</v>
      </c>
      <c r="H1083" s="202">
        <f t="shared" si="17"/>
        <v>6.5</v>
      </c>
      <c r="I1083" s="82"/>
      <c r="J1083" s="114"/>
      <c r="BB1083" s="117"/>
      <c r="BC1083" s="117"/>
      <c r="BD1083" s="117"/>
    </row>
    <row r="1084" spans="1:56" ht="15">
      <c r="A1084" s="114"/>
      <c r="B1084" s="244" t="s">
        <v>417</v>
      </c>
      <c r="C1084" s="200">
        <v>1</v>
      </c>
      <c r="D1084" s="201">
        <v>0.2</v>
      </c>
      <c r="E1084" s="201">
        <v>0.25</v>
      </c>
      <c r="F1084" s="201">
        <v>1.55</v>
      </c>
      <c r="G1084" s="202">
        <f t="shared" si="16"/>
        <v>7.7500000000000013E-2</v>
      </c>
      <c r="H1084" s="202">
        <f t="shared" si="17"/>
        <v>1.395</v>
      </c>
      <c r="I1084" s="82"/>
      <c r="J1084" s="114"/>
      <c r="BB1084" s="117"/>
      <c r="BC1084" s="117"/>
      <c r="BD1084" s="117"/>
    </row>
    <row r="1085" spans="1:56" ht="15">
      <c r="A1085" s="114"/>
      <c r="B1085" s="244" t="s">
        <v>418</v>
      </c>
      <c r="C1085" s="200">
        <v>1</v>
      </c>
      <c r="D1085" s="201">
        <v>0.4</v>
      </c>
      <c r="E1085" s="201">
        <v>0.25</v>
      </c>
      <c r="F1085" s="201">
        <v>5</v>
      </c>
      <c r="G1085" s="202">
        <f t="shared" si="16"/>
        <v>0.5</v>
      </c>
      <c r="H1085" s="202">
        <f t="shared" si="17"/>
        <v>6.5</v>
      </c>
      <c r="I1085" s="82"/>
      <c r="J1085" s="114"/>
      <c r="BB1085" s="117"/>
      <c r="BC1085" s="117"/>
      <c r="BD1085" s="117"/>
    </row>
    <row r="1086" spans="1:56" ht="15">
      <c r="A1086" s="114"/>
      <c r="B1086" s="244" t="s">
        <v>419</v>
      </c>
      <c r="C1086" s="200">
        <v>1</v>
      </c>
      <c r="D1086" s="201">
        <v>0.2</v>
      </c>
      <c r="E1086" s="201">
        <v>0.25</v>
      </c>
      <c r="F1086" s="201">
        <v>1.55</v>
      </c>
      <c r="G1086" s="202">
        <f t="shared" si="16"/>
        <v>7.7500000000000013E-2</v>
      </c>
      <c r="H1086" s="202">
        <f t="shared" si="17"/>
        <v>1.395</v>
      </c>
      <c r="I1086" s="82"/>
      <c r="J1086" s="114"/>
      <c r="BB1086" s="117"/>
      <c r="BC1086" s="117"/>
      <c r="BD1086" s="117"/>
    </row>
    <row r="1087" spans="1:56" ht="15">
      <c r="A1087" s="114"/>
      <c r="B1087" s="244" t="s">
        <v>420</v>
      </c>
      <c r="C1087" s="200">
        <v>1</v>
      </c>
      <c r="D1087" s="201">
        <v>0.4</v>
      </c>
      <c r="E1087" s="201">
        <v>0.25</v>
      </c>
      <c r="F1087" s="201">
        <v>5</v>
      </c>
      <c r="G1087" s="202">
        <f t="shared" si="16"/>
        <v>0.5</v>
      </c>
      <c r="H1087" s="202">
        <f t="shared" si="17"/>
        <v>6.5</v>
      </c>
      <c r="I1087" s="82"/>
      <c r="J1087" s="114"/>
      <c r="BB1087" s="117"/>
      <c r="BC1087" s="117"/>
      <c r="BD1087" s="117"/>
    </row>
    <row r="1088" spans="1:56" ht="15">
      <c r="A1088" s="114"/>
      <c r="B1088" s="244" t="s">
        <v>421</v>
      </c>
      <c r="C1088" s="200">
        <v>1</v>
      </c>
      <c r="D1088" s="201">
        <v>0.2</v>
      </c>
      <c r="E1088" s="201">
        <v>0.25</v>
      </c>
      <c r="F1088" s="201">
        <v>1.55</v>
      </c>
      <c r="G1088" s="202">
        <f t="shared" si="16"/>
        <v>7.7500000000000013E-2</v>
      </c>
      <c r="H1088" s="202">
        <f t="shared" si="17"/>
        <v>1.395</v>
      </c>
      <c r="I1088" s="82"/>
      <c r="J1088" s="114"/>
      <c r="BB1088" s="117"/>
      <c r="BC1088" s="117"/>
      <c r="BD1088" s="117"/>
    </row>
    <row r="1089" spans="1:56" ht="15">
      <c r="A1089" s="114"/>
      <c r="B1089" s="244" t="s">
        <v>422</v>
      </c>
      <c r="C1089" s="200">
        <v>1</v>
      </c>
      <c r="D1089" s="201">
        <v>0.4</v>
      </c>
      <c r="E1089" s="201">
        <v>0.25</v>
      </c>
      <c r="F1089" s="201">
        <v>5</v>
      </c>
      <c r="G1089" s="202">
        <f t="shared" si="16"/>
        <v>0.5</v>
      </c>
      <c r="H1089" s="202">
        <f t="shared" si="17"/>
        <v>6.5</v>
      </c>
      <c r="I1089" s="82"/>
      <c r="J1089" s="114"/>
      <c r="BB1089" s="117"/>
      <c r="BC1089" s="117"/>
      <c r="BD1089" s="117"/>
    </row>
    <row r="1090" spans="1:56" ht="15">
      <c r="A1090" s="114"/>
      <c r="B1090" s="244" t="s">
        <v>423</v>
      </c>
      <c r="C1090" s="200">
        <v>1</v>
      </c>
      <c r="D1090" s="201">
        <v>0.2</v>
      </c>
      <c r="E1090" s="201">
        <v>0.25</v>
      </c>
      <c r="F1090" s="201">
        <v>1.55</v>
      </c>
      <c r="G1090" s="202">
        <f t="shared" si="16"/>
        <v>7.7500000000000013E-2</v>
      </c>
      <c r="H1090" s="202">
        <f t="shared" si="17"/>
        <v>1.395</v>
      </c>
      <c r="I1090" s="82"/>
      <c r="J1090" s="114"/>
      <c r="BB1090" s="117"/>
      <c r="BC1090" s="117"/>
      <c r="BD1090" s="117"/>
    </row>
    <row r="1091" spans="1:56" ht="15">
      <c r="A1091" s="114"/>
      <c r="B1091" s="244" t="s">
        <v>424</v>
      </c>
      <c r="C1091" s="200">
        <v>1</v>
      </c>
      <c r="D1091" s="201">
        <v>0.4</v>
      </c>
      <c r="E1091" s="201">
        <v>0.25</v>
      </c>
      <c r="F1091" s="201">
        <v>5</v>
      </c>
      <c r="G1091" s="202">
        <f t="shared" si="16"/>
        <v>0.5</v>
      </c>
      <c r="H1091" s="202">
        <f t="shared" si="17"/>
        <v>6.5</v>
      </c>
      <c r="I1091" s="82"/>
      <c r="J1091" s="114"/>
      <c r="BB1091" s="117"/>
      <c r="BC1091" s="117"/>
      <c r="BD1091" s="117"/>
    </row>
    <row r="1092" spans="1:56" ht="15">
      <c r="A1092" s="114"/>
      <c r="B1092" s="244" t="s">
        <v>425</v>
      </c>
      <c r="C1092" s="200">
        <v>1</v>
      </c>
      <c r="D1092" s="201">
        <v>0.2</v>
      </c>
      <c r="E1092" s="201">
        <v>0.25</v>
      </c>
      <c r="F1092" s="201">
        <v>1.55</v>
      </c>
      <c r="G1092" s="202">
        <f t="shared" si="16"/>
        <v>7.7500000000000013E-2</v>
      </c>
      <c r="H1092" s="202">
        <f t="shared" si="17"/>
        <v>1.395</v>
      </c>
      <c r="I1092" s="82"/>
      <c r="J1092" s="114"/>
      <c r="BB1092" s="117"/>
      <c r="BC1092" s="117"/>
      <c r="BD1092" s="117"/>
    </row>
    <row r="1093" spans="1:56" ht="15">
      <c r="A1093" s="114"/>
      <c r="B1093" s="244" t="s">
        <v>426</v>
      </c>
      <c r="C1093" s="200">
        <v>1</v>
      </c>
      <c r="D1093" s="201">
        <v>0.4</v>
      </c>
      <c r="E1093" s="201">
        <v>0.25</v>
      </c>
      <c r="F1093" s="201">
        <v>5</v>
      </c>
      <c r="G1093" s="202">
        <f t="shared" si="16"/>
        <v>0.5</v>
      </c>
      <c r="H1093" s="202">
        <f t="shared" si="17"/>
        <v>6.5</v>
      </c>
      <c r="I1093" s="82"/>
      <c r="J1093" s="114"/>
      <c r="BB1093" s="117"/>
      <c r="BC1093" s="117"/>
      <c r="BD1093" s="117"/>
    </row>
    <row r="1094" spans="1:56" ht="15">
      <c r="A1094" s="114"/>
      <c r="B1094" s="244" t="s">
        <v>427</v>
      </c>
      <c r="C1094" s="200">
        <v>1</v>
      </c>
      <c r="D1094" s="201">
        <v>0.2</v>
      </c>
      <c r="E1094" s="201">
        <v>0.25</v>
      </c>
      <c r="F1094" s="201">
        <v>1.55</v>
      </c>
      <c r="G1094" s="202">
        <f t="shared" si="16"/>
        <v>7.7500000000000013E-2</v>
      </c>
      <c r="H1094" s="202">
        <f t="shared" si="17"/>
        <v>1.395</v>
      </c>
      <c r="I1094" s="82"/>
      <c r="J1094" s="114"/>
      <c r="BB1094" s="117"/>
      <c r="BC1094" s="117"/>
      <c r="BD1094" s="117"/>
    </row>
    <row r="1095" spans="1:56" ht="15">
      <c r="A1095" s="114"/>
      <c r="B1095" s="244" t="s">
        <v>428</v>
      </c>
      <c r="C1095" s="200">
        <v>1</v>
      </c>
      <c r="D1095" s="201">
        <v>0.4</v>
      </c>
      <c r="E1095" s="201">
        <v>0.25</v>
      </c>
      <c r="F1095" s="201">
        <v>5</v>
      </c>
      <c r="G1095" s="202">
        <f t="shared" si="16"/>
        <v>0.5</v>
      </c>
      <c r="H1095" s="202">
        <f t="shared" si="17"/>
        <v>6.5</v>
      </c>
      <c r="I1095" s="82"/>
      <c r="J1095" s="114"/>
      <c r="BB1095" s="117"/>
      <c r="BC1095" s="117"/>
      <c r="BD1095" s="117"/>
    </row>
    <row r="1096" spans="1:56" ht="15">
      <c r="A1096" s="114"/>
      <c r="B1096" s="244" t="s">
        <v>429</v>
      </c>
      <c r="C1096" s="200">
        <v>1</v>
      </c>
      <c r="D1096" s="201">
        <v>0.2</v>
      </c>
      <c r="E1096" s="201">
        <v>0.25</v>
      </c>
      <c r="F1096" s="201">
        <v>1.55</v>
      </c>
      <c r="G1096" s="202">
        <f t="shared" si="16"/>
        <v>7.7500000000000013E-2</v>
      </c>
      <c r="H1096" s="202">
        <f t="shared" si="17"/>
        <v>1.395</v>
      </c>
      <c r="I1096" s="82"/>
      <c r="J1096" s="114"/>
      <c r="BB1096" s="117"/>
      <c r="BC1096" s="117"/>
      <c r="BD1096" s="117"/>
    </row>
    <row r="1097" spans="1:56" ht="15">
      <c r="A1097" s="114"/>
      <c r="B1097" s="244" t="s">
        <v>430</v>
      </c>
      <c r="C1097" s="200">
        <v>1</v>
      </c>
      <c r="D1097" s="201">
        <v>0.4</v>
      </c>
      <c r="E1097" s="201">
        <v>0.25</v>
      </c>
      <c r="F1097" s="201">
        <v>5</v>
      </c>
      <c r="G1097" s="202">
        <f t="shared" si="16"/>
        <v>0.5</v>
      </c>
      <c r="H1097" s="202">
        <f t="shared" si="17"/>
        <v>6.5</v>
      </c>
      <c r="I1097" s="82"/>
      <c r="J1097" s="114"/>
      <c r="BB1097" s="117"/>
      <c r="BC1097" s="117"/>
      <c r="BD1097" s="117"/>
    </row>
    <row r="1098" spans="1:56" ht="15">
      <c r="A1098" s="114"/>
      <c r="B1098" s="244" t="s">
        <v>431</v>
      </c>
      <c r="C1098" s="200">
        <v>1</v>
      </c>
      <c r="D1098" s="201">
        <v>0.2</v>
      </c>
      <c r="E1098" s="201">
        <v>0.25</v>
      </c>
      <c r="F1098" s="201">
        <v>1.55</v>
      </c>
      <c r="G1098" s="202">
        <f t="shared" si="16"/>
        <v>7.7500000000000013E-2</v>
      </c>
      <c r="H1098" s="202">
        <f t="shared" si="17"/>
        <v>1.395</v>
      </c>
      <c r="I1098" s="82"/>
      <c r="J1098" s="114"/>
      <c r="BB1098" s="117"/>
      <c r="BC1098" s="117"/>
      <c r="BD1098" s="117"/>
    </row>
    <row r="1099" spans="1:56" ht="15">
      <c r="A1099" s="114"/>
      <c r="B1099" s="244" t="s">
        <v>432</v>
      </c>
      <c r="C1099" s="200">
        <v>1</v>
      </c>
      <c r="D1099" s="201">
        <v>0.4</v>
      </c>
      <c r="E1099" s="201">
        <v>0.25</v>
      </c>
      <c r="F1099" s="201">
        <v>5</v>
      </c>
      <c r="G1099" s="202">
        <f t="shared" si="16"/>
        <v>0.5</v>
      </c>
      <c r="H1099" s="202">
        <f t="shared" si="17"/>
        <v>6.5</v>
      </c>
      <c r="I1099" s="82"/>
      <c r="J1099" s="114"/>
      <c r="BB1099" s="117"/>
      <c r="BC1099" s="117"/>
      <c r="BD1099" s="117"/>
    </row>
    <row r="1100" spans="1:56" ht="15">
      <c r="A1100" s="114"/>
      <c r="B1100" s="244" t="s">
        <v>433</v>
      </c>
      <c r="C1100" s="200">
        <v>1</v>
      </c>
      <c r="D1100" s="201">
        <v>0.2</v>
      </c>
      <c r="E1100" s="201">
        <v>0.25</v>
      </c>
      <c r="F1100" s="201">
        <v>1.55</v>
      </c>
      <c r="G1100" s="202">
        <f t="shared" si="16"/>
        <v>7.7500000000000013E-2</v>
      </c>
      <c r="H1100" s="202">
        <f t="shared" si="17"/>
        <v>1.395</v>
      </c>
      <c r="I1100" s="82"/>
      <c r="J1100" s="114"/>
      <c r="BB1100" s="117"/>
      <c r="BC1100" s="117"/>
      <c r="BD1100" s="117"/>
    </row>
    <row r="1101" spans="1:56" ht="15">
      <c r="A1101" s="114"/>
      <c r="B1101" s="244" t="s">
        <v>434</v>
      </c>
      <c r="C1101" s="200">
        <v>1</v>
      </c>
      <c r="D1101" s="201">
        <v>0.4</v>
      </c>
      <c r="E1101" s="201">
        <v>0.25</v>
      </c>
      <c r="F1101" s="201">
        <v>5</v>
      </c>
      <c r="G1101" s="202">
        <f t="shared" si="16"/>
        <v>0.5</v>
      </c>
      <c r="H1101" s="202">
        <f t="shared" si="17"/>
        <v>6.5</v>
      </c>
      <c r="I1101" s="82"/>
      <c r="J1101" s="114"/>
      <c r="BB1101" s="117"/>
      <c r="BC1101" s="117"/>
      <c r="BD1101" s="117"/>
    </row>
    <row r="1102" spans="1:56" ht="15">
      <c r="A1102" s="114"/>
      <c r="B1102" s="244" t="s">
        <v>435</v>
      </c>
      <c r="C1102" s="200">
        <v>1</v>
      </c>
      <c r="D1102" s="201">
        <v>0.2</v>
      </c>
      <c r="E1102" s="201">
        <v>0.25</v>
      </c>
      <c r="F1102" s="201">
        <v>1.55</v>
      </c>
      <c r="G1102" s="202">
        <f t="shared" si="16"/>
        <v>7.7500000000000013E-2</v>
      </c>
      <c r="H1102" s="202">
        <f t="shared" si="17"/>
        <v>1.395</v>
      </c>
      <c r="I1102" s="82"/>
      <c r="J1102" s="114"/>
      <c r="BB1102" s="117"/>
      <c r="BC1102" s="117"/>
      <c r="BD1102" s="117"/>
    </row>
    <row r="1103" spans="1:56" ht="15">
      <c r="A1103" s="114"/>
      <c r="B1103" s="244" t="s">
        <v>436</v>
      </c>
      <c r="C1103" s="200">
        <v>1</v>
      </c>
      <c r="D1103" s="201">
        <v>0.4</v>
      </c>
      <c r="E1103" s="201">
        <v>0.25</v>
      </c>
      <c r="F1103" s="201">
        <v>5</v>
      </c>
      <c r="G1103" s="202">
        <f t="shared" si="16"/>
        <v>0.5</v>
      </c>
      <c r="H1103" s="202">
        <f t="shared" si="17"/>
        <v>6.5</v>
      </c>
      <c r="I1103" s="82"/>
      <c r="J1103" s="114"/>
      <c r="BB1103" s="117"/>
      <c r="BC1103" s="117"/>
      <c r="BD1103" s="117"/>
    </row>
    <row r="1104" spans="1:56" ht="15">
      <c r="A1104" s="114"/>
      <c r="B1104" s="244" t="s">
        <v>437</v>
      </c>
      <c r="C1104" s="200">
        <v>1</v>
      </c>
      <c r="D1104" s="201">
        <v>0.2</v>
      </c>
      <c r="E1104" s="201">
        <v>0.25</v>
      </c>
      <c r="F1104" s="201">
        <v>1.55</v>
      </c>
      <c r="G1104" s="202">
        <f t="shared" si="16"/>
        <v>7.7500000000000013E-2</v>
      </c>
      <c r="H1104" s="202">
        <f t="shared" si="17"/>
        <v>1.395</v>
      </c>
      <c r="I1104" s="82"/>
      <c r="J1104" s="114"/>
      <c r="BB1104" s="117"/>
      <c r="BC1104" s="117"/>
      <c r="BD1104" s="117"/>
    </row>
    <row r="1105" spans="1:56" ht="15">
      <c r="A1105" s="114"/>
      <c r="B1105" s="244" t="s">
        <v>438</v>
      </c>
      <c r="C1105" s="200">
        <v>1</v>
      </c>
      <c r="D1105" s="245">
        <v>0.4</v>
      </c>
      <c r="E1105" s="201">
        <v>0.25</v>
      </c>
      <c r="F1105" s="201">
        <v>6.55</v>
      </c>
      <c r="G1105" s="202">
        <f t="shared" si="16"/>
        <v>0.65500000000000003</v>
      </c>
      <c r="H1105" s="202">
        <f t="shared" si="17"/>
        <v>8.5150000000000006</v>
      </c>
      <c r="I1105" s="82"/>
      <c r="J1105" s="114"/>
      <c r="BB1105" s="117"/>
      <c r="BC1105" s="117"/>
      <c r="BD1105" s="117"/>
    </row>
    <row r="1106" spans="1:56" ht="15">
      <c r="A1106" s="114"/>
      <c r="B1106" s="244" t="s">
        <v>439</v>
      </c>
      <c r="C1106" s="200">
        <v>1</v>
      </c>
      <c r="D1106" s="245">
        <v>0.25</v>
      </c>
      <c r="E1106" s="201">
        <v>0.4</v>
      </c>
      <c r="F1106" s="201">
        <v>5</v>
      </c>
      <c r="G1106" s="202">
        <f t="shared" si="16"/>
        <v>0.5</v>
      </c>
      <c r="H1106" s="202">
        <f t="shared" si="17"/>
        <v>6.5</v>
      </c>
      <c r="I1106" s="82"/>
      <c r="J1106" s="114"/>
      <c r="BB1106" s="117"/>
      <c r="BC1106" s="117"/>
      <c r="BD1106" s="117"/>
    </row>
    <row r="1107" spans="1:56" ht="15">
      <c r="A1107" s="114"/>
      <c r="B1107" s="244" t="s">
        <v>440</v>
      </c>
      <c r="C1107" s="200">
        <v>1</v>
      </c>
      <c r="D1107" s="245">
        <v>0.25</v>
      </c>
      <c r="E1107" s="201">
        <v>0.2</v>
      </c>
      <c r="F1107" s="201">
        <v>1.55</v>
      </c>
      <c r="G1107" s="202">
        <f t="shared" si="16"/>
        <v>7.7500000000000013E-2</v>
      </c>
      <c r="H1107" s="202">
        <f t="shared" si="17"/>
        <v>1.395</v>
      </c>
      <c r="I1107" s="82"/>
      <c r="J1107" s="114"/>
      <c r="BB1107" s="117"/>
      <c r="BC1107" s="117"/>
      <c r="BD1107" s="117"/>
    </row>
    <row r="1108" spans="1:56" ht="15">
      <c r="A1108" s="114"/>
      <c r="B1108" s="244" t="s">
        <v>438</v>
      </c>
      <c r="C1108" s="200">
        <v>1</v>
      </c>
      <c r="D1108" s="245">
        <v>0.4</v>
      </c>
      <c r="E1108" s="201">
        <v>0.25</v>
      </c>
      <c r="F1108" s="201">
        <v>6.55</v>
      </c>
      <c r="G1108" s="202">
        <f t="shared" si="16"/>
        <v>0.65500000000000003</v>
      </c>
      <c r="H1108" s="202">
        <f t="shared" si="17"/>
        <v>8.5150000000000006</v>
      </c>
      <c r="I1108" s="82"/>
      <c r="J1108" s="114"/>
      <c r="BB1108" s="117"/>
      <c r="BC1108" s="117"/>
      <c r="BD1108" s="117"/>
    </row>
    <row r="1109" spans="1:56" ht="15">
      <c r="A1109" s="114"/>
      <c r="B1109" s="114"/>
      <c r="C1109" s="114"/>
      <c r="D1109" s="114"/>
      <c r="E1109" s="114"/>
      <c r="F1109" s="254" t="s">
        <v>76</v>
      </c>
      <c r="G1109" s="228">
        <f>SUM(G1073:G1108)</f>
        <v>11.86</v>
      </c>
      <c r="H1109" s="228">
        <f>SUM(H1073:H1108)</f>
        <v>160.38</v>
      </c>
      <c r="I1109" s="82"/>
      <c r="J1109" s="114"/>
      <c r="BB1109" s="117"/>
      <c r="BC1109" s="117"/>
      <c r="BD1109" s="117"/>
    </row>
    <row r="1110" spans="1:56">
      <c r="A1110" s="114"/>
      <c r="B1110" s="264"/>
      <c r="C1110" s="115"/>
      <c r="D1110" s="115"/>
      <c r="E1110" s="115"/>
      <c r="F1110" s="227"/>
      <c r="G1110" s="257"/>
      <c r="H1110" s="257"/>
      <c r="I1110" s="82"/>
      <c r="J1110" s="114"/>
      <c r="BB1110" s="117"/>
      <c r="BC1110" s="117"/>
      <c r="BD1110" s="117"/>
    </row>
    <row r="1111" spans="1:56" ht="15">
      <c r="A1111" s="114"/>
      <c r="B1111" s="305" t="s">
        <v>394</v>
      </c>
      <c r="C1111" s="306" t="s">
        <v>61</v>
      </c>
      <c r="D1111" s="199" t="s">
        <v>395</v>
      </c>
      <c r="E1111" s="199" t="s">
        <v>396</v>
      </c>
      <c r="F1111" s="306" t="s">
        <v>48</v>
      </c>
      <c r="G1111" s="243" t="s">
        <v>95</v>
      </c>
      <c r="H1111" s="243" t="s">
        <v>397</v>
      </c>
      <c r="I1111" s="82"/>
      <c r="J1111" s="114"/>
      <c r="BB1111" s="117"/>
      <c r="BC1111" s="117"/>
      <c r="BD1111" s="117"/>
    </row>
    <row r="1112" spans="1:56" ht="15">
      <c r="A1112" s="114"/>
      <c r="B1112" s="307" t="s">
        <v>398</v>
      </c>
      <c r="C1112" s="247">
        <v>1</v>
      </c>
      <c r="D1112" s="194">
        <f>422.4+2*(6.5+7.8+7.8+6.4+21+20.8+12.9+10.9+10.9+12.7)</f>
        <v>657.8</v>
      </c>
      <c r="E1112" s="181">
        <v>0.08</v>
      </c>
      <c r="F1112" s="308"/>
      <c r="G1112" s="273">
        <f>C1112*D1112*E1112</f>
        <v>52.623999999999995</v>
      </c>
      <c r="H1112" s="274">
        <f>C1112*D1112*0.05</f>
        <v>32.89</v>
      </c>
      <c r="I1112" s="82"/>
      <c r="J1112" s="114"/>
      <c r="BB1112" s="117"/>
      <c r="BC1112" s="117"/>
      <c r="BD1112" s="117"/>
    </row>
    <row r="1113" spans="1:56">
      <c r="A1113" s="114"/>
      <c r="B1113" s="264"/>
      <c r="C1113" s="115"/>
      <c r="D1113" s="115"/>
      <c r="E1113" s="115"/>
      <c r="F1113" s="260" t="s">
        <v>76</v>
      </c>
      <c r="G1113" s="261">
        <f>SUM(G1112:G1112)</f>
        <v>52.623999999999995</v>
      </c>
      <c r="H1113" s="261">
        <f>SUM(H1112:H1112)</f>
        <v>32.89</v>
      </c>
      <c r="I1113" s="82"/>
      <c r="J1113" s="114"/>
      <c r="BB1113" s="117"/>
      <c r="BC1113" s="117"/>
      <c r="BD1113" s="117"/>
    </row>
    <row r="1114" spans="1:56" ht="16.5" thickBot="1">
      <c r="A1114" s="114"/>
      <c r="B1114" s="309"/>
      <c r="C1114" s="362"/>
      <c r="D1114" s="362"/>
      <c r="E1114" s="362"/>
      <c r="F1114" s="115"/>
      <c r="G1114" s="196"/>
      <c r="H1114" s="257"/>
      <c r="I1114" s="82"/>
      <c r="J1114" s="114"/>
      <c r="BB1114" s="117"/>
      <c r="BC1114" s="117"/>
      <c r="BD1114" s="117"/>
    </row>
    <row r="1115" spans="1:56">
      <c r="A1115" s="114"/>
      <c r="B1115" s="1285" t="s">
        <v>98</v>
      </c>
      <c r="C1115" s="1286"/>
      <c r="D1115" s="1286"/>
      <c r="E1115" s="1286"/>
      <c r="F1115" s="1287"/>
      <c r="G1115" s="115"/>
      <c r="H1115" s="115"/>
      <c r="I1115" s="82"/>
      <c r="J1115" s="114"/>
      <c r="BB1115" s="117"/>
      <c r="BC1115" s="117"/>
      <c r="BD1115" s="117"/>
    </row>
    <row r="1116" spans="1:56">
      <c r="A1116" s="114"/>
      <c r="B1116" s="634"/>
      <c r="C1116" s="115"/>
      <c r="D1116" s="115"/>
      <c r="E1116" s="115"/>
      <c r="F1116" s="182"/>
      <c r="G1116" s="115"/>
      <c r="H1116" s="115"/>
      <c r="I1116" s="82"/>
      <c r="J1116" s="114"/>
      <c r="BB1116" s="117"/>
      <c r="BC1116" s="117"/>
      <c r="BD1116" s="117"/>
    </row>
    <row r="1117" spans="1:56">
      <c r="A1117" s="114"/>
      <c r="B1117" s="635" t="s">
        <v>315</v>
      </c>
      <c r="C1117" s="203"/>
      <c r="D1117" s="204"/>
      <c r="E1117" s="205">
        <f>H1109+H1070</f>
        <v>488.78000000000009</v>
      </c>
      <c r="F1117" s="216" t="s">
        <v>13</v>
      </c>
      <c r="G1117" s="115"/>
      <c r="H1117" s="115"/>
      <c r="I1117" s="82"/>
      <c r="J1117" s="114"/>
      <c r="BB1117" s="117"/>
      <c r="BC1117" s="117"/>
      <c r="BD1117" s="117"/>
    </row>
    <row r="1118" spans="1:56">
      <c r="A1118" s="114"/>
      <c r="B1118" s="635" t="s">
        <v>316</v>
      </c>
      <c r="C1118" s="203"/>
      <c r="D1118" s="204"/>
      <c r="E1118" s="205">
        <f>G1070+G1109+G1113</f>
        <v>94.696799999999996</v>
      </c>
      <c r="F1118" s="216" t="s">
        <v>100</v>
      </c>
      <c r="G1118" s="115"/>
      <c r="H1118" s="115"/>
      <c r="I1118" s="82"/>
      <c r="J1118" s="114"/>
      <c r="BB1118" s="117"/>
      <c r="BC1118" s="117"/>
      <c r="BD1118" s="117"/>
    </row>
    <row r="1119" spans="1:56">
      <c r="A1119" s="114"/>
      <c r="B1119" s="635" t="s">
        <v>317</v>
      </c>
      <c r="C1119" s="203"/>
      <c r="D1119" s="204"/>
      <c r="E1119" s="302">
        <f>H1113</f>
        <v>32.89</v>
      </c>
      <c r="F1119" s="216" t="s">
        <v>100</v>
      </c>
      <c r="G1119" s="115"/>
      <c r="H1119" s="236"/>
      <c r="I1119" s="3"/>
      <c r="J1119" s="114"/>
      <c r="BB1119" s="117"/>
      <c r="BC1119" s="117"/>
      <c r="BD1119" s="117"/>
    </row>
    <row r="1120" spans="1:56" ht="15">
      <c r="A1120" s="114"/>
      <c r="B1120" s="635" t="s">
        <v>318</v>
      </c>
      <c r="C1120" s="172"/>
      <c r="D1120" s="173"/>
      <c r="E1120" s="280">
        <f>96.6+2*(10.2+11.3+11.3+10.1+19+18.9+14.5+13.5+13.5+14.4)</f>
        <v>370</v>
      </c>
      <c r="F1120" s="216" t="s">
        <v>12</v>
      </c>
      <c r="G1120" s="362"/>
      <c r="H1120" s="362"/>
      <c r="I1120" s="362"/>
      <c r="J1120" s="114"/>
      <c r="AV1120" s="117"/>
      <c r="AW1120" s="117"/>
      <c r="AX1120" s="117"/>
      <c r="AY1120" s="117"/>
      <c r="AZ1120" s="117"/>
      <c r="BA1120" s="117"/>
      <c r="BB1120" s="117"/>
      <c r="BC1120" s="117"/>
      <c r="BD1120" s="117"/>
    </row>
    <row r="1121" spans="1:56" ht="16.5" customHeight="1" thickBot="1">
      <c r="A1121" s="114"/>
      <c r="B1121" s="779" t="s">
        <v>319</v>
      </c>
      <c r="C1121" s="174"/>
      <c r="D1121" s="176"/>
      <c r="E1121" s="281">
        <f>4*11.91</f>
        <v>47.64</v>
      </c>
      <c r="F1121" s="215" t="s">
        <v>10</v>
      </c>
      <c r="G1121" s="196"/>
      <c r="H1121" s="196"/>
      <c r="I1121" s="196"/>
      <c r="J1121" s="114"/>
      <c r="AV1121" s="117"/>
      <c r="AW1121" s="117"/>
      <c r="AX1121" s="117"/>
      <c r="AY1121" s="117"/>
      <c r="AZ1121" s="117"/>
      <c r="BA1121" s="117"/>
      <c r="BB1121" s="117"/>
      <c r="BC1121" s="117"/>
      <c r="BD1121" s="117"/>
    </row>
    <row r="1122" spans="1:56">
      <c r="A1122" s="114"/>
      <c r="B1122" s="207"/>
      <c r="C1122" s="208"/>
      <c r="D1122" s="208"/>
      <c r="E1122" s="209"/>
      <c r="F1122" s="207"/>
      <c r="G1122" s="115"/>
      <c r="H1122" s="115"/>
      <c r="I1122" s="82"/>
      <c r="J1122" s="114"/>
      <c r="BB1122" s="117"/>
      <c r="BC1122" s="117"/>
      <c r="BD1122" s="117"/>
    </row>
    <row r="1123" spans="1:56" ht="16.5" thickBot="1">
      <c r="A1123" s="114"/>
      <c r="B1123" s="115"/>
      <c r="C1123" s="115"/>
      <c r="D1123" s="115"/>
      <c r="E1123" s="115"/>
      <c r="F1123" s="115"/>
      <c r="G1123" s="115"/>
      <c r="H1123" s="115"/>
      <c r="I1123" s="82"/>
      <c r="J1123" s="114"/>
      <c r="BB1123" s="117"/>
      <c r="BC1123" s="117"/>
      <c r="BD1123" s="117"/>
    </row>
    <row r="1124" spans="1:56">
      <c r="A1124" s="114"/>
      <c r="B1124" s="1285" t="s">
        <v>320</v>
      </c>
      <c r="C1124" s="1286"/>
      <c r="D1124" s="1286"/>
      <c r="E1124" s="1286"/>
      <c r="F1124" s="1287"/>
      <c r="G1124" s="115"/>
      <c r="H1124" s="115"/>
      <c r="I1124" s="82"/>
      <c r="J1124" s="114"/>
      <c r="BB1124" s="117"/>
      <c r="BC1124" s="117"/>
      <c r="BD1124" s="117"/>
    </row>
    <row r="1125" spans="1:56">
      <c r="A1125" s="114"/>
      <c r="B1125" s="690"/>
      <c r="C1125" s="115"/>
      <c r="D1125" s="115"/>
      <c r="E1125" s="115"/>
      <c r="F1125" s="182"/>
      <c r="G1125" s="115"/>
      <c r="H1125" s="115"/>
      <c r="I1125" s="82"/>
      <c r="J1125" s="114"/>
      <c r="BB1125" s="117"/>
      <c r="BC1125" s="117"/>
      <c r="BD1125" s="117"/>
    </row>
    <row r="1126" spans="1:56" ht="15">
      <c r="A1126" s="114"/>
      <c r="B1126" s="691" t="s">
        <v>399</v>
      </c>
      <c r="C1126" s="196"/>
      <c r="D1126" s="196"/>
      <c r="E1126" s="196"/>
      <c r="F1126" s="284"/>
      <c r="G1126" s="196"/>
      <c r="H1126" s="196"/>
      <c r="I1126" s="196"/>
      <c r="J1126" s="114"/>
      <c r="BB1126" s="117"/>
      <c r="BC1126" s="117"/>
      <c r="BD1126" s="117"/>
    </row>
    <row r="1127" spans="1:56" ht="15">
      <c r="A1127" s="114"/>
      <c r="B1127" s="692" t="s">
        <v>400</v>
      </c>
      <c r="C1127" s="280">
        <v>1575</v>
      </c>
      <c r="D1127" s="286" t="s">
        <v>12</v>
      </c>
      <c r="E1127" s="1199" t="s">
        <v>441</v>
      </c>
      <c r="F1127" s="1200"/>
      <c r="G1127" s="196"/>
      <c r="H1127" s="196"/>
      <c r="I1127" s="196"/>
      <c r="J1127" s="114"/>
      <c r="BB1127" s="117"/>
      <c r="BC1127" s="117"/>
      <c r="BD1127" s="117"/>
    </row>
    <row r="1128" spans="1:56" ht="15">
      <c r="A1128" s="114"/>
      <c r="B1128" s="692" t="s">
        <v>402</v>
      </c>
      <c r="C1128" s="280">
        <v>823</v>
      </c>
      <c r="D1128" s="286" t="s">
        <v>12</v>
      </c>
      <c r="E1128" s="1216"/>
      <c r="F1128" s="1217"/>
      <c r="G1128" s="196"/>
      <c r="H1128" s="196"/>
      <c r="I1128" s="196"/>
      <c r="J1128" s="114"/>
      <c r="BB1128" s="117"/>
      <c r="BC1128" s="117"/>
      <c r="BD1128" s="117"/>
    </row>
    <row r="1129" spans="1:56" ht="15">
      <c r="A1129" s="114"/>
      <c r="B1129" s="692" t="s">
        <v>403</v>
      </c>
      <c r="C1129" s="280">
        <v>16</v>
      </c>
      <c r="D1129" s="286" t="s">
        <v>12</v>
      </c>
      <c r="E1129" s="1201"/>
      <c r="F1129" s="1202"/>
      <c r="G1129" s="196"/>
      <c r="H1129" s="196"/>
      <c r="I1129" s="196"/>
      <c r="J1129" s="114"/>
      <c r="BB1129" s="117"/>
      <c r="BC1129" s="117"/>
      <c r="BD1129" s="117"/>
    </row>
    <row r="1130" spans="1:56" ht="15">
      <c r="A1130" s="114"/>
      <c r="B1130" s="693"/>
      <c r="C1130" s="196"/>
      <c r="D1130" s="196"/>
      <c r="E1130" s="196"/>
      <c r="F1130" s="284"/>
      <c r="G1130" s="196"/>
      <c r="H1130" s="196"/>
      <c r="I1130" s="196"/>
      <c r="J1130" s="114"/>
      <c r="BB1130" s="117"/>
      <c r="BC1130" s="117"/>
      <c r="BD1130" s="117"/>
    </row>
    <row r="1131" spans="1:56" ht="15">
      <c r="A1131" s="114"/>
      <c r="B1131" s="691" t="s">
        <v>442</v>
      </c>
      <c r="C1131" s="196"/>
      <c r="D1131" s="196"/>
      <c r="E1131" s="196"/>
      <c r="F1131" s="284"/>
      <c r="G1131" s="196"/>
      <c r="H1131" s="196"/>
      <c r="I1131" s="196"/>
      <c r="J1131" s="114"/>
      <c r="BB1131" s="117"/>
      <c r="BC1131" s="117"/>
      <c r="BD1131" s="117"/>
    </row>
    <row r="1132" spans="1:56" ht="15">
      <c r="A1132" s="114"/>
      <c r="B1132" s="692" t="s">
        <v>353</v>
      </c>
      <c r="C1132" s="280">
        <v>22</v>
      </c>
      <c r="D1132" s="286" t="s">
        <v>12</v>
      </c>
      <c r="E1132" s="1199" t="s">
        <v>443</v>
      </c>
      <c r="F1132" s="1200"/>
      <c r="G1132" s="196"/>
      <c r="H1132" s="196"/>
      <c r="I1132" s="196"/>
      <c r="J1132" s="114"/>
      <c r="BB1132" s="117"/>
      <c r="BC1132" s="117"/>
      <c r="BD1132" s="117"/>
    </row>
    <row r="1133" spans="1:56" ht="15">
      <c r="A1133" s="114"/>
      <c r="B1133" s="692" t="s">
        <v>352</v>
      </c>
      <c r="C1133" s="280">
        <v>3293</v>
      </c>
      <c r="D1133" s="286" t="s">
        <v>12</v>
      </c>
      <c r="E1133" s="1201"/>
      <c r="F1133" s="1202"/>
      <c r="G1133" s="196"/>
      <c r="H1133" s="196"/>
      <c r="I1133" s="196"/>
      <c r="J1133" s="114"/>
      <c r="BB1133" s="117"/>
      <c r="BC1133" s="117"/>
      <c r="BD1133" s="117"/>
    </row>
    <row r="1134" spans="1:56" ht="15">
      <c r="A1134" s="114"/>
      <c r="B1134" s="694"/>
      <c r="C1134" s="211"/>
      <c r="D1134" s="196"/>
      <c r="E1134" s="288"/>
      <c r="F1134" s="284"/>
      <c r="G1134" s="196"/>
      <c r="H1134" s="196"/>
      <c r="I1134" s="196"/>
      <c r="J1134" s="114"/>
      <c r="BB1134" s="117"/>
      <c r="BC1134" s="117"/>
      <c r="BD1134" s="117"/>
    </row>
    <row r="1135" spans="1:56">
      <c r="A1135" s="114"/>
      <c r="B1135" s="691" t="s">
        <v>351</v>
      </c>
      <c r="C1135" s="115"/>
      <c r="D1135" s="115"/>
      <c r="E1135" s="115"/>
      <c r="F1135" s="182"/>
      <c r="G1135" s="115"/>
      <c r="H1135" s="115"/>
      <c r="I1135" s="82"/>
      <c r="J1135" s="114"/>
      <c r="BB1135" s="117"/>
      <c r="BC1135" s="117"/>
      <c r="BD1135" s="117"/>
    </row>
    <row r="1136" spans="1:56">
      <c r="A1136" s="114"/>
      <c r="B1136" s="692" t="s">
        <v>352</v>
      </c>
      <c r="C1136" s="203"/>
      <c r="D1136" s="204"/>
      <c r="E1136" s="302">
        <f>C1133+C1129</f>
        <v>3309</v>
      </c>
      <c r="F1136" s="216" t="s">
        <v>12</v>
      </c>
      <c r="G1136" s="115"/>
      <c r="H1136" s="236"/>
      <c r="I1136" s="3"/>
      <c r="J1136" s="114"/>
      <c r="BB1136" s="117"/>
      <c r="BC1136" s="117"/>
      <c r="BD1136" s="117"/>
    </row>
    <row r="1137" spans="1:56" ht="16.5" thickBot="1">
      <c r="A1137" s="114"/>
      <c r="B1137" s="695" t="s">
        <v>353</v>
      </c>
      <c r="C1137" s="217"/>
      <c r="D1137" s="218"/>
      <c r="E1137" s="304">
        <f>C1127+C1128+C1132</f>
        <v>2420</v>
      </c>
      <c r="F1137" s="219" t="s">
        <v>12</v>
      </c>
      <c r="G1137" s="115"/>
      <c r="H1137" s="236"/>
      <c r="I1137" s="3"/>
      <c r="J1137" s="114"/>
      <c r="BB1137" s="117"/>
      <c r="BC1137" s="117"/>
      <c r="BD1137" s="117"/>
    </row>
    <row r="1138" spans="1:56">
      <c r="A1138" s="114"/>
      <c r="B1138" s="207"/>
      <c r="C1138" s="208"/>
      <c r="D1138" s="208"/>
      <c r="E1138" s="209"/>
      <c r="F1138" s="207"/>
      <c r="G1138" s="115"/>
      <c r="H1138" s="115"/>
      <c r="I1138" s="82"/>
      <c r="J1138" s="114"/>
      <c r="BB1138" s="117"/>
      <c r="BC1138" s="117"/>
      <c r="BD1138" s="117"/>
    </row>
    <row r="1139" spans="1:56" ht="16.5" customHeight="1">
      <c r="A1139" s="114"/>
      <c r="B1139" s="207"/>
      <c r="C1139" s="230"/>
      <c r="D1139" s="230"/>
      <c r="E1139" s="211"/>
      <c r="F1139" s="196"/>
      <c r="G1139" s="196"/>
      <c r="H1139" s="196"/>
      <c r="I1139" s="196"/>
      <c r="J1139" s="114"/>
      <c r="AV1139" s="117"/>
      <c r="AW1139" s="117"/>
      <c r="AX1139" s="117"/>
      <c r="AY1139" s="117"/>
      <c r="AZ1139" s="117"/>
      <c r="BA1139" s="117"/>
      <c r="BB1139" s="117"/>
      <c r="BC1139" s="117"/>
      <c r="BD1139" s="117"/>
    </row>
    <row r="1140" spans="1:56" ht="15">
      <c r="A1140" s="114"/>
      <c r="B1140" s="778" t="s">
        <v>2296</v>
      </c>
      <c r="C1140" s="239"/>
      <c r="D1140" s="239"/>
      <c r="E1140" s="239"/>
      <c r="F1140" s="239"/>
      <c r="G1140" s="239"/>
      <c r="H1140" s="240"/>
      <c r="I1140" s="240"/>
      <c r="J1140" s="351"/>
      <c r="BB1140" s="117"/>
      <c r="BC1140" s="117"/>
      <c r="BD1140" s="117"/>
    </row>
    <row r="1141" spans="1:56" ht="15">
      <c r="A1141" s="114"/>
      <c r="B1141" s="296" t="s">
        <v>1677</v>
      </c>
      <c r="C1141" s="81"/>
      <c r="D1141" s="81"/>
      <c r="E1141" s="81"/>
      <c r="F1141" s="81"/>
      <c r="G1141" s="81"/>
      <c r="H1141" s="82"/>
      <c r="I1141" s="82"/>
      <c r="J1141" s="114"/>
      <c r="BB1141" s="117"/>
      <c r="BC1141" s="117"/>
      <c r="BD1141" s="117"/>
    </row>
    <row r="1142" spans="1:56" ht="15">
      <c r="A1142" s="114"/>
      <c r="B1142" s="288" t="s">
        <v>1787</v>
      </c>
      <c r="C1142" s="230"/>
      <c r="D1142" s="230"/>
      <c r="E1142" s="384"/>
      <c r="F1142" s="196"/>
      <c r="G1142" s="196"/>
      <c r="H1142" s="196"/>
      <c r="I1142" s="196"/>
      <c r="J1142" s="114"/>
      <c r="AW1142" s="117"/>
      <c r="AX1142" s="117"/>
      <c r="AY1142" s="117"/>
      <c r="AZ1142" s="117"/>
      <c r="BA1142" s="117"/>
      <c r="BB1142" s="117"/>
      <c r="BC1142" s="117"/>
      <c r="BD1142" s="117"/>
    </row>
    <row r="1143" spans="1:56" ht="15">
      <c r="A1143" s="114"/>
      <c r="B1143" s="114"/>
      <c r="C1143" s="114"/>
      <c r="D1143" s="114"/>
      <c r="E1143" s="114"/>
      <c r="F1143" s="114"/>
      <c r="G1143" s="114"/>
      <c r="H1143" s="114"/>
      <c r="I1143" s="82"/>
      <c r="J1143" s="114"/>
      <c r="BB1143" s="117"/>
      <c r="BC1143" s="117"/>
      <c r="BD1143" s="117"/>
    </row>
    <row r="1144" spans="1:56" ht="15">
      <c r="A1144" s="114"/>
      <c r="B1144" s="242" t="s">
        <v>97</v>
      </c>
      <c r="C1144" s="199" t="s">
        <v>61</v>
      </c>
      <c r="D1144" s="199" t="s">
        <v>82</v>
      </c>
      <c r="E1144" s="199" t="s">
        <v>66</v>
      </c>
      <c r="F1144" s="199" t="s">
        <v>62</v>
      </c>
      <c r="G1144" s="243" t="s">
        <v>99</v>
      </c>
      <c r="H1144" s="243" t="s">
        <v>68</v>
      </c>
      <c r="I1144" s="82"/>
      <c r="J1144" s="114"/>
      <c r="BB1144" s="117"/>
      <c r="BC1144" s="117"/>
      <c r="BD1144" s="117"/>
    </row>
    <row r="1145" spans="1:56" ht="15">
      <c r="A1145" s="114"/>
      <c r="B1145" s="244" t="s">
        <v>157</v>
      </c>
      <c r="C1145" s="200">
        <v>1</v>
      </c>
      <c r="D1145" s="245">
        <v>0.25</v>
      </c>
      <c r="E1145" s="201">
        <v>1.55</v>
      </c>
      <c r="F1145" s="201">
        <f>5.785+6.13+5.785</f>
        <v>17.7</v>
      </c>
      <c r="G1145" s="202">
        <f t="shared" ref="G1145:G1162" si="18">D1145*E1145*F1145*C1145</f>
        <v>6.8587499999999997</v>
      </c>
      <c r="H1145" s="202">
        <f t="shared" ref="H1145:H1162" si="19">((E1145*2)+D1145)*F1145*C1145</f>
        <v>59.295000000000002</v>
      </c>
      <c r="I1145" s="82"/>
      <c r="J1145" s="114"/>
      <c r="BB1145" s="117"/>
      <c r="BC1145" s="117"/>
      <c r="BD1145" s="117"/>
    </row>
    <row r="1146" spans="1:56" ht="15">
      <c r="A1146" s="114"/>
      <c r="B1146" s="244" t="s">
        <v>119</v>
      </c>
      <c r="C1146" s="200">
        <v>1</v>
      </c>
      <c r="D1146" s="245">
        <v>0.25</v>
      </c>
      <c r="E1146" s="201">
        <v>0.45</v>
      </c>
      <c r="F1146" s="201">
        <v>18.05</v>
      </c>
      <c r="G1146" s="202">
        <f t="shared" si="18"/>
        <v>2.0306250000000001</v>
      </c>
      <c r="H1146" s="202">
        <f t="shared" si="19"/>
        <v>20.7575</v>
      </c>
      <c r="I1146" s="82"/>
      <c r="J1146" s="114"/>
      <c r="BB1146" s="117"/>
      <c r="BC1146" s="117"/>
      <c r="BD1146" s="117"/>
    </row>
    <row r="1147" spans="1:56" ht="15">
      <c r="A1147" s="114"/>
      <c r="B1147" s="244" t="s">
        <v>158</v>
      </c>
      <c r="C1147" s="200">
        <v>1</v>
      </c>
      <c r="D1147" s="245">
        <v>0.25</v>
      </c>
      <c r="E1147" s="201">
        <v>0.45</v>
      </c>
      <c r="F1147" s="201">
        <v>18.850000000000001</v>
      </c>
      <c r="G1147" s="202">
        <f t="shared" si="18"/>
        <v>2.1206250000000004</v>
      </c>
      <c r="H1147" s="202">
        <f t="shared" si="19"/>
        <v>21.677499999999998</v>
      </c>
      <c r="I1147" s="82"/>
      <c r="J1147" s="114"/>
      <c r="BB1147" s="117"/>
      <c r="BC1147" s="117"/>
      <c r="BD1147" s="117"/>
    </row>
    <row r="1148" spans="1:56" ht="15">
      <c r="A1148" s="114"/>
      <c r="B1148" s="244" t="s">
        <v>153</v>
      </c>
      <c r="C1148" s="200">
        <v>1</v>
      </c>
      <c r="D1148" s="245">
        <v>0.25</v>
      </c>
      <c r="E1148" s="201">
        <v>0.45</v>
      </c>
      <c r="F1148" s="201">
        <v>17.350000000000001</v>
      </c>
      <c r="G1148" s="202">
        <f t="shared" si="18"/>
        <v>1.9518750000000002</v>
      </c>
      <c r="H1148" s="202">
        <f t="shared" si="19"/>
        <v>19.952500000000001</v>
      </c>
      <c r="I1148" s="82"/>
      <c r="J1148" s="114"/>
      <c r="BB1148" s="117"/>
      <c r="BC1148" s="117"/>
      <c r="BD1148" s="117"/>
    </row>
    <row r="1149" spans="1:56" ht="15">
      <c r="A1149" s="114"/>
      <c r="B1149" s="244" t="s">
        <v>121</v>
      </c>
      <c r="C1149" s="200">
        <v>1</v>
      </c>
      <c r="D1149" s="245">
        <v>0.25</v>
      </c>
      <c r="E1149" s="201">
        <v>0.45</v>
      </c>
      <c r="F1149" s="201">
        <v>17.899999999999999</v>
      </c>
      <c r="G1149" s="202">
        <f t="shared" si="18"/>
        <v>2.0137499999999999</v>
      </c>
      <c r="H1149" s="202">
        <f t="shared" si="19"/>
        <v>20.584999999999997</v>
      </c>
      <c r="I1149" s="82"/>
      <c r="J1149" s="114"/>
      <c r="BB1149" s="117"/>
      <c r="BC1149" s="117"/>
      <c r="BD1149" s="117"/>
    </row>
    <row r="1150" spans="1:56" ht="15">
      <c r="A1150" s="114"/>
      <c r="B1150" s="244" t="s">
        <v>154</v>
      </c>
      <c r="C1150" s="200">
        <v>1</v>
      </c>
      <c r="D1150" s="245">
        <v>0.25</v>
      </c>
      <c r="E1150" s="201">
        <v>0.45</v>
      </c>
      <c r="F1150" s="201">
        <v>18.899999999999999</v>
      </c>
      <c r="G1150" s="202">
        <f t="shared" si="18"/>
        <v>2.1262499999999998</v>
      </c>
      <c r="H1150" s="202">
        <f t="shared" si="19"/>
        <v>21.734999999999996</v>
      </c>
      <c r="I1150" s="82"/>
      <c r="J1150" s="114"/>
      <c r="BB1150" s="117"/>
      <c r="BC1150" s="117"/>
      <c r="BD1150" s="117"/>
    </row>
    <row r="1151" spans="1:56" ht="15">
      <c r="A1151" s="114"/>
      <c r="B1151" s="244" t="s">
        <v>122</v>
      </c>
      <c r="C1151" s="200">
        <v>1</v>
      </c>
      <c r="D1151" s="245">
        <v>0.25</v>
      </c>
      <c r="E1151" s="201">
        <v>0.45</v>
      </c>
      <c r="F1151" s="201">
        <v>17.7</v>
      </c>
      <c r="G1151" s="202">
        <f t="shared" si="18"/>
        <v>1.99125</v>
      </c>
      <c r="H1151" s="202">
        <f t="shared" si="19"/>
        <v>20.354999999999997</v>
      </c>
      <c r="I1151" s="82"/>
      <c r="J1151" s="114"/>
      <c r="BB1151" s="117"/>
      <c r="BC1151" s="117"/>
      <c r="BD1151" s="117"/>
    </row>
    <row r="1152" spans="1:56" ht="15">
      <c r="A1152" s="114"/>
      <c r="B1152" s="244" t="s">
        <v>159</v>
      </c>
      <c r="C1152" s="200">
        <v>1</v>
      </c>
      <c r="D1152" s="245">
        <v>0.25</v>
      </c>
      <c r="E1152" s="201">
        <v>0.45</v>
      </c>
      <c r="F1152" s="201">
        <v>18.899999999999999</v>
      </c>
      <c r="G1152" s="202">
        <f t="shared" si="18"/>
        <v>2.1262499999999998</v>
      </c>
      <c r="H1152" s="202">
        <f t="shared" si="19"/>
        <v>21.734999999999996</v>
      </c>
      <c r="I1152" s="82"/>
      <c r="J1152" s="114"/>
      <c r="BB1152" s="117"/>
      <c r="BC1152" s="117"/>
      <c r="BD1152" s="117"/>
    </row>
    <row r="1153" spans="1:56" ht="15">
      <c r="A1153" s="114"/>
      <c r="B1153" s="244" t="s">
        <v>123</v>
      </c>
      <c r="C1153" s="200">
        <v>1</v>
      </c>
      <c r="D1153" s="245">
        <v>0.25</v>
      </c>
      <c r="E1153" s="201">
        <v>0.45</v>
      </c>
      <c r="F1153" s="201">
        <v>17</v>
      </c>
      <c r="G1153" s="202">
        <f t="shared" si="18"/>
        <v>1.9125000000000001</v>
      </c>
      <c r="H1153" s="202">
        <f t="shared" si="19"/>
        <v>19.549999999999997</v>
      </c>
      <c r="I1153" s="82"/>
      <c r="J1153" s="114"/>
      <c r="BB1153" s="117"/>
      <c r="BC1153" s="117"/>
      <c r="BD1153" s="117"/>
    </row>
    <row r="1154" spans="1:56" ht="15">
      <c r="A1154" s="114"/>
      <c r="B1154" s="244" t="s">
        <v>124</v>
      </c>
      <c r="C1154" s="200">
        <v>1</v>
      </c>
      <c r="D1154" s="245">
        <v>0.25</v>
      </c>
      <c r="E1154" s="201">
        <v>0.45</v>
      </c>
      <c r="F1154" s="201">
        <v>18.899999999999999</v>
      </c>
      <c r="G1154" s="202">
        <f t="shared" si="18"/>
        <v>2.1262499999999998</v>
      </c>
      <c r="H1154" s="202">
        <f t="shared" si="19"/>
        <v>21.734999999999996</v>
      </c>
      <c r="I1154" s="82"/>
      <c r="J1154" s="114"/>
      <c r="BB1154" s="117"/>
      <c r="BC1154" s="117"/>
      <c r="BD1154" s="117"/>
    </row>
    <row r="1155" spans="1:56" ht="15">
      <c r="A1155" s="114"/>
      <c r="B1155" s="244" t="s">
        <v>125</v>
      </c>
      <c r="C1155" s="200">
        <v>1</v>
      </c>
      <c r="D1155" s="245">
        <v>0.25</v>
      </c>
      <c r="E1155" s="201">
        <v>0.45</v>
      </c>
      <c r="F1155" s="201">
        <v>17.7</v>
      </c>
      <c r="G1155" s="202">
        <f t="shared" si="18"/>
        <v>1.99125</v>
      </c>
      <c r="H1155" s="202">
        <f t="shared" si="19"/>
        <v>20.354999999999997</v>
      </c>
      <c r="I1155" s="82"/>
      <c r="J1155" s="114"/>
      <c r="BB1155" s="117"/>
      <c r="BC1155" s="117"/>
      <c r="BD1155" s="117"/>
    </row>
    <row r="1156" spans="1:56" ht="15">
      <c r="A1156" s="114"/>
      <c r="B1156" s="244" t="s">
        <v>126</v>
      </c>
      <c r="C1156" s="200">
        <v>1</v>
      </c>
      <c r="D1156" s="245">
        <v>0.25</v>
      </c>
      <c r="E1156" s="201">
        <v>0.45</v>
      </c>
      <c r="F1156" s="201">
        <v>18.899999999999999</v>
      </c>
      <c r="G1156" s="202">
        <f t="shared" si="18"/>
        <v>2.1262499999999998</v>
      </c>
      <c r="H1156" s="202">
        <f t="shared" si="19"/>
        <v>21.734999999999996</v>
      </c>
      <c r="I1156" s="82"/>
      <c r="J1156" s="114"/>
      <c r="BB1156" s="117"/>
      <c r="BC1156" s="117"/>
      <c r="BD1156" s="117"/>
    </row>
    <row r="1157" spans="1:56" ht="15">
      <c r="A1157" s="114"/>
      <c r="B1157" s="244" t="s">
        <v>127</v>
      </c>
      <c r="C1157" s="200">
        <v>1</v>
      </c>
      <c r="D1157" s="245">
        <v>0.25</v>
      </c>
      <c r="E1157" s="201">
        <v>1.55</v>
      </c>
      <c r="F1157" s="201">
        <f>5.785+6.13+5.785</f>
        <v>17.7</v>
      </c>
      <c r="G1157" s="202">
        <f t="shared" si="18"/>
        <v>6.8587499999999997</v>
      </c>
      <c r="H1157" s="202">
        <f t="shared" si="19"/>
        <v>59.295000000000002</v>
      </c>
      <c r="I1157" s="82"/>
      <c r="J1157" s="114"/>
      <c r="BB1157" s="117"/>
      <c r="BC1157" s="117"/>
      <c r="BD1157" s="117"/>
    </row>
    <row r="1158" spans="1:56" ht="15">
      <c r="A1158" s="114"/>
      <c r="B1158" s="244" t="s">
        <v>444</v>
      </c>
      <c r="C1158" s="200">
        <v>1</v>
      </c>
      <c r="D1158" s="245">
        <v>0.25</v>
      </c>
      <c r="E1158" s="201">
        <v>1.55</v>
      </c>
      <c r="F1158" s="201">
        <v>53.98</v>
      </c>
      <c r="G1158" s="202">
        <f t="shared" si="18"/>
        <v>20.917249999999999</v>
      </c>
      <c r="H1158" s="202">
        <f t="shared" si="19"/>
        <v>180.833</v>
      </c>
      <c r="I1158" s="82"/>
      <c r="J1158" s="114"/>
      <c r="BB1158" s="117"/>
      <c r="BC1158" s="117"/>
      <c r="BD1158" s="117"/>
    </row>
    <row r="1159" spans="1:56" ht="15">
      <c r="A1159" s="114"/>
      <c r="B1159" s="244" t="s">
        <v>129</v>
      </c>
      <c r="C1159" s="200">
        <v>1</v>
      </c>
      <c r="D1159" s="245">
        <v>0.25</v>
      </c>
      <c r="E1159" s="201">
        <v>0.9</v>
      </c>
      <c r="F1159" s="201">
        <v>29.57</v>
      </c>
      <c r="G1159" s="202">
        <f t="shared" si="18"/>
        <v>6.6532499999999999</v>
      </c>
      <c r="H1159" s="202">
        <f t="shared" si="19"/>
        <v>60.618499999999997</v>
      </c>
      <c r="I1159" s="82"/>
      <c r="J1159" s="114"/>
      <c r="BB1159" s="117"/>
      <c r="BC1159" s="117"/>
      <c r="BD1159" s="117"/>
    </row>
    <row r="1160" spans="1:56" ht="15">
      <c r="A1160" s="114"/>
      <c r="B1160" s="244" t="s">
        <v>130</v>
      </c>
      <c r="C1160" s="200">
        <v>1</v>
      </c>
      <c r="D1160" s="245">
        <v>0.25</v>
      </c>
      <c r="E1160" s="201">
        <v>0.9</v>
      </c>
      <c r="F1160" s="201">
        <v>1.0149999999999999</v>
      </c>
      <c r="G1160" s="202">
        <f t="shared" si="18"/>
        <v>0.22837499999999999</v>
      </c>
      <c r="H1160" s="202">
        <f t="shared" si="19"/>
        <v>2.0807499999999997</v>
      </c>
      <c r="I1160" s="82"/>
      <c r="J1160" s="114"/>
      <c r="BB1160" s="117"/>
      <c r="BC1160" s="117"/>
      <c r="BD1160" s="117"/>
    </row>
    <row r="1161" spans="1:56" ht="15">
      <c r="A1161" s="114"/>
      <c r="B1161" s="244" t="s">
        <v>445</v>
      </c>
      <c r="C1161" s="200">
        <v>1</v>
      </c>
      <c r="D1161" s="245">
        <v>0.25</v>
      </c>
      <c r="E1161" s="201">
        <v>0.9</v>
      </c>
      <c r="F1161" s="201">
        <v>36.03</v>
      </c>
      <c r="G1161" s="202">
        <f t="shared" si="18"/>
        <v>8.1067499999999999</v>
      </c>
      <c r="H1161" s="202">
        <f t="shared" si="19"/>
        <v>73.861499999999992</v>
      </c>
      <c r="I1161" s="82"/>
      <c r="J1161" s="114"/>
      <c r="BB1161" s="117"/>
      <c r="BC1161" s="117"/>
      <c r="BD1161" s="117"/>
    </row>
    <row r="1162" spans="1:56" ht="15">
      <c r="A1162" s="114"/>
      <c r="B1162" s="244" t="s">
        <v>446</v>
      </c>
      <c r="C1162" s="200">
        <v>1</v>
      </c>
      <c r="D1162" s="245">
        <v>0.25</v>
      </c>
      <c r="E1162" s="201">
        <v>1.55</v>
      </c>
      <c r="F1162" s="201">
        <v>53.98</v>
      </c>
      <c r="G1162" s="202">
        <f t="shared" si="18"/>
        <v>20.917249999999999</v>
      </c>
      <c r="H1162" s="202">
        <f t="shared" si="19"/>
        <v>180.833</v>
      </c>
      <c r="I1162" s="82"/>
      <c r="J1162" s="114"/>
      <c r="BB1162" s="117"/>
      <c r="BC1162" s="117"/>
      <c r="BD1162" s="117"/>
    </row>
    <row r="1163" spans="1:56" ht="15">
      <c r="A1163" s="114"/>
      <c r="B1163" s="114"/>
      <c r="C1163" s="114"/>
      <c r="D1163" s="114"/>
      <c r="E1163" s="114"/>
      <c r="F1163" s="254" t="s">
        <v>76</v>
      </c>
      <c r="G1163" s="228">
        <f>SUM(G1145:G1162)</f>
        <v>93.057249999999996</v>
      </c>
      <c r="H1163" s="228">
        <f>SUM(H1145:H1162)</f>
        <v>846.98924999999997</v>
      </c>
      <c r="I1163" s="82"/>
      <c r="J1163" s="114"/>
      <c r="BB1163" s="117"/>
      <c r="BC1163" s="117"/>
      <c r="BD1163" s="117"/>
    </row>
    <row r="1164" spans="1:56" ht="15">
      <c r="A1164" s="114"/>
      <c r="B1164" s="114"/>
      <c r="C1164" s="114"/>
      <c r="D1164" s="114"/>
      <c r="E1164" s="114"/>
      <c r="F1164" s="114"/>
      <c r="G1164" s="114"/>
      <c r="H1164" s="114"/>
      <c r="I1164" s="82"/>
      <c r="J1164" s="114"/>
      <c r="BB1164" s="117"/>
      <c r="BC1164" s="117"/>
      <c r="BD1164" s="117"/>
    </row>
    <row r="1165" spans="1:56" ht="15">
      <c r="A1165" s="114"/>
      <c r="B1165" s="242" t="s">
        <v>96</v>
      </c>
      <c r="C1165" s="199" t="s">
        <v>61</v>
      </c>
      <c r="D1165" s="199" t="s">
        <v>82</v>
      </c>
      <c r="E1165" s="199" t="s">
        <v>66</v>
      </c>
      <c r="F1165" s="199" t="s">
        <v>62</v>
      </c>
      <c r="G1165" s="243" t="s">
        <v>99</v>
      </c>
      <c r="H1165" s="243" t="s">
        <v>68</v>
      </c>
      <c r="I1165" s="82"/>
      <c r="J1165" s="114"/>
      <c r="BB1165" s="117"/>
      <c r="BC1165" s="117"/>
      <c r="BD1165" s="117"/>
    </row>
    <row r="1166" spans="1:56" ht="15">
      <c r="A1166" s="114"/>
      <c r="B1166" s="244" t="s">
        <v>447</v>
      </c>
      <c r="C1166" s="200">
        <v>1</v>
      </c>
      <c r="D1166" s="245">
        <v>0.6</v>
      </c>
      <c r="E1166" s="201">
        <v>0.25</v>
      </c>
      <c r="F1166" s="201">
        <v>6.55</v>
      </c>
      <c r="G1166" s="202">
        <f t="shared" ref="G1166:G1201" si="20">D1166*E1166*F1166*C1166</f>
        <v>0.98249999999999993</v>
      </c>
      <c r="H1166" s="202">
        <f t="shared" ref="H1166:H1201" si="21">(D1166+E1166)*2*F1166*C1166</f>
        <v>11.135</v>
      </c>
      <c r="I1166" s="82"/>
      <c r="J1166" s="114"/>
      <c r="BB1166" s="117"/>
      <c r="BC1166" s="117"/>
      <c r="BD1166" s="117"/>
    </row>
    <row r="1167" spans="1:56" ht="15">
      <c r="A1167" s="114"/>
      <c r="B1167" s="244" t="s">
        <v>239</v>
      </c>
      <c r="C1167" s="200">
        <v>1</v>
      </c>
      <c r="D1167" s="245">
        <v>0.25</v>
      </c>
      <c r="E1167" s="201">
        <v>0.6</v>
      </c>
      <c r="F1167" s="201">
        <v>5</v>
      </c>
      <c r="G1167" s="202">
        <f t="shared" si="20"/>
        <v>0.75</v>
      </c>
      <c r="H1167" s="202">
        <f t="shared" si="21"/>
        <v>8.5</v>
      </c>
      <c r="I1167" s="82"/>
      <c r="J1167" s="114"/>
      <c r="BB1167" s="117"/>
      <c r="BC1167" s="117"/>
      <c r="BD1167" s="117"/>
    </row>
    <row r="1168" spans="1:56" ht="15">
      <c r="A1168" s="114"/>
      <c r="B1168" s="244" t="s">
        <v>240</v>
      </c>
      <c r="C1168" s="200">
        <v>1</v>
      </c>
      <c r="D1168" s="245">
        <v>0.25</v>
      </c>
      <c r="E1168" s="201">
        <v>0.25</v>
      </c>
      <c r="F1168" s="201">
        <v>1.55</v>
      </c>
      <c r="G1168" s="202">
        <f t="shared" si="20"/>
        <v>9.6875000000000003E-2</v>
      </c>
      <c r="H1168" s="202">
        <f t="shared" si="21"/>
        <v>1.55</v>
      </c>
      <c r="I1168" s="82"/>
      <c r="J1168" s="114"/>
      <c r="BB1168" s="117"/>
      <c r="BC1168" s="117"/>
      <c r="BD1168" s="117"/>
    </row>
    <row r="1169" spans="1:56" ht="15">
      <c r="A1169" s="114"/>
      <c r="B1169" s="244" t="s">
        <v>448</v>
      </c>
      <c r="C1169" s="200">
        <v>1</v>
      </c>
      <c r="D1169" s="245">
        <v>0.25</v>
      </c>
      <c r="E1169" s="201">
        <v>0.6</v>
      </c>
      <c r="F1169" s="201">
        <v>5</v>
      </c>
      <c r="G1169" s="202">
        <f t="shared" si="20"/>
        <v>0.75</v>
      </c>
      <c r="H1169" s="202">
        <f t="shared" si="21"/>
        <v>8.5</v>
      </c>
      <c r="I1169" s="82"/>
      <c r="J1169" s="114"/>
      <c r="BB1169" s="117"/>
      <c r="BC1169" s="117"/>
      <c r="BD1169" s="117"/>
    </row>
    <row r="1170" spans="1:56" ht="15">
      <c r="A1170" s="114"/>
      <c r="B1170" s="244" t="s">
        <v>449</v>
      </c>
      <c r="C1170" s="200">
        <v>1</v>
      </c>
      <c r="D1170" s="245">
        <v>0.25</v>
      </c>
      <c r="E1170" s="201">
        <v>0.25</v>
      </c>
      <c r="F1170" s="201">
        <v>1.55</v>
      </c>
      <c r="G1170" s="202">
        <f t="shared" si="20"/>
        <v>9.6875000000000003E-2</v>
      </c>
      <c r="H1170" s="202">
        <f t="shared" si="21"/>
        <v>1.55</v>
      </c>
      <c r="I1170" s="82"/>
      <c r="J1170" s="114"/>
      <c r="BB1170" s="117"/>
      <c r="BC1170" s="117"/>
      <c r="BD1170" s="117"/>
    </row>
    <row r="1171" spans="1:56" ht="15">
      <c r="A1171" s="114"/>
      <c r="B1171" s="244" t="s">
        <v>450</v>
      </c>
      <c r="C1171" s="200">
        <v>1</v>
      </c>
      <c r="D1171" s="245">
        <v>0.6</v>
      </c>
      <c r="E1171" s="201">
        <v>0.25</v>
      </c>
      <c r="F1171" s="201">
        <v>6.55</v>
      </c>
      <c r="G1171" s="202">
        <f t="shared" si="20"/>
        <v>0.98249999999999993</v>
      </c>
      <c r="H1171" s="202">
        <f t="shared" si="21"/>
        <v>11.135</v>
      </c>
      <c r="I1171" s="82"/>
      <c r="J1171" s="114"/>
      <c r="BB1171" s="117"/>
      <c r="BC1171" s="117"/>
      <c r="BD1171" s="117"/>
    </row>
    <row r="1172" spans="1:56" ht="15">
      <c r="A1172" s="114"/>
      <c r="B1172" s="244" t="s">
        <v>451</v>
      </c>
      <c r="C1172" s="200">
        <v>1</v>
      </c>
      <c r="D1172" s="201">
        <v>0.6</v>
      </c>
      <c r="E1172" s="201">
        <v>0.3</v>
      </c>
      <c r="F1172" s="201">
        <v>5</v>
      </c>
      <c r="G1172" s="202">
        <f t="shared" si="20"/>
        <v>0.89999999999999991</v>
      </c>
      <c r="H1172" s="202">
        <f t="shared" si="21"/>
        <v>9</v>
      </c>
      <c r="I1172" s="82"/>
      <c r="J1172" s="114"/>
      <c r="BB1172" s="117"/>
      <c r="BC1172" s="117"/>
      <c r="BD1172" s="117"/>
    </row>
    <row r="1173" spans="1:56" ht="15">
      <c r="A1173" s="114"/>
      <c r="B1173" s="244" t="s">
        <v>452</v>
      </c>
      <c r="C1173" s="200">
        <v>1</v>
      </c>
      <c r="D1173" s="201">
        <v>0.3</v>
      </c>
      <c r="E1173" s="201">
        <v>0.3</v>
      </c>
      <c r="F1173" s="201">
        <v>1.55</v>
      </c>
      <c r="G1173" s="202">
        <f t="shared" si="20"/>
        <v>0.13949999999999999</v>
      </c>
      <c r="H1173" s="202">
        <f t="shared" si="21"/>
        <v>1.8599999999999999</v>
      </c>
      <c r="I1173" s="82"/>
      <c r="J1173" s="114"/>
      <c r="BB1173" s="117"/>
      <c r="BC1173" s="117"/>
      <c r="BD1173" s="117"/>
    </row>
    <row r="1174" spans="1:56" ht="15">
      <c r="A1174" s="114"/>
      <c r="B1174" s="244" t="s">
        <v>453</v>
      </c>
      <c r="C1174" s="200">
        <v>1</v>
      </c>
      <c r="D1174" s="201">
        <v>0.6</v>
      </c>
      <c r="E1174" s="201">
        <v>0.3</v>
      </c>
      <c r="F1174" s="201">
        <v>5</v>
      </c>
      <c r="G1174" s="202">
        <f t="shared" si="20"/>
        <v>0.89999999999999991</v>
      </c>
      <c r="H1174" s="202">
        <f t="shared" si="21"/>
        <v>9</v>
      </c>
      <c r="I1174" s="82"/>
      <c r="J1174" s="114"/>
      <c r="BB1174" s="117"/>
      <c r="BC1174" s="117"/>
      <c r="BD1174" s="117"/>
    </row>
    <row r="1175" spans="1:56" ht="15">
      <c r="A1175" s="114"/>
      <c r="B1175" s="244" t="s">
        <v>454</v>
      </c>
      <c r="C1175" s="200">
        <v>1</v>
      </c>
      <c r="D1175" s="201">
        <v>0.3</v>
      </c>
      <c r="E1175" s="201">
        <v>0.3</v>
      </c>
      <c r="F1175" s="201">
        <v>1.55</v>
      </c>
      <c r="G1175" s="202">
        <f t="shared" si="20"/>
        <v>0.13949999999999999</v>
      </c>
      <c r="H1175" s="202">
        <f t="shared" si="21"/>
        <v>1.8599999999999999</v>
      </c>
      <c r="I1175" s="82"/>
      <c r="J1175" s="114"/>
      <c r="BB1175" s="117"/>
      <c r="BC1175" s="117"/>
      <c r="BD1175" s="117"/>
    </row>
    <row r="1176" spans="1:56" ht="15">
      <c r="A1176" s="114"/>
      <c r="B1176" s="244" t="s">
        <v>455</v>
      </c>
      <c r="C1176" s="200">
        <v>1</v>
      </c>
      <c r="D1176" s="201">
        <v>0.6</v>
      </c>
      <c r="E1176" s="201">
        <v>0.3</v>
      </c>
      <c r="F1176" s="201">
        <v>5</v>
      </c>
      <c r="G1176" s="202">
        <f t="shared" si="20"/>
        <v>0.89999999999999991</v>
      </c>
      <c r="H1176" s="202">
        <f t="shared" si="21"/>
        <v>9</v>
      </c>
      <c r="I1176" s="82"/>
      <c r="J1176" s="114"/>
      <c r="BB1176" s="117"/>
      <c r="BC1176" s="117"/>
      <c r="BD1176" s="117"/>
    </row>
    <row r="1177" spans="1:56" ht="15">
      <c r="A1177" s="114"/>
      <c r="B1177" s="244" t="s">
        <v>456</v>
      </c>
      <c r="C1177" s="200">
        <v>1</v>
      </c>
      <c r="D1177" s="201">
        <v>0.3</v>
      </c>
      <c r="E1177" s="201">
        <v>0.3</v>
      </c>
      <c r="F1177" s="201">
        <v>1.55</v>
      </c>
      <c r="G1177" s="202">
        <f t="shared" si="20"/>
        <v>0.13949999999999999</v>
      </c>
      <c r="H1177" s="202">
        <f t="shared" si="21"/>
        <v>1.8599999999999999</v>
      </c>
      <c r="I1177" s="82"/>
      <c r="J1177" s="114"/>
      <c r="BB1177" s="117"/>
      <c r="BC1177" s="117"/>
      <c r="BD1177" s="117"/>
    </row>
    <row r="1178" spans="1:56" ht="15">
      <c r="A1178" s="114"/>
      <c r="B1178" s="244" t="s">
        <v>457</v>
      </c>
      <c r="C1178" s="200">
        <v>1</v>
      </c>
      <c r="D1178" s="201">
        <v>0.6</v>
      </c>
      <c r="E1178" s="201">
        <v>0.3</v>
      </c>
      <c r="F1178" s="201">
        <v>5</v>
      </c>
      <c r="G1178" s="202">
        <f t="shared" si="20"/>
        <v>0.89999999999999991</v>
      </c>
      <c r="H1178" s="202">
        <f t="shared" si="21"/>
        <v>9</v>
      </c>
      <c r="I1178" s="82"/>
      <c r="J1178" s="114"/>
      <c r="BB1178" s="117"/>
      <c r="BC1178" s="117"/>
      <c r="BD1178" s="117"/>
    </row>
    <row r="1179" spans="1:56" ht="15">
      <c r="A1179" s="114"/>
      <c r="B1179" s="244" t="s">
        <v>458</v>
      </c>
      <c r="C1179" s="200">
        <v>1</v>
      </c>
      <c r="D1179" s="201">
        <v>0.3</v>
      </c>
      <c r="E1179" s="201">
        <v>0.3</v>
      </c>
      <c r="F1179" s="201">
        <v>1.55</v>
      </c>
      <c r="G1179" s="202">
        <f t="shared" si="20"/>
        <v>0.13949999999999999</v>
      </c>
      <c r="H1179" s="202">
        <f t="shared" si="21"/>
        <v>1.8599999999999999</v>
      </c>
      <c r="I1179" s="82"/>
      <c r="J1179" s="114"/>
      <c r="BB1179" s="117"/>
      <c r="BC1179" s="117"/>
      <c r="BD1179" s="117"/>
    </row>
    <row r="1180" spans="1:56" ht="15">
      <c r="A1180" s="114"/>
      <c r="B1180" s="244" t="s">
        <v>459</v>
      </c>
      <c r="C1180" s="200">
        <v>1</v>
      </c>
      <c r="D1180" s="201">
        <v>0.6</v>
      </c>
      <c r="E1180" s="201">
        <v>0.25</v>
      </c>
      <c r="F1180" s="201">
        <v>5</v>
      </c>
      <c r="G1180" s="202">
        <f t="shared" si="20"/>
        <v>0.75</v>
      </c>
      <c r="H1180" s="202">
        <f t="shared" si="21"/>
        <v>8.5</v>
      </c>
      <c r="I1180" s="82"/>
      <c r="J1180" s="114"/>
      <c r="BB1180" s="117"/>
      <c r="BC1180" s="117"/>
      <c r="BD1180" s="117"/>
    </row>
    <row r="1181" spans="1:56" ht="15">
      <c r="A1181" s="114"/>
      <c r="B1181" s="244" t="s">
        <v>460</v>
      </c>
      <c r="C1181" s="200">
        <v>1</v>
      </c>
      <c r="D1181" s="201">
        <v>0.6</v>
      </c>
      <c r="E1181" s="201">
        <v>0.25</v>
      </c>
      <c r="F1181" s="201">
        <v>5</v>
      </c>
      <c r="G1181" s="202">
        <f t="shared" si="20"/>
        <v>0.75</v>
      </c>
      <c r="H1181" s="202">
        <f t="shared" si="21"/>
        <v>8.5</v>
      </c>
      <c r="I1181" s="82"/>
      <c r="J1181" s="114"/>
      <c r="BB1181" s="117"/>
      <c r="BC1181" s="117"/>
      <c r="BD1181" s="117"/>
    </row>
    <row r="1182" spans="1:56" ht="15">
      <c r="A1182" s="114"/>
      <c r="B1182" s="244" t="s">
        <v>461</v>
      </c>
      <c r="C1182" s="200">
        <v>1</v>
      </c>
      <c r="D1182" s="201">
        <v>0.6</v>
      </c>
      <c r="E1182" s="201">
        <v>0.25</v>
      </c>
      <c r="F1182" s="201">
        <v>5</v>
      </c>
      <c r="G1182" s="202">
        <f t="shared" si="20"/>
        <v>0.75</v>
      </c>
      <c r="H1182" s="202">
        <f t="shared" si="21"/>
        <v>8.5</v>
      </c>
      <c r="I1182" s="82"/>
      <c r="J1182" s="114"/>
      <c r="BB1182" s="117"/>
      <c r="BC1182" s="117"/>
      <c r="BD1182" s="117"/>
    </row>
    <row r="1183" spans="1:56" ht="15">
      <c r="A1183" s="114"/>
      <c r="B1183" s="244" t="s">
        <v>462</v>
      </c>
      <c r="C1183" s="200">
        <v>1</v>
      </c>
      <c r="D1183" s="201">
        <v>0.6</v>
      </c>
      <c r="E1183" s="201">
        <v>0.25</v>
      </c>
      <c r="F1183" s="201">
        <v>5</v>
      </c>
      <c r="G1183" s="202">
        <f t="shared" si="20"/>
        <v>0.75</v>
      </c>
      <c r="H1183" s="202">
        <f t="shared" si="21"/>
        <v>8.5</v>
      </c>
      <c r="I1183" s="82"/>
      <c r="J1183" s="114"/>
      <c r="BB1183" s="117"/>
      <c r="BC1183" s="117"/>
      <c r="BD1183" s="117"/>
    </row>
    <row r="1184" spans="1:56" ht="15">
      <c r="A1184" s="114"/>
      <c r="B1184" s="244" t="s">
        <v>463</v>
      </c>
      <c r="C1184" s="200">
        <v>1</v>
      </c>
      <c r="D1184" s="201">
        <v>0.25</v>
      </c>
      <c r="E1184" s="201">
        <v>0.25</v>
      </c>
      <c r="F1184" s="201">
        <v>1.55</v>
      </c>
      <c r="G1184" s="202">
        <f t="shared" si="20"/>
        <v>9.6875000000000003E-2</v>
      </c>
      <c r="H1184" s="202">
        <f t="shared" si="21"/>
        <v>1.55</v>
      </c>
      <c r="I1184" s="82"/>
      <c r="J1184" s="114"/>
      <c r="BB1184" s="117"/>
      <c r="BC1184" s="117"/>
      <c r="BD1184" s="117"/>
    </row>
    <row r="1185" spans="1:56" ht="15">
      <c r="A1185" s="114"/>
      <c r="B1185" s="244" t="s">
        <v>464</v>
      </c>
      <c r="C1185" s="200">
        <v>1</v>
      </c>
      <c r="D1185" s="201">
        <v>0.6</v>
      </c>
      <c r="E1185" s="201">
        <v>0.25</v>
      </c>
      <c r="F1185" s="201">
        <v>5</v>
      </c>
      <c r="G1185" s="202">
        <f>D1185*E1185*F1185*C1185</f>
        <v>0.75</v>
      </c>
      <c r="H1185" s="202">
        <f>(D1185+E1185)*2*F1185*C1185</f>
        <v>8.5</v>
      </c>
      <c r="I1185" s="82"/>
      <c r="J1185" s="114"/>
      <c r="BB1185" s="117"/>
      <c r="BC1185" s="117"/>
      <c r="BD1185" s="117"/>
    </row>
    <row r="1186" spans="1:56" ht="15">
      <c r="A1186" s="114"/>
      <c r="B1186" s="244" t="s">
        <v>465</v>
      </c>
      <c r="C1186" s="200">
        <v>1</v>
      </c>
      <c r="D1186" s="201">
        <v>0.25</v>
      </c>
      <c r="E1186" s="201">
        <v>0.25</v>
      </c>
      <c r="F1186" s="201">
        <v>1.55</v>
      </c>
      <c r="G1186" s="202">
        <f>D1186*E1186*F1186*C1186</f>
        <v>9.6875000000000003E-2</v>
      </c>
      <c r="H1186" s="202">
        <f>(D1186+E1186)*2*F1186*C1186</f>
        <v>1.55</v>
      </c>
      <c r="I1186" s="82"/>
      <c r="J1186" s="114"/>
      <c r="BB1186" s="117"/>
      <c r="BC1186" s="117"/>
      <c r="BD1186" s="117"/>
    </row>
    <row r="1187" spans="1:56" ht="15">
      <c r="A1187" s="114"/>
      <c r="B1187" s="244" t="s">
        <v>466</v>
      </c>
      <c r="C1187" s="200">
        <v>1</v>
      </c>
      <c r="D1187" s="201">
        <v>0.6</v>
      </c>
      <c r="E1187" s="201">
        <v>0.25</v>
      </c>
      <c r="F1187" s="201">
        <v>5</v>
      </c>
      <c r="G1187" s="202">
        <f t="shared" si="20"/>
        <v>0.75</v>
      </c>
      <c r="H1187" s="202">
        <f t="shared" si="21"/>
        <v>8.5</v>
      </c>
      <c r="I1187" s="82"/>
      <c r="J1187" s="114"/>
      <c r="BB1187" s="117"/>
      <c r="BC1187" s="117"/>
      <c r="BD1187" s="117"/>
    </row>
    <row r="1188" spans="1:56" ht="15">
      <c r="A1188" s="114"/>
      <c r="B1188" s="244" t="s">
        <v>467</v>
      </c>
      <c r="C1188" s="200">
        <v>1</v>
      </c>
      <c r="D1188" s="201">
        <v>0.6</v>
      </c>
      <c r="E1188" s="201">
        <v>0.25</v>
      </c>
      <c r="F1188" s="201">
        <v>5</v>
      </c>
      <c r="G1188" s="202">
        <f t="shared" si="20"/>
        <v>0.75</v>
      </c>
      <c r="H1188" s="202">
        <f t="shared" si="21"/>
        <v>8.5</v>
      </c>
      <c r="I1188" s="82"/>
      <c r="J1188" s="114"/>
      <c r="BB1188" s="117"/>
      <c r="BC1188" s="117"/>
      <c r="BD1188" s="117"/>
    </row>
    <row r="1189" spans="1:56" ht="15">
      <c r="A1189" s="114"/>
      <c r="B1189" s="244" t="s">
        <v>468</v>
      </c>
      <c r="C1189" s="200">
        <v>1</v>
      </c>
      <c r="D1189" s="201">
        <v>0.6</v>
      </c>
      <c r="E1189" s="201">
        <v>0.25</v>
      </c>
      <c r="F1189" s="201">
        <v>5</v>
      </c>
      <c r="G1189" s="202">
        <f t="shared" si="20"/>
        <v>0.75</v>
      </c>
      <c r="H1189" s="202">
        <f t="shared" si="21"/>
        <v>8.5</v>
      </c>
      <c r="I1189" s="82"/>
      <c r="J1189" s="114"/>
      <c r="BB1189" s="117"/>
      <c r="BC1189" s="117"/>
      <c r="BD1189" s="117"/>
    </row>
    <row r="1190" spans="1:56" ht="15">
      <c r="A1190" s="114"/>
      <c r="B1190" s="244" t="s">
        <v>469</v>
      </c>
      <c r="C1190" s="200">
        <v>1</v>
      </c>
      <c r="D1190" s="201">
        <v>0.25</v>
      </c>
      <c r="E1190" s="201">
        <v>0.25</v>
      </c>
      <c r="F1190" s="201">
        <v>1.55</v>
      </c>
      <c r="G1190" s="202">
        <f t="shared" si="20"/>
        <v>9.6875000000000003E-2</v>
      </c>
      <c r="H1190" s="202">
        <f t="shared" si="21"/>
        <v>1.55</v>
      </c>
      <c r="I1190" s="82"/>
      <c r="J1190" s="114"/>
      <c r="BB1190" s="117"/>
      <c r="BC1190" s="117"/>
      <c r="BD1190" s="117"/>
    </row>
    <row r="1191" spans="1:56" ht="15">
      <c r="A1191" s="114"/>
      <c r="B1191" s="244" t="s">
        <v>470</v>
      </c>
      <c r="C1191" s="200">
        <v>1</v>
      </c>
      <c r="D1191" s="201">
        <v>0.6</v>
      </c>
      <c r="E1191" s="201">
        <v>0.25</v>
      </c>
      <c r="F1191" s="201">
        <v>5</v>
      </c>
      <c r="G1191" s="202">
        <f>D1191*E1191*F1191*C1191</f>
        <v>0.75</v>
      </c>
      <c r="H1191" s="202">
        <f>(D1191+E1191)*2*F1191*C1191</f>
        <v>8.5</v>
      </c>
      <c r="I1191" s="82"/>
      <c r="J1191" s="114"/>
      <c r="BB1191" s="117"/>
      <c r="BC1191" s="117"/>
      <c r="BD1191" s="117"/>
    </row>
    <row r="1192" spans="1:56" ht="15">
      <c r="A1192" s="114"/>
      <c r="B1192" s="244" t="s">
        <v>471</v>
      </c>
      <c r="C1192" s="200">
        <v>1</v>
      </c>
      <c r="D1192" s="201">
        <v>0.25</v>
      </c>
      <c r="E1192" s="201">
        <v>0.25</v>
      </c>
      <c r="F1192" s="201">
        <v>1.55</v>
      </c>
      <c r="G1192" s="202">
        <f>D1192*E1192*F1192*C1192</f>
        <v>9.6875000000000003E-2</v>
      </c>
      <c r="H1192" s="202">
        <f>(D1192+E1192)*2*F1192*C1192</f>
        <v>1.55</v>
      </c>
      <c r="I1192" s="82"/>
      <c r="J1192" s="114"/>
      <c r="BB1192" s="117"/>
      <c r="BC1192" s="117"/>
      <c r="BD1192" s="117"/>
    </row>
    <row r="1193" spans="1:56" ht="15">
      <c r="A1193" s="114"/>
      <c r="B1193" s="244" t="s">
        <v>472</v>
      </c>
      <c r="C1193" s="200">
        <v>1</v>
      </c>
      <c r="D1193" s="201">
        <v>0.6</v>
      </c>
      <c r="E1193" s="201">
        <v>0.25</v>
      </c>
      <c r="F1193" s="201">
        <v>5</v>
      </c>
      <c r="G1193" s="202">
        <f t="shared" si="20"/>
        <v>0.75</v>
      </c>
      <c r="H1193" s="202">
        <f t="shared" si="21"/>
        <v>8.5</v>
      </c>
      <c r="I1193" s="82"/>
      <c r="J1193" s="114"/>
      <c r="BB1193" s="117"/>
      <c r="BC1193" s="117"/>
      <c r="BD1193" s="117"/>
    </row>
    <row r="1194" spans="1:56" ht="15">
      <c r="A1194" s="114"/>
      <c r="B1194" s="244" t="s">
        <v>473</v>
      </c>
      <c r="C1194" s="200">
        <v>1</v>
      </c>
      <c r="D1194" s="201">
        <v>0.6</v>
      </c>
      <c r="E1194" s="201">
        <v>0.25</v>
      </c>
      <c r="F1194" s="201">
        <v>5</v>
      </c>
      <c r="G1194" s="202">
        <f t="shared" si="20"/>
        <v>0.75</v>
      </c>
      <c r="H1194" s="202">
        <f t="shared" si="21"/>
        <v>8.5</v>
      </c>
      <c r="I1194" s="82"/>
      <c r="J1194" s="114"/>
      <c r="BB1194" s="117"/>
      <c r="BC1194" s="117"/>
      <c r="BD1194" s="117"/>
    </row>
    <row r="1195" spans="1:56" ht="15">
      <c r="A1195" s="114"/>
      <c r="B1195" s="244" t="s">
        <v>474</v>
      </c>
      <c r="C1195" s="200">
        <v>1</v>
      </c>
      <c r="D1195" s="201">
        <v>0.25</v>
      </c>
      <c r="E1195" s="201">
        <v>0.25</v>
      </c>
      <c r="F1195" s="201">
        <v>1.55</v>
      </c>
      <c r="G1195" s="202">
        <f t="shared" si="20"/>
        <v>9.6875000000000003E-2</v>
      </c>
      <c r="H1195" s="202">
        <f t="shared" si="21"/>
        <v>1.55</v>
      </c>
      <c r="I1195" s="82"/>
      <c r="J1195" s="114"/>
      <c r="BB1195" s="117"/>
      <c r="BC1195" s="117"/>
      <c r="BD1195" s="117"/>
    </row>
    <row r="1196" spans="1:56" ht="15">
      <c r="A1196" s="114"/>
      <c r="B1196" s="244" t="s">
        <v>475</v>
      </c>
      <c r="C1196" s="200">
        <v>1</v>
      </c>
      <c r="D1196" s="245">
        <v>0.6</v>
      </c>
      <c r="E1196" s="201">
        <v>0.25</v>
      </c>
      <c r="F1196" s="201">
        <v>5</v>
      </c>
      <c r="G1196" s="202">
        <f t="shared" si="20"/>
        <v>0.75</v>
      </c>
      <c r="H1196" s="202">
        <f t="shared" si="21"/>
        <v>8.5</v>
      </c>
      <c r="I1196" s="82"/>
      <c r="J1196" s="114"/>
      <c r="BB1196" s="117"/>
      <c r="BC1196" s="117"/>
      <c r="BD1196" s="117"/>
    </row>
    <row r="1197" spans="1:56" ht="15">
      <c r="A1197" s="114"/>
      <c r="B1197" s="244" t="s">
        <v>476</v>
      </c>
      <c r="C1197" s="200">
        <v>1</v>
      </c>
      <c r="D1197" s="245">
        <v>0.25</v>
      </c>
      <c r="E1197" s="201">
        <v>0.6</v>
      </c>
      <c r="F1197" s="201">
        <v>5</v>
      </c>
      <c r="G1197" s="202">
        <f t="shared" si="20"/>
        <v>0.75</v>
      </c>
      <c r="H1197" s="202">
        <f t="shared" si="21"/>
        <v>8.5</v>
      </c>
      <c r="I1197" s="82"/>
      <c r="J1197" s="114"/>
      <c r="BB1197" s="117"/>
      <c r="BC1197" s="117"/>
      <c r="BD1197" s="117"/>
    </row>
    <row r="1198" spans="1:56" ht="15">
      <c r="A1198" s="114"/>
      <c r="B1198" s="244" t="s">
        <v>477</v>
      </c>
      <c r="C1198" s="200">
        <v>1</v>
      </c>
      <c r="D1198" s="245">
        <v>0.25</v>
      </c>
      <c r="E1198" s="201">
        <v>0.25</v>
      </c>
      <c r="F1198" s="201">
        <v>1.55</v>
      </c>
      <c r="G1198" s="202">
        <f t="shared" si="20"/>
        <v>9.6875000000000003E-2</v>
      </c>
      <c r="H1198" s="202">
        <f t="shared" si="21"/>
        <v>1.55</v>
      </c>
      <c r="I1198" s="82"/>
      <c r="J1198" s="114"/>
      <c r="BB1198" s="117"/>
      <c r="BC1198" s="117"/>
      <c r="BD1198" s="117"/>
    </row>
    <row r="1199" spans="1:56" ht="15">
      <c r="A1199" s="114"/>
      <c r="B1199" s="244" t="s">
        <v>478</v>
      </c>
      <c r="C1199" s="200">
        <v>1</v>
      </c>
      <c r="D1199" s="245">
        <v>0.25</v>
      </c>
      <c r="E1199" s="201">
        <v>0.6</v>
      </c>
      <c r="F1199" s="201">
        <v>5</v>
      </c>
      <c r="G1199" s="202">
        <f t="shared" si="20"/>
        <v>0.75</v>
      </c>
      <c r="H1199" s="202">
        <f t="shared" si="21"/>
        <v>8.5</v>
      </c>
      <c r="I1199" s="82"/>
      <c r="J1199" s="114"/>
      <c r="BB1199" s="117"/>
      <c r="BC1199" s="117"/>
      <c r="BD1199" s="117"/>
    </row>
    <row r="1200" spans="1:56" ht="15">
      <c r="A1200" s="114"/>
      <c r="B1200" s="244" t="s">
        <v>479</v>
      </c>
      <c r="C1200" s="200">
        <v>1</v>
      </c>
      <c r="D1200" s="245">
        <v>0.25</v>
      </c>
      <c r="E1200" s="201">
        <v>0.25</v>
      </c>
      <c r="F1200" s="201">
        <v>1.55</v>
      </c>
      <c r="G1200" s="202">
        <f t="shared" si="20"/>
        <v>9.6875000000000003E-2</v>
      </c>
      <c r="H1200" s="202">
        <f t="shared" si="21"/>
        <v>1.55</v>
      </c>
      <c r="I1200" s="82"/>
      <c r="J1200" s="114"/>
      <c r="BB1200" s="117"/>
      <c r="BC1200" s="117"/>
      <c r="BD1200" s="117"/>
    </row>
    <row r="1201" spans="1:56" ht="15">
      <c r="A1201" s="114"/>
      <c r="B1201" s="244" t="s">
        <v>480</v>
      </c>
      <c r="C1201" s="200">
        <v>1</v>
      </c>
      <c r="D1201" s="201">
        <v>0.6</v>
      </c>
      <c r="E1201" s="201">
        <v>0.25</v>
      </c>
      <c r="F1201" s="201">
        <v>5</v>
      </c>
      <c r="G1201" s="202">
        <f t="shared" si="20"/>
        <v>0.75</v>
      </c>
      <c r="H1201" s="202">
        <f t="shared" si="21"/>
        <v>8.5</v>
      </c>
      <c r="I1201" s="82"/>
      <c r="J1201" s="114"/>
      <c r="BB1201" s="117"/>
      <c r="BC1201" s="117"/>
      <c r="BD1201" s="117"/>
    </row>
    <row r="1202" spans="1:56" ht="15">
      <c r="A1202" s="114"/>
      <c r="B1202" s="244" t="s">
        <v>481</v>
      </c>
      <c r="C1202" s="200">
        <v>1</v>
      </c>
      <c r="D1202" s="201">
        <v>0.25</v>
      </c>
      <c r="E1202" s="201">
        <v>0.25</v>
      </c>
      <c r="F1202" s="201">
        <v>1.55</v>
      </c>
      <c r="G1202" s="202">
        <f>D1202*E1202*F1202*C1202</f>
        <v>9.6875000000000003E-2</v>
      </c>
      <c r="H1202" s="202">
        <f>(D1202+E1202)*2*F1202*C1202</f>
        <v>1.55</v>
      </c>
      <c r="I1202" s="82"/>
      <c r="J1202" s="114"/>
      <c r="BB1202" s="117"/>
      <c r="BC1202" s="117"/>
      <c r="BD1202" s="117"/>
    </row>
    <row r="1203" spans="1:56" ht="15">
      <c r="A1203" s="114"/>
      <c r="B1203" s="244" t="s">
        <v>482</v>
      </c>
      <c r="C1203" s="200">
        <v>1</v>
      </c>
      <c r="D1203" s="201">
        <v>0.6</v>
      </c>
      <c r="E1203" s="201">
        <v>0.25</v>
      </c>
      <c r="F1203" s="201">
        <v>5</v>
      </c>
      <c r="G1203" s="202">
        <f>D1203*E1203*F1203*C1203</f>
        <v>0.75</v>
      </c>
      <c r="H1203" s="202">
        <f>(D1203+E1203)*2*F1203*C1203</f>
        <v>8.5</v>
      </c>
      <c r="I1203" s="82"/>
      <c r="J1203" s="114"/>
      <c r="BB1203" s="117"/>
      <c r="BC1203" s="117"/>
      <c r="BD1203" s="117"/>
    </row>
    <row r="1204" spans="1:56" ht="15">
      <c r="A1204" s="114"/>
      <c r="B1204" s="244" t="s">
        <v>483</v>
      </c>
      <c r="C1204" s="200">
        <v>1</v>
      </c>
      <c r="D1204" s="201">
        <v>0.6</v>
      </c>
      <c r="E1204" s="201">
        <v>0.25</v>
      </c>
      <c r="F1204" s="201">
        <v>5</v>
      </c>
      <c r="G1204" s="202">
        <f t="shared" ref="G1204:G1218" si="22">D1204*E1204*F1204*C1204</f>
        <v>0.75</v>
      </c>
      <c r="H1204" s="202">
        <f t="shared" ref="H1204:H1218" si="23">(D1204+E1204)*2*F1204*C1204</f>
        <v>8.5</v>
      </c>
      <c r="I1204" s="82"/>
      <c r="J1204" s="114"/>
      <c r="BB1204" s="117"/>
      <c r="BC1204" s="117"/>
      <c r="BD1204" s="117"/>
    </row>
    <row r="1205" spans="1:56" ht="15">
      <c r="A1205" s="114"/>
      <c r="B1205" s="244" t="s">
        <v>484</v>
      </c>
      <c r="C1205" s="200">
        <v>1</v>
      </c>
      <c r="D1205" s="201">
        <v>0.6</v>
      </c>
      <c r="E1205" s="201">
        <v>0.25</v>
      </c>
      <c r="F1205" s="201">
        <v>5</v>
      </c>
      <c r="G1205" s="202">
        <f t="shared" si="22"/>
        <v>0.75</v>
      </c>
      <c r="H1205" s="202">
        <f t="shared" si="23"/>
        <v>8.5</v>
      </c>
      <c r="I1205" s="82"/>
      <c r="J1205" s="114"/>
      <c r="BB1205" s="117"/>
      <c r="BC1205" s="117"/>
      <c r="BD1205" s="117"/>
    </row>
    <row r="1206" spans="1:56" ht="15">
      <c r="A1206" s="114"/>
      <c r="B1206" s="244" t="s">
        <v>485</v>
      </c>
      <c r="C1206" s="200">
        <v>1</v>
      </c>
      <c r="D1206" s="201">
        <v>0.25</v>
      </c>
      <c r="E1206" s="201">
        <v>0.25</v>
      </c>
      <c r="F1206" s="201">
        <v>1.55</v>
      </c>
      <c r="G1206" s="202">
        <f t="shared" si="22"/>
        <v>9.6875000000000003E-2</v>
      </c>
      <c r="H1206" s="202">
        <f t="shared" si="23"/>
        <v>1.55</v>
      </c>
      <c r="I1206" s="82"/>
      <c r="J1206" s="114"/>
      <c r="BB1206" s="117"/>
      <c r="BC1206" s="117"/>
      <c r="BD1206" s="117"/>
    </row>
    <row r="1207" spans="1:56" ht="15">
      <c r="A1207" s="114"/>
      <c r="B1207" s="244" t="s">
        <v>486</v>
      </c>
      <c r="C1207" s="200">
        <v>1</v>
      </c>
      <c r="D1207" s="201">
        <v>0.6</v>
      </c>
      <c r="E1207" s="201">
        <v>0.25</v>
      </c>
      <c r="F1207" s="201">
        <v>5</v>
      </c>
      <c r="G1207" s="202">
        <f t="shared" si="22"/>
        <v>0.75</v>
      </c>
      <c r="H1207" s="202">
        <f t="shared" si="23"/>
        <v>8.5</v>
      </c>
      <c r="I1207" s="82"/>
      <c r="J1207" s="114"/>
      <c r="BB1207" s="117"/>
      <c r="BC1207" s="117"/>
      <c r="BD1207" s="117"/>
    </row>
    <row r="1208" spans="1:56" ht="15">
      <c r="A1208" s="114"/>
      <c r="B1208" s="244" t="s">
        <v>487</v>
      </c>
      <c r="C1208" s="200">
        <v>1</v>
      </c>
      <c r="D1208" s="201">
        <v>0.25</v>
      </c>
      <c r="E1208" s="201">
        <v>0.25</v>
      </c>
      <c r="F1208" s="201">
        <v>1.55</v>
      </c>
      <c r="G1208" s="202">
        <f t="shared" si="22"/>
        <v>9.6875000000000003E-2</v>
      </c>
      <c r="H1208" s="202">
        <f t="shared" si="23"/>
        <v>1.55</v>
      </c>
      <c r="I1208" s="82"/>
      <c r="J1208" s="114"/>
      <c r="BB1208" s="117"/>
      <c r="BC1208" s="117"/>
      <c r="BD1208" s="117"/>
    </row>
    <row r="1209" spans="1:56" ht="15">
      <c r="A1209" s="114"/>
      <c r="B1209" s="244" t="s">
        <v>488</v>
      </c>
      <c r="C1209" s="200">
        <v>1</v>
      </c>
      <c r="D1209" s="201">
        <v>0.6</v>
      </c>
      <c r="E1209" s="201">
        <v>0.25</v>
      </c>
      <c r="F1209" s="201">
        <v>5</v>
      </c>
      <c r="G1209" s="202">
        <f t="shared" si="22"/>
        <v>0.75</v>
      </c>
      <c r="H1209" s="202">
        <f t="shared" si="23"/>
        <v>8.5</v>
      </c>
      <c r="I1209" s="82"/>
      <c r="J1209" s="114"/>
      <c r="BB1209" s="117"/>
      <c r="BC1209" s="117"/>
      <c r="BD1209" s="117"/>
    </row>
    <row r="1210" spans="1:56" ht="15">
      <c r="A1210" s="114"/>
      <c r="B1210" s="244" t="s">
        <v>489</v>
      </c>
      <c r="C1210" s="200">
        <v>1</v>
      </c>
      <c r="D1210" s="201">
        <v>0.6</v>
      </c>
      <c r="E1210" s="201">
        <v>0.25</v>
      </c>
      <c r="F1210" s="201">
        <v>5</v>
      </c>
      <c r="G1210" s="202">
        <f t="shared" si="22"/>
        <v>0.75</v>
      </c>
      <c r="H1210" s="202">
        <f t="shared" si="23"/>
        <v>8.5</v>
      </c>
      <c r="I1210" s="82"/>
      <c r="J1210" s="114"/>
      <c r="BB1210" s="117"/>
      <c r="BC1210" s="117"/>
      <c r="BD1210" s="117"/>
    </row>
    <row r="1211" spans="1:56" ht="15">
      <c r="A1211" s="114"/>
      <c r="B1211" s="244" t="s">
        <v>490</v>
      </c>
      <c r="C1211" s="200">
        <v>1</v>
      </c>
      <c r="D1211" s="201">
        <v>0.6</v>
      </c>
      <c r="E1211" s="201">
        <v>0.25</v>
      </c>
      <c r="F1211" s="201">
        <v>5</v>
      </c>
      <c r="G1211" s="202">
        <f t="shared" si="22"/>
        <v>0.75</v>
      </c>
      <c r="H1211" s="202">
        <f t="shared" si="23"/>
        <v>8.5</v>
      </c>
      <c r="I1211" s="82"/>
      <c r="J1211" s="114"/>
      <c r="BB1211" s="117"/>
      <c r="BC1211" s="117"/>
      <c r="BD1211" s="117"/>
    </row>
    <row r="1212" spans="1:56" ht="15">
      <c r="A1212" s="114"/>
      <c r="B1212" s="244" t="s">
        <v>491</v>
      </c>
      <c r="C1212" s="200">
        <v>1</v>
      </c>
      <c r="D1212" s="201">
        <v>0.25</v>
      </c>
      <c r="E1212" s="201">
        <v>0.25</v>
      </c>
      <c r="F1212" s="201">
        <v>1.55</v>
      </c>
      <c r="G1212" s="202">
        <f t="shared" si="22"/>
        <v>9.6875000000000003E-2</v>
      </c>
      <c r="H1212" s="202">
        <f t="shared" si="23"/>
        <v>1.55</v>
      </c>
      <c r="I1212" s="82"/>
      <c r="J1212" s="114"/>
      <c r="BB1212" s="117"/>
      <c r="BC1212" s="117"/>
      <c r="BD1212" s="117"/>
    </row>
    <row r="1213" spans="1:56" ht="15">
      <c r="A1213" s="114"/>
      <c r="B1213" s="244" t="s">
        <v>492</v>
      </c>
      <c r="C1213" s="200">
        <v>1</v>
      </c>
      <c r="D1213" s="245">
        <v>0.6</v>
      </c>
      <c r="E1213" s="201">
        <v>0.25</v>
      </c>
      <c r="F1213" s="201">
        <v>6.55</v>
      </c>
      <c r="G1213" s="202">
        <f t="shared" si="22"/>
        <v>0.98249999999999993</v>
      </c>
      <c r="H1213" s="202">
        <f t="shared" si="23"/>
        <v>11.135</v>
      </c>
      <c r="I1213" s="82"/>
      <c r="J1213" s="114"/>
      <c r="BB1213" s="117"/>
      <c r="BC1213" s="117"/>
      <c r="BD1213" s="117"/>
    </row>
    <row r="1214" spans="1:56" ht="15">
      <c r="A1214" s="114"/>
      <c r="B1214" s="244" t="s">
        <v>493</v>
      </c>
      <c r="C1214" s="200">
        <v>1</v>
      </c>
      <c r="D1214" s="245">
        <v>0.25</v>
      </c>
      <c r="E1214" s="201">
        <v>0.6</v>
      </c>
      <c r="F1214" s="201">
        <v>5</v>
      </c>
      <c r="G1214" s="202">
        <f t="shared" si="22"/>
        <v>0.75</v>
      </c>
      <c r="H1214" s="202">
        <f t="shared" si="23"/>
        <v>8.5</v>
      </c>
      <c r="I1214" s="82"/>
      <c r="J1214" s="114"/>
      <c r="BB1214" s="117"/>
      <c r="BC1214" s="117"/>
      <c r="BD1214" s="117"/>
    </row>
    <row r="1215" spans="1:56" ht="15">
      <c r="A1215" s="114"/>
      <c r="B1215" s="244" t="s">
        <v>494</v>
      </c>
      <c r="C1215" s="200">
        <v>1</v>
      </c>
      <c r="D1215" s="245">
        <v>0.25</v>
      </c>
      <c r="E1215" s="201">
        <v>0.25</v>
      </c>
      <c r="F1215" s="201">
        <v>1.55</v>
      </c>
      <c r="G1215" s="202">
        <f t="shared" si="22"/>
        <v>9.6875000000000003E-2</v>
      </c>
      <c r="H1215" s="202">
        <f t="shared" si="23"/>
        <v>1.55</v>
      </c>
      <c r="I1215" s="82"/>
      <c r="J1215" s="114"/>
      <c r="BB1215" s="117"/>
      <c r="BC1215" s="117"/>
      <c r="BD1215" s="117"/>
    </row>
    <row r="1216" spans="1:56" ht="15">
      <c r="A1216" s="114"/>
      <c r="B1216" s="244" t="s">
        <v>495</v>
      </c>
      <c r="C1216" s="200">
        <v>1</v>
      </c>
      <c r="D1216" s="245">
        <v>0.25</v>
      </c>
      <c r="E1216" s="201">
        <v>0.6</v>
      </c>
      <c r="F1216" s="201">
        <v>5</v>
      </c>
      <c r="G1216" s="202">
        <f t="shared" si="22"/>
        <v>0.75</v>
      </c>
      <c r="H1216" s="202">
        <f t="shared" si="23"/>
        <v>8.5</v>
      </c>
      <c r="I1216" s="82"/>
      <c r="J1216" s="114"/>
      <c r="BB1216" s="117"/>
      <c r="BC1216" s="117"/>
      <c r="BD1216" s="117"/>
    </row>
    <row r="1217" spans="1:56" ht="15">
      <c r="A1217" s="114"/>
      <c r="B1217" s="244" t="s">
        <v>496</v>
      </c>
      <c r="C1217" s="200">
        <v>1</v>
      </c>
      <c r="D1217" s="245">
        <v>0.25</v>
      </c>
      <c r="E1217" s="201">
        <v>0.25</v>
      </c>
      <c r="F1217" s="201">
        <v>1.55</v>
      </c>
      <c r="G1217" s="202">
        <f t="shared" si="22"/>
        <v>9.6875000000000003E-2</v>
      </c>
      <c r="H1217" s="202">
        <f t="shared" si="23"/>
        <v>1.55</v>
      </c>
      <c r="I1217" s="82"/>
      <c r="J1217" s="114"/>
      <c r="BB1217" s="117"/>
      <c r="BC1217" s="117"/>
      <c r="BD1217" s="117"/>
    </row>
    <row r="1218" spans="1:56" ht="15">
      <c r="A1218" s="114"/>
      <c r="B1218" s="244" t="s">
        <v>497</v>
      </c>
      <c r="C1218" s="200">
        <v>1</v>
      </c>
      <c r="D1218" s="245">
        <v>0.6</v>
      </c>
      <c r="E1218" s="201">
        <v>0.25</v>
      </c>
      <c r="F1218" s="201">
        <v>6.55</v>
      </c>
      <c r="G1218" s="202">
        <f t="shared" si="22"/>
        <v>0.98249999999999993</v>
      </c>
      <c r="H1218" s="202">
        <f t="shared" si="23"/>
        <v>11.135</v>
      </c>
      <c r="I1218" s="82"/>
      <c r="J1218" s="114"/>
      <c r="BB1218" s="117"/>
      <c r="BC1218" s="117"/>
      <c r="BD1218" s="117"/>
    </row>
    <row r="1219" spans="1:56">
      <c r="A1219" s="114"/>
      <c r="B1219" s="140"/>
      <c r="C1219" s="213"/>
      <c r="D1219" s="213"/>
      <c r="E1219" s="115"/>
      <c r="F1219" s="254" t="s">
        <v>76</v>
      </c>
      <c r="G1219" s="228">
        <f>SUM(G1166:G1218)</f>
        <v>29.041125000000008</v>
      </c>
      <c r="H1219" s="228">
        <f>SUM(H1166:H1218)</f>
        <v>332.23000000000013</v>
      </c>
      <c r="I1219" s="3"/>
      <c r="J1219" s="114"/>
      <c r="AZ1219" s="117"/>
      <c r="BA1219" s="117"/>
      <c r="BB1219" s="117"/>
      <c r="BC1219" s="117"/>
      <c r="BD1219" s="117"/>
    </row>
    <row r="1220" spans="1:56" ht="15">
      <c r="A1220" s="114"/>
      <c r="B1220" s="140"/>
      <c r="C1220" s="213"/>
      <c r="D1220" s="213"/>
      <c r="E1220" s="236"/>
      <c r="F1220" s="213"/>
      <c r="G1220" s="212"/>
      <c r="H1220" s="210"/>
      <c r="I1220" s="3"/>
      <c r="J1220" s="114"/>
      <c r="AZ1220" s="117"/>
      <c r="BA1220" s="117"/>
      <c r="BB1220" s="117"/>
      <c r="BC1220" s="117"/>
      <c r="BD1220" s="117"/>
    </row>
    <row r="1221" spans="1:56" ht="15">
      <c r="A1221" s="114"/>
      <c r="B1221" s="242" t="s">
        <v>93</v>
      </c>
      <c r="C1221" s="268" t="s">
        <v>67</v>
      </c>
      <c r="D1221" s="268" t="s">
        <v>64</v>
      </c>
      <c r="E1221" s="268" t="s">
        <v>66</v>
      </c>
      <c r="F1221" s="268" t="s">
        <v>63</v>
      </c>
      <c r="G1221" s="268" t="s">
        <v>68</v>
      </c>
      <c r="H1221" s="310"/>
      <c r="I1221" s="362"/>
      <c r="J1221" s="114"/>
      <c r="AZ1221" s="117"/>
      <c r="BA1221" s="117"/>
      <c r="BB1221" s="117"/>
      <c r="BC1221" s="117"/>
      <c r="BD1221" s="117"/>
    </row>
    <row r="1222" spans="1:56" ht="15">
      <c r="A1222" s="114"/>
      <c r="B1222" s="269" t="s">
        <v>498</v>
      </c>
      <c r="C1222" s="311">
        <v>1</v>
      </c>
      <c r="D1222" s="270">
        <v>659.3</v>
      </c>
      <c r="E1222" s="270">
        <v>0.12</v>
      </c>
      <c r="F1222" s="256">
        <f>(D1222*E1222)*C1222</f>
        <v>79.115999999999985</v>
      </c>
      <c r="G1222" s="256">
        <f>D1222*C1222</f>
        <v>659.3</v>
      </c>
      <c r="H1222" s="310"/>
      <c r="I1222" s="114"/>
      <c r="J1222" s="114"/>
      <c r="AY1222" s="117"/>
      <c r="AZ1222" s="117"/>
      <c r="BA1222" s="117"/>
      <c r="BB1222" s="117"/>
      <c r="BC1222" s="117"/>
      <c r="BD1222" s="117"/>
    </row>
    <row r="1223" spans="1:56" ht="15">
      <c r="A1223" s="114"/>
      <c r="B1223" s="293"/>
      <c r="C1223" s="81"/>
      <c r="D1223" s="81"/>
      <c r="E1223" s="312" t="s">
        <v>76</v>
      </c>
      <c r="F1223" s="313">
        <f>SUM(F1222:F1222)</f>
        <v>79.115999999999985</v>
      </c>
      <c r="G1223" s="313">
        <f>SUM(G1222:G1222)</f>
        <v>659.3</v>
      </c>
      <c r="H1223" s="82"/>
      <c r="I1223" s="82"/>
      <c r="J1223" s="4"/>
      <c r="BC1223" s="117"/>
      <c r="BD1223" s="117"/>
    </row>
    <row r="1224" spans="1:56">
      <c r="A1224" s="114"/>
      <c r="B1224" s="271"/>
      <c r="C1224" s="362"/>
      <c r="D1224" s="362"/>
      <c r="E1224" s="362"/>
      <c r="F1224" s="362"/>
      <c r="G1224" s="196"/>
      <c r="H1224" s="362"/>
      <c r="I1224" s="362"/>
      <c r="J1224" s="196"/>
      <c r="AX1224" s="117"/>
      <c r="AY1224" s="117"/>
      <c r="AZ1224" s="117"/>
      <c r="BA1224" s="117"/>
      <c r="BB1224" s="117"/>
      <c r="BC1224" s="117"/>
      <c r="BD1224" s="117"/>
    </row>
    <row r="1225" spans="1:56">
      <c r="A1225" s="114"/>
      <c r="B1225" s="242" t="s">
        <v>394</v>
      </c>
      <c r="C1225" s="268" t="s">
        <v>304</v>
      </c>
      <c r="D1225" s="268" t="s">
        <v>94</v>
      </c>
      <c r="E1225" s="268" t="s">
        <v>95</v>
      </c>
      <c r="F1225" s="268" t="s">
        <v>397</v>
      </c>
      <c r="G1225" s="115"/>
      <c r="H1225" s="114"/>
      <c r="I1225" s="114"/>
      <c r="J1225" s="114"/>
      <c r="AU1225" s="117"/>
      <c r="AV1225" s="117"/>
      <c r="AW1225" s="117"/>
      <c r="AX1225" s="117"/>
      <c r="AY1225" s="117"/>
      <c r="AZ1225" s="117"/>
      <c r="BA1225" s="117"/>
      <c r="BB1225" s="117"/>
      <c r="BC1225" s="117"/>
      <c r="BD1225" s="117"/>
    </row>
    <row r="1226" spans="1:56">
      <c r="A1226" s="114"/>
      <c r="B1226" s="314" t="s">
        <v>307</v>
      </c>
      <c r="C1226" s="224">
        <v>867.7</v>
      </c>
      <c r="D1226" s="223">
        <v>0.08</v>
      </c>
      <c r="E1226" s="315">
        <f>C1226*D1226</f>
        <v>69.416000000000011</v>
      </c>
      <c r="F1226" s="316">
        <f>C1226*0.05</f>
        <v>43.385000000000005</v>
      </c>
      <c r="G1226" s="115"/>
      <c r="H1226" s="114"/>
      <c r="I1226" s="114"/>
      <c r="J1226" s="114"/>
      <c r="AU1226" s="117"/>
      <c r="AV1226" s="117"/>
      <c r="AW1226" s="117"/>
      <c r="AX1226" s="117"/>
      <c r="AY1226" s="117"/>
      <c r="AZ1226" s="117"/>
      <c r="BA1226" s="117"/>
      <c r="BB1226" s="117"/>
      <c r="BC1226" s="117"/>
      <c r="BD1226" s="117"/>
    </row>
    <row r="1227" spans="1:56" thickBot="1">
      <c r="A1227" s="114"/>
      <c r="B1227" s="114"/>
      <c r="C1227" s="114"/>
      <c r="D1227" s="114"/>
      <c r="E1227" s="114"/>
      <c r="F1227" s="114"/>
      <c r="G1227" s="114"/>
      <c r="H1227" s="114"/>
      <c r="I1227" s="213"/>
      <c r="J1227" s="3"/>
      <c r="K1227" s="233"/>
      <c r="BD1227" s="117"/>
    </row>
    <row r="1228" spans="1:56">
      <c r="A1228" s="114"/>
      <c r="B1228" s="1285" t="s">
        <v>98</v>
      </c>
      <c r="C1228" s="1286"/>
      <c r="D1228" s="1286"/>
      <c r="E1228" s="1286"/>
      <c r="F1228" s="1287"/>
      <c r="G1228" s="115"/>
      <c r="H1228" s="115"/>
      <c r="I1228" s="82"/>
      <c r="J1228" s="114"/>
      <c r="BB1228" s="117"/>
      <c r="BC1228" s="117"/>
      <c r="BD1228" s="117"/>
    </row>
    <row r="1229" spans="1:56">
      <c r="A1229" s="114"/>
      <c r="B1229" s="634"/>
      <c r="C1229" s="115"/>
      <c r="D1229" s="115"/>
      <c r="E1229" s="115"/>
      <c r="F1229" s="182"/>
      <c r="G1229" s="115"/>
      <c r="H1229" s="115"/>
      <c r="I1229" s="82"/>
      <c r="J1229" s="114"/>
      <c r="BB1229" s="117"/>
      <c r="BC1229" s="117"/>
      <c r="BD1229" s="117"/>
    </row>
    <row r="1230" spans="1:56">
      <c r="A1230" s="114"/>
      <c r="B1230" s="635" t="s">
        <v>101</v>
      </c>
      <c r="C1230" s="203"/>
      <c r="D1230" s="204"/>
      <c r="E1230" s="205">
        <f>G1223+H1219+H1163</f>
        <v>1838.5192500000001</v>
      </c>
      <c r="F1230" s="216" t="s">
        <v>13</v>
      </c>
      <c r="G1230" s="115"/>
      <c r="H1230" s="115"/>
      <c r="I1230" s="82"/>
      <c r="J1230" s="114"/>
      <c r="BB1230" s="117"/>
      <c r="BC1230" s="117"/>
      <c r="BD1230" s="117"/>
    </row>
    <row r="1231" spans="1:56">
      <c r="A1231" s="114"/>
      <c r="B1231" s="635" t="s">
        <v>316</v>
      </c>
      <c r="C1231" s="203"/>
      <c r="D1231" s="204"/>
      <c r="E1231" s="205">
        <f>F1223+G1219+G1163+E1226</f>
        <v>270.63037500000002</v>
      </c>
      <c r="F1231" s="216" t="s">
        <v>100</v>
      </c>
      <c r="G1231" s="115"/>
      <c r="H1231" s="115"/>
      <c r="I1231" s="82"/>
      <c r="J1231" s="114"/>
      <c r="BB1231" s="117"/>
      <c r="BC1231" s="117"/>
      <c r="BD1231" s="117"/>
    </row>
    <row r="1232" spans="1:56">
      <c r="A1232" s="114"/>
      <c r="B1232" s="635" t="s">
        <v>317</v>
      </c>
      <c r="C1232" s="203"/>
      <c r="D1232" s="204"/>
      <c r="E1232" s="302">
        <f>F1226</f>
        <v>43.385000000000005</v>
      </c>
      <c r="F1232" s="216" t="s">
        <v>100</v>
      </c>
      <c r="G1232" s="115"/>
      <c r="H1232" s="236"/>
      <c r="I1232" s="3"/>
      <c r="J1232" s="114"/>
      <c r="BB1232" s="117"/>
      <c r="BC1232" s="117"/>
      <c r="BD1232" s="117"/>
    </row>
    <row r="1233" spans="1:56" ht="15">
      <c r="A1233" s="114"/>
      <c r="B1233" s="635" t="s">
        <v>318</v>
      </c>
      <c r="C1233" s="317"/>
      <c r="D1233" s="318"/>
      <c r="E1233" s="319">
        <v>628.5</v>
      </c>
      <c r="F1233" s="320" t="s">
        <v>10</v>
      </c>
      <c r="G1233" s="362"/>
      <c r="H1233" s="362"/>
      <c r="I1233" s="362"/>
      <c r="J1233" s="114"/>
      <c r="AU1233" s="117"/>
      <c r="AV1233" s="117"/>
      <c r="AW1233" s="117"/>
      <c r="AX1233" s="117"/>
      <c r="AY1233" s="117"/>
      <c r="AZ1233" s="117"/>
      <c r="BA1233" s="117"/>
      <c r="BB1233" s="117"/>
      <c r="BC1233" s="117"/>
      <c r="BD1233" s="117"/>
    </row>
    <row r="1234" spans="1:56" thickBot="1">
      <c r="A1234" s="114"/>
      <c r="B1234" s="779" t="s">
        <v>319</v>
      </c>
      <c r="C1234" s="174"/>
      <c r="D1234" s="176"/>
      <c r="E1234" s="321">
        <v>83.14</v>
      </c>
      <c r="F1234" s="215" t="s">
        <v>10</v>
      </c>
      <c r="G1234" s="362"/>
      <c r="H1234" s="362"/>
      <c r="I1234" s="362"/>
      <c r="J1234" s="114"/>
      <c r="AU1234" s="117"/>
      <c r="AV1234" s="117"/>
      <c r="AW1234" s="117"/>
      <c r="AX1234" s="117"/>
      <c r="AY1234" s="117"/>
      <c r="AZ1234" s="117"/>
      <c r="BA1234" s="117"/>
      <c r="BB1234" s="117"/>
      <c r="BC1234" s="117"/>
      <c r="BD1234" s="117"/>
    </row>
    <row r="1235" spans="1:56">
      <c r="A1235" s="114"/>
      <c r="B1235" s="115"/>
      <c r="C1235" s="115"/>
      <c r="D1235" s="115"/>
      <c r="E1235" s="115"/>
      <c r="F1235" s="115"/>
      <c r="G1235" s="115"/>
      <c r="H1235" s="115"/>
      <c r="I1235" s="115"/>
      <c r="J1235" s="114"/>
      <c r="BB1235" s="117"/>
      <c r="BC1235" s="117"/>
      <c r="BD1235" s="117"/>
    </row>
    <row r="1236" spans="1:56">
      <c r="A1236" s="114"/>
      <c r="B1236" s="115"/>
      <c r="C1236" s="115"/>
      <c r="D1236" s="115"/>
      <c r="E1236" s="115"/>
      <c r="F1236" s="115"/>
      <c r="G1236" s="115"/>
      <c r="H1236" s="115"/>
      <c r="I1236" s="115"/>
      <c r="J1236" s="114"/>
      <c r="BB1236" s="117"/>
      <c r="BC1236" s="117"/>
      <c r="BD1236" s="117"/>
    </row>
    <row r="1237" spans="1:56" ht="16.5" thickBot="1">
      <c r="A1237" s="114"/>
      <c r="B1237" s="115"/>
      <c r="C1237" s="115"/>
      <c r="D1237" s="115"/>
      <c r="E1237" s="115"/>
      <c r="F1237" s="115"/>
      <c r="G1237" s="115"/>
      <c r="H1237" s="115"/>
      <c r="I1237" s="82"/>
      <c r="J1237" s="114"/>
      <c r="BB1237" s="117"/>
      <c r="BC1237" s="117"/>
      <c r="BD1237" s="117"/>
    </row>
    <row r="1238" spans="1:56">
      <c r="A1238" s="114"/>
      <c r="B1238" s="1285" t="s">
        <v>320</v>
      </c>
      <c r="C1238" s="1286"/>
      <c r="D1238" s="1286"/>
      <c r="E1238" s="1286"/>
      <c r="F1238" s="1287"/>
      <c r="G1238" s="115"/>
      <c r="H1238" s="115"/>
      <c r="I1238" s="82"/>
      <c r="J1238" s="114"/>
      <c r="BB1238" s="117"/>
      <c r="BC1238" s="117"/>
      <c r="BD1238" s="117"/>
    </row>
    <row r="1239" spans="1:56">
      <c r="A1239" s="114"/>
      <c r="B1239" s="690"/>
      <c r="C1239" s="115"/>
      <c r="D1239" s="115"/>
      <c r="E1239" s="115"/>
      <c r="F1239" s="182"/>
      <c r="G1239" s="115"/>
      <c r="H1239" s="115"/>
      <c r="I1239" s="82"/>
      <c r="J1239" s="114"/>
      <c r="BB1239" s="117"/>
      <c r="BC1239" s="117"/>
      <c r="BD1239" s="117"/>
    </row>
    <row r="1240" spans="1:56" ht="15">
      <c r="A1240" s="114"/>
      <c r="B1240" s="691" t="s">
        <v>399</v>
      </c>
      <c r="C1240" s="196"/>
      <c r="D1240" s="196"/>
      <c r="E1240" s="196"/>
      <c r="F1240" s="284"/>
      <c r="G1240" s="196"/>
      <c r="H1240" s="196"/>
      <c r="I1240" s="196"/>
      <c r="J1240" s="114"/>
      <c r="BB1240" s="117"/>
      <c r="BC1240" s="117"/>
      <c r="BD1240" s="117"/>
    </row>
    <row r="1241" spans="1:56" ht="15">
      <c r="A1241" s="114"/>
      <c r="B1241" s="692" t="s">
        <v>400</v>
      </c>
      <c r="C1241" s="280">
        <v>2047</v>
      </c>
      <c r="D1241" s="286" t="s">
        <v>12</v>
      </c>
      <c r="E1241" s="1199" t="s">
        <v>499</v>
      </c>
      <c r="F1241" s="1200"/>
      <c r="G1241" s="196"/>
      <c r="H1241" s="196"/>
      <c r="I1241" s="196"/>
      <c r="J1241" s="114"/>
      <c r="BB1241" s="117"/>
      <c r="BC1241" s="117"/>
      <c r="BD1241" s="117"/>
    </row>
    <row r="1242" spans="1:56" ht="15">
      <c r="A1242" s="114"/>
      <c r="B1242" s="692" t="s">
        <v>402</v>
      </c>
      <c r="C1242" s="280">
        <v>1090</v>
      </c>
      <c r="D1242" s="286" t="s">
        <v>12</v>
      </c>
      <c r="E1242" s="1216"/>
      <c r="F1242" s="1217"/>
      <c r="G1242" s="196"/>
      <c r="H1242" s="196"/>
      <c r="I1242" s="196"/>
      <c r="J1242" s="114"/>
      <c r="BB1242" s="117"/>
      <c r="BC1242" s="117"/>
      <c r="BD1242" s="117"/>
    </row>
    <row r="1243" spans="1:56" ht="15">
      <c r="A1243" s="114"/>
      <c r="B1243" s="692" t="s">
        <v>403</v>
      </c>
      <c r="C1243" s="280">
        <v>30</v>
      </c>
      <c r="D1243" s="286" t="s">
        <v>12</v>
      </c>
      <c r="E1243" s="1201"/>
      <c r="F1243" s="1202"/>
      <c r="G1243" s="196"/>
      <c r="H1243" s="196"/>
      <c r="I1243" s="196"/>
      <c r="J1243" s="114"/>
      <c r="BB1243" s="117"/>
      <c r="BC1243" s="117"/>
      <c r="BD1243" s="117"/>
    </row>
    <row r="1244" spans="1:56" ht="15">
      <c r="A1244" s="114"/>
      <c r="B1244" s="693"/>
      <c r="C1244" s="196"/>
      <c r="D1244" s="196"/>
      <c r="E1244" s="196"/>
      <c r="F1244" s="284"/>
      <c r="G1244" s="196"/>
      <c r="H1244" s="196"/>
      <c r="I1244" s="196"/>
      <c r="J1244" s="114"/>
      <c r="BB1244" s="117"/>
      <c r="BC1244" s="117"/>
      <c r="BD1244" s="117"/>
    </row>
    <row r="1245" spans="1:56" ht="15">
      <c r="A1245" s="114"/>
      <c r="B1245" s="691" t="s">
        <v>500</v>
      </c>
      <c r="C1245" s="196"/>
      <c r="D1245" s="196"/>
      <c r="E1245" s="196"/>
      <c r="F1245" s="284"/>
      <c r="G1245" s="196"/>
      <c r="H1245" s="196"/>
      <c r="I1245" s="196"/>
      <c r="J1245" s="114"/>
      <c r="BB1245" s="117"/>
      <c r="BC1245" s="117"/>
      <c r="BD1245" s="117"/>
    </row>
    <row r="1246" spans="1:56" ht="15">
      <c r="A1246" s="114"/>
      <c r="B1246" s="692" t="s">
        <v>353</v>
      </c>
      <c r="C1246" s="280">
        <v>12</v>
      </c>
      <c r="D1246" s="286" t="s">
        <v>12</v>
      </c>
      <c r="E1246" s="1199" t="s">
        <v>501</v>
      </c>
      <c r="F1246" s="1200"/>
      <c r="G1246" s="196"/>
      <c r="H1246" s="196"/>
      <c r="I1246" s="196"/>
      <c r="J1246" s="114"/>
      <c r="BB1246" s="117"/>
      <c r="BC1246" s="117"/>
      <c r="BD1246" s="117"/>
    </row>
    <row r="1247" spans="1:56" ht="15">
      <c r="A1247" s="114"/>
      <c r="B1247" s="692" t="s">
        <v>352</v>
      </c>
      <c r="C1247" s="280">
        <v>2482</v>
      </c>
      <c r="D1247" s="286" t="s">
        <v>12</v>
      </c>
      <c r="E1247" s="1201"/>
      <c r="F1247" s="1202"/>
      <c r="G1247" s="196"/>
      <c r="H1247" s="196"/>
      <c r="I1247" s="196"/>
      <c r="J1247" s="114"/>
      <c r="BB1247" s="117"/>
      <c r="BC1247" s="117"/>
      <c r="BD1247" s="117"/>
    </row>
    <row r="1248" spans="1:56" ht="15">
      <c r="A1248" s="114"/>
      <c r="B1248" s="693"/>
      <c r="C1248" s="196"/>
      <c r="D1248" s="196"/>
      <c r="E1248" s="196"/>
      <c r="F1248" s="284"/>
      <c r="G1248" s="196"/>
      <c r="H1248" s="196"/>
      <c r="I1248" s="196"/>
      <c r="J1248" s="114"/>
      <c r="BB1248" s="117"/>
      <c r="BC1248" s="117"/>
      <c r="BD1248" s="117"/>
    </row>
    <row r="1249" spans="1:56" ht="15">
      <c r="A1249" s="114"/>
      <c r="B1249" s="691" t="s">
        <v>502</v>
      </c>
      <c r="C1249" s="196"/>
      <c r="D1249" s="196"/>
      <c r="E1249" s="196"/>
      <c r="F1249" s="284"/>
      <c r="G1249" s="196"/>
      <c r="H1249" s="196"/>
      <c r="I1249" s="196"/>
      <c r="J1249" s="114"/>
      <c r="BB1249" s="117"/>
      <c r="BC1249" s="117"/>
      <c r="BD1249" s="117"/>
    </row>
    <row r="1250" spans="1:56" ht="15">
      <c r="A1250" s="114"/>
      <c r="B1250" s="692" t="s">
        <v>352</v>
      </c>
      <c r="C1250" s="280">
        <v>3542</v>
      </c>
      <c r="D1250" s="286" t="s">
        <v>12</v>
      </c>
      <c r="E1250" s="1325" t="s">
        <v>503</v>
      </c>
      <c r="F1250" s="1326"/>
      <c r="G1250" s="196"/>
      <c r="H1250" s="196"/>
      <c r="I1250" s="196"/>
      <c r="J1250" s="114"/>
      <c r="BB1250" s="117"/>
      <c r="BC1250" s="117"/>
      <c r="BD1250" s="117"/>
    </row>
    <row r="1251" spans="1:56" ht="15">
      <c r="A1251" s="114"/>
      <c r="B1251" s="693"/>
      <c r="C1251" s="196"/>
      <c r="D1251" s="196"/>
      <c r="E1251" s="196"/>
      <c r="F1251" s="284"/>
      <c r="G1251" s="196"/>
      <c r="H1251" s="196"/>
      <c r="I1251" s="196"/>
      <c r="J1251" s="114"/>
      <c r="BB1251" s="117"/>
      <c r="BC1251" s="117"/>
      <c r="BD1251" s="117"/>
    </row>
    <row r="1252" spans="1:56" ht="15">
      <c r="A1252" s="114"/>
      <c r="B1252" s="691" t="s">
        <v>504</v>
      </c>
      <c r="C1252" s="196"/>
      <c r="D1252" s="196"/>
      <c r="E1252" s="196"/>
      <c r="F1252" s="284"/>
      <c r="G1252" s="196"/>
      <c r="H1252" s="196"/>
      <c r="I1252" s="196"/>
      <c r="J1252" s="114"/>
      <c r="BB1252" s="117"/>
      <c r="BC1252" s="117"/>
      <c r="BD1252" s="117"/>
    </row>
    <row r="1253" spans="1:56" ht="15">
      <c r="A1253" s="114"/>
      <c r="B1253" s="692" t="s">
        <v>353</v>
      </c>
      <c r="C1253" s="280">
        <v>478</v>
      </c>
      <c r="D1253" s="286" t="s">
        <v>12</v>
      </c>
      <c r="E1253" s="1199" t="s">
        <v>505</v>
      </c>
      <c r="F1253" s="1200"/>
      <c r="G1253" s="196"/>
      <c r="H1253" s="196"/>
      <c r="I1253" s="196"/>
      <c r="J1253" s="114"/>
      <c r="BB1253" s="117"/>
      <c r="BC1253" s="117"/>
      <c r="BD1253" s="117"/>
    </row>
    <row r="1254" spans="1:56" ht="15">
      <c r="A1254" s="114"/>
      <c r="B1254" s="692" t="s">
        <v>352</v>
      </c>
      <c r="C1254" s="280">
        <v>4531</v>
      </c>
      <c r="D1254" s="286" t="s">
        <v>12</v>
      </c>
      <c r="E1254" s="1201"/>
      <c r="F1254" s="1202"/>
      <c r="G1254" s="196"/>
      <c r="H1254" s="196"/>
      <c r="I1254" s="196"/>
      <c r="J1254" s="114"/>
      <c r="BB1254" s="117"/>
      <c r="BC1254" s="117"/>
      <c r="BD1254" s="117"/>
    </row>
    <row r="1255" spans="1:56" ht="15">
      <c r="A1255" s="114"/>
      <c r="B1255" s="694"/>
      <c r="C1255" s="211"/>
      <c r="D1255" s="196"/>
      <c r="E1255" s="288"/>
      <c r="F1255" s="284"/>
      <c r="G1255" s="196"/>
      <c r="H1255" s="196"/>
      <c r="I1255" s="196"/>
      <c r="J1255" s="114"/>
      <c r="BB1255" s="117"/>
      <c r="BC1255" s="117"/>
      <c r="BD1255" s="117"/>
    </row>
    <row r="1256" spans="1:56">
      <c r="A1256" s="114"/>
      <c r="B1256" s="691" t="s">
        <v>351</v>
      </c>
      <c r="C1256" s="115"/>
      <c r="D1256" s="115"/>
      <c r="E1256" s="115"/>
      <c r="F1256" s="182"/>
      <c r="G1256" s="115"/>
      <c r="H1256" s="115"/>
      <c r="I1256" s="82"/>
      <c r="J1256" s="114"/>
      <c r="BB1256" s="117"/>
      <c r="BC1256" s="117"/>
      <c r="BD1256" s="117"/>
    </row>
    <row r="1257" spans="1:56">
      <c r="A1257" s="114"/>
      <c r="B1257" s="692" t="s">
        <v>352</v>
      </c>
      <c r="C1257" s="203"/>
      <c r="D1257" s="204"/>
      <c r="E1257" s="302">
        <f>C1247+C1243+C1250+C1254</f>
        <v>10585</v>
      </c>
      <c r="F1257" s="216" t="s">
        <v>12</v>
      </c>
      <c r="G1257" s="115"/>
      <c r="H1257" s="236"/>
      <c r="I1257" s="3"/>
      <c r="J1257" s="114"/>
      <c r="BB1257" s="117"/>
      <c r="BC1257" s="117"/>
      <c r="BD1257" s="117"/>
    </row>
    <row r="1258" spans="1:56" ht="16.5" thickBot="1">
      <c r="A1258" s="114"/>
      <c r="B1258" s="695" t="s">
        <v>353</v>
      </c>
      <c r="C1258" s="217"/>
      <c r="D1258" s="218"/>
      <c r="E1258" s="304">
        <f>C1241+C1242+C1246+C1253</f>
        <v>3627</v>
      </c>
      <c r="F1258" s="219" t="s">
        <v>12</v>
      </c>
      <c r="G1258" s="115"/>
      <c r="H1258" s="236"/>
      <c r="I1258" s="3"/>
      <c r="J1258" s="114"/>
      <c r="BB1258" s="117"/>
      <c r="BC1258" s="117"/>
      <c r="BD1258" s="117"/>
    </row>
    <row r="1259" spans="1:56">
      <c r="A1259" s="114"/>
      <c r="B1259" s="207"/>
      <c r="C1259" s="208"/>
      <c r="D1259" s="208"/>
      <c r="E1259" s="209"/>
      <c r="F1259" s="207"/>
      <c r="G1259" s="115"/>
      <c r="H1259" s="115"/>
      <c r="I1259" s="82"/>
      <c r="J1259" s="114"/>
      <c r="BB1259" s="117"/>
      <c r="BC1259" s="117"/>
      <c r="BD1259" s="117"/>
    </row>
    <row r="1260" spans="1:56" ht="16.5" customHeight="1">
      <c r="A1260" s="114"/>
      <c r="B1260" s="207"/>
      <c r="C1260" s="230"/>
      <c r="D1260" s="230"/>
      <c r="E1260" s="211"/>
      <c r="F1260" s="196"/>
      <c r="G1260" s="196"/>
      <c r="H1260" s="196"/>
      <c r="I1260" s="196"/>
      <c r="J1260" s="114"/>
      <c r="AV1260" s="117"/>
      <c r="AW1260" s="117"/>
      <c r="AX1260" s="117"/>
      <c r="AY1260" s="117"/>
      <c r="AZ1260" s="117"/>
      <c r="BA1260" s="117"/>
      <c r="BB1260" s="117"/>
      <c r="BC1260" s="117"/>
      <c r="BD1260" s="117"/>
    </row>
    <row r="1261" spans="1:56" ht="15">
      <c r="A1261" s="114"/>
      <c r="B1261" s="778" t="s">
        <v>2276</v>
      </c>
      <c r="C1261" s="239"/>
      <c r="D1261" s="239"/>
      <c r="E1261" s="239"/>
      <c r="F1261" s="239"/>
      <c r="G1261" s="239"/>
      <c r="H1261" s="240"/>
      <c r="I1261" s="240"/>
      <c r="J1261" s="351"/>
      <c r="BB1261" s="117"/>
      <c r="BC1261" s="117"/>
      <c r="BD1261" s="117"/>
    </row>
    <row r="1262" spans="1:56" ht="15">
      <c r="A1262" s="114"/>
      <c r="B1262" s="288" t="s">
        <v>1787</v>
      </c>
      <c r="C1262" s="230"/>
      <c r="D1262" s="230"/>
      <c r="E1262" s="384"/>
      <c r="F1262" s="196"/>
      <c r="G1262" s="196"/>
      <c r="H1262" s="196"/>
      <c r="I1262" s="196"/>
      <c r="J1262" s="114"/>
      <c r="AW1262" s="117"/>
      <c r="AX1262" s="117"/>
      <c r="AY1262" s="117"/>
      <c r="AZ1262" s="117"/>
      <c r="BA1262" s="117"/>
      <c r="BB1262" s="117"/>
      <c r="BC1262" s="117"/>
      <c r="BD1262" s="117"/>
    </row>
    <row r="1263" spans="1:56" ht="15">
      <c r="A1263" s="114"/>
      <c r="B1263" s="296"/>
      <c r="C1263" s="81"/>
      <c r="D1263" s="81"/>
      <c r="E1263" s="81"/>
      <c r="F1263" s="81"/>
      <c r="G1263" s="81"/>
      <c r="H1263" s="82"/>
      <c r="I1263" s="82"/>
      <c r="J1263" s="114"/>
      <c r="BB1263" s="117"/>
      <c r="BC1263" s="117"/>
      <c r="BD1263" s="117"/>
    </row>
    <row r="1264" spans="1:56" ht="15">
      <c r="A1264" s="114"/>
      <c r="B1264" s="293"/>
      <c r="C1264" s="81"/>
      <c r="D1264" s="81"/>
      <c r="E1264" s="81"/>
      <c r="F1264" s="81"/>
      <c r="G1264" s="81"/>
      <c r="H1264" s="82"/>
      <c r="I1264" s="82"/>
      <c r="J1264" s="114"/>
      <c r="BB1264" s="117"/>
      <c r="BC1264" s="117"/>
      <c r="BD1264" s="117"/>
    </row>
    <row r="1265" spans="1:56" ht="15">
      <c r="A1265" s="114"/>
      <c r="B1265" s="750" t="s">
        <v>97</v>
      </c>
      <c r="C1265" s="751" t="s">
        <v>61</v>
      </c>
      <c r="D1265" s="751" t="s">
        <v>82</v>
      </c>
      <c r="E1265" s="751" t="s">
        <v>66</v>
      </c>
      <c r="F1265" s="751" t="s">
        <v>62</v>
      </c>
      <c r="G1265" s="802" t="s">
        <v>99</v>
      </c>
      <c r="H1265" s="802" t="s">
        <v>68</v>
      </c>
      <c r="I1265" s="82"/>
      <c r="J1265" s="114"/>
      <c r="BB1265" s="117"/>
      <c r="BC1265" s="117"/>
      <c r="BD1265" s="117"/>
    </row>
    <row r="1266" spans="1:56" ht="15">
      <c r="A1266" s="114"/>
      <c r="B1266" s="753" t="s">
        <v>157</v>
      </c>
      <c r="C1266" s="754">
        <v>1</v>
      </c>
      <c r="D1266" s="755">
        <v>0.2</v>
      </c>
      <c r="E1266" s="756">
        <v>0.45</v>
      </c>
      <c r="F1266" s="756">
        <v>2.75</v>
      </c>
      <c r="G1266" s="828">
        <f>D1266*E1266*F1266*C1266</f>
        <v>0.24750000000000003</v>
      </c>
      <c r="H1266" s="828">
        <f>((E1266*2)+D1266)*F1266*C1266</f>
        <v>3.0250000000000004</v>
      </c>
      <c r="I1266" s="82"/>
      <c r="J1266" s="114"/>
      <c r="BB1266" s="117"/>
      <c r="BC1266" s="117"/>
      <c r="BD1266" s="117"/>
    </row>
    <row r="1267" spans="1:56" ht="15">
      <c r="A1267" s="114"/>
      <c r="B1267" s="753" t="s">
        <v>119</v>
      </c>
      <c r="C1267" s="754">
        <v>1</v>
      </c>
      <c r="D1267" s="755">
        <v>0.2</v>
      </c>
      <c r="E1267" s="756">
        <v>0.45</v>
      </c>
      <c r="F1267" s="756">
        <v>2.75</v>
      </c>
      <c r="G1267" s="828">
        <f>D1267*E1267*F1267*C1267</f>
        <v>0.24750000000000003</v>
      </c>
      <c r="H1267" s="828">
        <f>((E1267*2)+D1267)*F1267*C1267</f>
        <v>3.0250000000000004</v>
      </c>
      <c r="I1267" s="82"/>
      <c r="J1267" s="114"/>
      <c r="BB1267" s="117"/>
      <c r="BC1267" s="117"/>
      <c r="BD1267" s="117"/>
    </row>
    <row r="1268" spans="1:56" ht="15">
      <c r="A1268" s="114"/>
      <c r="B1268" s="753" t="s">
        <v>158</v>
      </c>
      <c r="C1268" s="754">
        <v>1</v>
      </c>
      <c r="D1268" s="755">
        <v>0.2</v>
      </c>
      <c r="E1268" s="756">
        <v>0.45</v>
      </c>
      <c r="F1268" s="756">
        <v>4.2</v>
      </c>
      <c r="G1268" s="828">
        <f>D1268*E1268*F1268*C1268</f>
        <v>0.37800000000000006</v>
      </c>
      <c r="H1268" s="828">
        <f>((E1268*2)+D1268)*F1268*C1268</f>
        <v>4.620000000000001</v>
      </c>
      <c r="I1268" s="82"/>
      <c r="J1268" s="114"/>
      <c r="BB1268" s="117"/>
      <c r="BC1268" s="117"/>
      <c r="BD1268" s="117"/>
    </row>
    <row r="1269" spans="1:56" ht="15">
      <c r="A1269" s="114"/>
      <c r="B1269" s="753" t="s">
        <v>153</v>
      </c>
      <c r="C1269" s="754">
        <v>1</v>
      </c>
      <c r="D1269" s="755">
        <v>0.2</v>
      </c>
      <c r="E1269" s="756">
        <v>0.45</v>
      </c>
      <c r="F1269" s="756">
        <v>4.2</v>
      </c>
      <c r="G1269" s="828">
        <f>D1269*E1269*F1269*C1269</f>
        <v>0.37800000000000006</v>
      </c>
      <c r="H1269" s="828">
        <f>((E1269*2)+D1269)*F1269*C1269</f>
        <v>4.620000000000001</v>
      </c>
      <c r="I1269" s="82"/>
      <c r="J1269" s="114"/>
      <c r="BB1269" s="117"/>
      <c r="BC1269" s="117"/>
      <c r="BD1269" s="117"/>
    </row>
    <row r="1270" spans="1:56" ht="15">
      <c r="A1270" s="114"/>
      <c r="B1270" s="114"/>
      <c r="C1270" s="114"/>
      <c r="D1270" s="114"/>
      <c r="E1270" s="114"/>
      <c r="F1270" s="758" t="s">
        <v>76</v>
      </c>
      <c r="G1270" s="228">
        <f>SUM(G1266:G1269)</f>
        <v>1.2510000000000001</v>
      </c>
      <c r="H1270" s="228">
        <f>SUM(H1266:H1269)</f>
        <v>15.290000000000003</v>
      </c>
      <c r="I1270" s="82"/>
      <c r="J1270" s="114"/>
      <c r="BB1270" s="117"/>
      <c r="BC1270" s="117"/>
      <c r="BD1270" s="117"/>
    </row>
    <row r="1271" spans="1:56" ht="15">
      <c r="A1271" s="114"/>
      <c r="B1271" s="114"/>
      <c r="C1271" s="114"/>
      <c r="D1271" s="114"/>
      <c r="E1271" s="114"/>
      <c r="F1271" s="114"/>
      <c r="G1271" s="114"/>
      <c r="H1271" s="114"/>
      <c r="I1271" s="82"/>
      <c r="J1271" s="114"/>
      <c r="BB1271" s="117"/>
      <c r="BC1271" s="117"/>
      <c r="BD1271" s="117"/>
    </row>
    <row r="1272" spans="1:56" ht="15">
      <c r="A1272" s="114"/>
      <c r="B1272" s="750" t="s">
        <v>96</v>
      </c>
      <c r="C1272" s="751" t="s">
        <v>61</v>
      </c>
      <c r="D1272" s="751" t="s">
        <v>82</v>
      </c>
      <c r="E1272" s="751" t="s">
        <v>66</v>
      </c>
      <c r="F1272" s="751" t="s">
        <v>62</v>
      </c>
      <c r="G1272" s="802" t="s">
        <v>99</v>
      </c>
      <c r="H1272" s="802" t="s">
        <v>68</v>
      </c>
      <c r="I1272" s="82"/>
      <c r="J1272" s="114"/>
      <c r="BB1272" s="117"/>
      <c r="BC1272" s="117"/>
      <c r="BD1272" s="117"/>
    </row>
    <row r="1273" spans="1:56" ht="15">
      <c r="A1273" s="114"/>
      <c r="B1273" s="753" t="s">
        <v>506</v>
      </c>
      <c r="C1273" s="754">
        <v>1</v>
      </c>
      <c r="D1273" s="755">
        <v>0.2</v>
      </c>
      <c r="E1273" s="756">
        <v>0.2</v>
      </c>
      <c r="F1273" s="756">
        <v>3.45</v>
      </c>
      <c r="G1273" s="828">
        <f t="shared" ref="G1273:G1276" si="24">D1273*E1273*F1273*C1273</f>
        <v>0.13800000000000004</v>
      </c>
      <c r="H1273" s="828">
        <f t="shared" ref="H1273:H1276" si="25">(D1273+E1273)*2*F1273*C1273</f>
        <v>2.7600000000000002</v>
      </c>
      <c r="I1273" s="82"/>
      <c r="J1273" s="114"/>
      <c r="BB1273" s="117"/>
      <c r="BC1273" s="117"/>
      <c r="BD1273" s="117"/>
    </row>
    <row r="1274" spans="1:56" ht="15">
      <c r="A1274" s="114"/>
      <c r="B1274" s="753" t="s">
        <v>507</v>
      </c>
      <c r="C1274" s="754">
        <v>1</v>
      </c>
      <c r="D1274" s="755">
        <v>0.2</v>
      </c>
      <c r="E1274" s="756">
        <v>0.2</v>
      </c>
      <c r="F1274" s="756">
        <v>3.45</v>
      </c>
      <c r="G1274" s="828">
        <f t="shared" si="24"/>
        <v>0.13800000000000004</v>
      </c>
      <c r="H1274" s="828">
        <f t="shared" si="25"/>
        <v>2.7600000000000002</v>
      </c>
      <c r="I1274" s="82"/>
      <c r="J1274" s="114"/>
      <c r="BB1274" s="117"/>
      <c r="BC1274" s="117"/>
      <c r="BD1274" s="117"/>
    </row>
    <row r="1275" spans="1:56" ht="15">
      <c r="A1275" s="114"/>
      <c r="B1275" s="753" t="s">
        <v>508</v>
      </c>
      <c r="C1275" s="754">
        <v>1</v>
      </c>
      <c r="D1275" s="755">
        <v>0.2</v>
      </c>
      <c r="E1275" s="756">
        <v>0.2</v>
      </c>
      <c r="F1275" s="756">
        <v>3.45</v>
      </c>
      <c r="G1275" s="828">
        <f t="shared" si="24"/>
        <v>0.13800000000000004</v>
      </c>
      <c r="H1275" s="828">
        <f t="shared" si="25"/>
        <v>2.7600000000000002</v>
      </c>
      <c r="I1275" s="82"/>
      <c r="J1275" s="114"/>
      <c r="BB1275" s="117"/>
      <c r="BC1275" s="117"/>
      <c r="BD1275" s="117"/>
    </row>
    <row r="1276" spans="1:56" ht="15">
      <c r="A1276" s="114"/>
      <c r="B1276" s="753" t="s">
        <v>509</v>
      </c>
      <c r="C1276" s="754">
        <v>1</v>
      </c>
      <c r="D1276" s="755">
        <v>0.2</v>
      </c>
      <c r="E1276" s="756">
        <v>0.2</v>
      </c>
      <c r="F1276" s="756">
        <v>3.45</v>
      </c>
      <c r="G1276" s="828">
        <f t="shared" si="24"/>
        <v>0.13800000000000004</v>
      </c>
      <c r="H1276" s="828">
        <f t="shared" si="25"/>
        <v>2.7600000000000002</v>
      </c>
      <c r="I1276" s="82"/>
      <c r="J1276" s="114"/>
      <c r="BB1276" s="117"/>
      <c r="BC1276" s="117"/>
      <c r="BD1276" s="117"/>
    </row>
    <row r="1277" spans="1:56" ht="15">
      <c r="A1277" s="114"/>
      <c r="B1277" s="753" t="s">
        <v>510</v>
      </c>
      <c r="C1277" s="754">
        <v>1</v>
      </c>
      <c r="D1277" s="755">
        <v>0.4</v>
      </c>
      <c r="E1277" s="756">
        <v>0.5</v>
      </c>
      <c r="F1277" s="756">
        <v>4.8</v>
      </c>
      <c r="G1277" s="828">
        <f t="shared" ref="G1277:G1278" si="26">D1277*E1277*F1277*C1277</f>
        <v>0.96</v>
      </c>
      <c r="H1277" s="828">
        <f t="shared" ref="H1277:H1278" si="27">(D1277+E1277)*2*F1277*C1277</f>
        <v>8.64</v>
      </c>
      <c r="I1277" s="82"/>
      <c r="J1277" s="114"/>
      <c r="BB1277" s="117"/>
      <c r="BC1277" s="117"/>
      <c r="BD1277" s="117"/>
    </row>
    <row r="1278" spans="1:56" ht="15">
      <c r="A1278" s="114"/>
      <c r="B1278" s="753" t="s">
        <v>511</v>
      </c>
      <c r="C1278" s="754">
        <v>1</v>
      </c>
      <c r="D1278" s="755">
        <v>0.4</v>
      </c>
      <c r="E1278" s="756">
        <v>0.5</v>
      </c>
      <c r="F1278" s="756">
        <v>4.8</v>
      </c>
      <c r="G1278" s="828">
        <f t="shared" si="26"/>
        <v>0.96</v>
      </c>
      <c r="H1278" s="828">
        <f t="shared" si="27"/>
        <v>8.64</v>
      </c>
      <c r="I1278" s="82"/>
      <c r="J1278" s="114"/>
      <c r="BB1278" s="117"/>
      <c r="BC1278" s="117"/>
      <c r="BD1278" s="117"/>
    </row>
    <row r="1279" spans="1:56" ht="15">
      <c r="A1279" s="114"/>
      <c r="B1279" s="114"/>
      <c r="C1279" s="114"/>
      <c r="D1279" s="114"/>
      <c r="E1279" s="114"/>
      <c r="F1279" s="758" t="s">
        <v>76</v>
      </c>
      <c r="G1279" s="228">
        <f>SUM(G1273:G1278)</f>
        <v>2.472</v>
      </c>
      <c r="H1279" s="228">
        <f>SUM(H1273:H1278)</f>
        <v>28.32</v>
      </c>
      <c r="I1279" s="82"/>
      <c r="J1279" s="114"/>
      <c r="BB1279" s="117"/>
      <c r="BC1279" s="117"/>
      <c r="BD1279" s="117"/>
    </row>
    <row r="1280" spans="1:56">
      <c r="A1280" s="114"/>
      <c r="B1280" s="264"/>
      <c r="C1280" s="115"/>
      <c r="D1280" s="115"/>
      <c r="E1280" s="115"/>
      <c r="F1280" s="227"/>
      <c r="G1280" s="257"/>
      <c r="H1280" s="257"/>
      <c r="I1280" s="82"/>
      <c r="J1280" s="114"/>
      <c r="BB1280" s="117"/>
      <c r="BC1280" s="117"/>
      <c r="BD1280" s="117"/>
    </row>
    <row r="1281" spans="1:56" ht="15">
      <c r="A1281" s="114"/>
      <c r="B1281" s="833" t="s">
        <v>116</v>
      </c>
      <c r="C1281" s="834" t="s">
        <v>61</v>
      </c>
      <c r="D1281" s="751" t="s">
        <v>395</v>
      </c>
      <c r="E1281" s="751" t="s">
        <v>396</v>
      </c>
      <c r="F1281" s="834" t="s">
        <v>48</v>
      </c>
      <c r="G1281" s="802" t="s">
        <v>95</v>
      </c>
      <c r="H1281" s="802" t="s">
        <v>68</v>
      </c>
      <c r="I1281" s="82"/>
      <c r="J1281" s="114"/>
      <c r="BB1281" s="117"/>
      <c r="BC1281" s="117"/>
      <c r="BD1281" s="117"/>
    </row>
    <row r="1282" spans="1:56" ht="15">
      <c r="A1282" s="114"/>
      <c r="B1282" s="307" t="s">
        <v>89</v>
      </c>
      <c r="C1282" s="835">
        <v>1</v>
      </c>
      <c r="D1282" s="194">
        <v>11.55</v>
      </c>
      <c r="E1282" s="181">
        <v>0.12</v>
      </c>
      <c r="F1282" s="308"/>
      <c r="G1282" s="475">
        <f>C1282*D1282*E1282</f>
        <v>1.3860000000000001</v>
      </c>
      <c r="H1282" s="476">
        <f>D1282</f>
        <v>11.55</v>
      </c>
      <c r="I1282" s="82"/>
      <c r="J1282" s="114"/>
      <c r="BB1282" s="117"/>
      <c r="BC1282" s="117"/>
      <c r="BD1282" s="117"/>
    </row>
    <row r="1283" spans="1:56">
      <c r="A1283" s="114"/>
      <c r="B1283" s="264"/>
      <c r="C1283" s="115"/>
      <c r="D1283" s="115"/>
      <c r="E1283" s="115"/>
      <c r="F1283" s="836" t="s">
        <v>76</v>
      </c>
      <c r="G1283" s="261">
        <f>SUM(G1282:G1282)</f>
        <v>1.3860000000000001</v>
      </c>
      <c r="H1283" s="261">
        <f>SUM(H1282:H1282)</f>
        <v>11.55</v>
      </c>
      <c r="I1283" s="82"/>
      <c r="J1283" s="114"/>
      <c r="BB1283" s="117"/>
      <c r="BC1283" s="117"/>
      <c r="BD1283" s="117"/>
    </row>
    <row r="1284" spans="1:56" ht="16.5" thickBot="1">
      <c r="A1284" s="114"/>
      <c r="B1284" s="115"/>
      <c r="C1284" s="115"/>
      <c r="D1284" s="115"/>
      <c r="E1284" s="115"/>
      <c r="F1284" s="115"/>
      <c r="G1284" s="115"/>
      <c r="H1284" s="115"/>
      <c r="I1284" s="82"/>
      <c r="J1284" s="114"/>
      <c r="BB1284" s="117"/>
      <c r="BC1284" s="117"/>
      <c r="BD1284" s="117"/>
    </row>
    <row r="1285" spans="1:56">
      <c r="A1285" s="114"/>
      <c r="B1285" s="1285" t="s">
        <v>98</v>
      </c>
      <c r="C1285" s="1286"/>
      <c r="D1285" s="1286"/>
      <c r="E1285" s="1286"/>
      <c r="F1285" s="1287"/>
      <c r="G1285" s="115"/>
      <c r="H1285" s="115"/>
      <c r="I1285" s="82"/>
      <c r="J1285" s="114"/>
      <c r="BB1285" s="117"/>
      <c r="BC1285" s="117"/>
      <c r="BD1285" s="117"/>
    </row>
    <row r="1286" spans="1:56">
      <c r="A1286" s="114"/>
      <c r="B1286" s="634"/>
      <c r="C1286" s="115"/>
      <c r="D1286" s="115"/>
      <c r="E1286" s="115"/>
      <c r="F1286" s="182"/>
      <c r="G1286" s="115"/>
      <c r="H1286" s="115"/>
      <c r="I1286" s="82"/>
      <c r="J1286" s="114"/>
      <c r="BB1286" s="117"/>
      <c r="BC1286" s="117"/>
      <c r="BD1286" s="117"/>
    </row>
    <row r="1287" spans="1:56">
      <c r="A1287" s="114"/>
      <c r="B1287" s="635" t="s">
        <v>315</v>
      </c>
      <c r="C1287" s="203"/>
      <c r="D1287" s="204"/>
      <c r="E1287" s="205">
        <f>H1270+H1279+H1283</f>
        <v>55.16</v>
      </c>
      <c r="F1287" s="216" t="s">
        <v>13</v>
      </c>
      <c r="G1287" s="115"/>
      <c r="H1287" s="115"/>
      <c r="I1287" s="82"/>
      <c r="J1287" s="114"/>
      <c r="BB1287" s="117"/>
      <c r="BC1287" s="117"/>
      <c r="BD1287" s="117"/>
    </row>
    <row r="1288" spans="1:56" ht="16.5" thickBot="1">
      <c r="A1288" s="114"/>
      <c r="B1288" s="779" t="s">
        <v>316</v>
      </c>
      <c r="C1288" s="217"/>
      <c r="D1288" s="218"/>
      <c r="E1288" s="304">
        <f>G1270+G1279+G1282</f>
        <v>5.109</v>
      </c>
      <c r="F1288" s="219" t="s">
        <v>100</v>
      </c>
      <c r="G1288" s="115"/>
      <c r="H1288" s="115"/>
      <c r="I1288" s="82"/>
      <c r="J1288" s="114"/>
      <c r="BB1288" s="117"/>
      <c r="BC1288" s="117"/>
      <c r="BD1288" s="117"/>
    </row>
    <row r="1289" spans="1:56">
      <c r="A1289" s="114"/>
      <c r="B1289" s="115"/>
      <c r="C1289" s="115"/>
      <c r="D1289" s="115"/>
      <c r="E1289" s="115"/>
      <c r="F1289" s="115"/>
      <c r="G1289" s="115"/>
      <c r="H1289" s="115"/>
      <c r="I1289" s="115"/>
      <c r="J1289" s="114"/>
      <c r="BB1289" s="117"/>
      <c r="BC1289" s="117"/>
      <c r="BD1289" s="117"/>
    </row>
    <row r="1290" spans="1:56" ht="16.5" thickBot="1">
      <c r="A1290" s="114"/>
      <c r="B1290" s="115"/>
      <c r="C1290" s="115"/>
      <c r="D1290" s="115"/>
      <c r="E1290" s="115"/>
      <c r="F1290" s="115"/>
      <c r="G1290" s="115"/>
      <c r="H1290" s="115"/>
      <c r="I1290" s="115"/>
      <c r="J1290" s="114"/>
      <c r="BB1290" s="117"/>
      <c r="BC1290" s="117"/>
      <c r="BD1290" s="117"/>
    </row>
    <row r="1291" spans="1:56">
      <c r="A1291" s="114"/>
      <c r="B1291" s="1285" t="s">
        <v>320</v>
      </c>
      <c r="C1291" s="1286"/>
      <c r="D1291" s="1286"/>
      <c r="E1291" s="1286"/>
      <c r="F1291" s="1287"/>
      <c r="G1291" s="115"/>
      <c r="H1291" s="115"/>
      <c r="I1291" s="82"/>
      <c r="J1291" s="114"/>
      <c r="BB1291" s="117"/>
      <c r="BC1291" s="117"/>
      <c r="BD1291" s="117"/>
    </row>
    <row r="1292" spans="1:56">
      <c r="A1292" s="114"/>
      <c r="B1292" s="690"/>
      <c r="C1292" s="115"/>
      <c r="D1292" s="115"/>
      <c r="E1292" s="115"/>
      <c r="F1292" s="182"/>
      <c r="G1292" s="115"/>
      <c r="H1292" s="115"/>
      <c r="I1292" s="82"/>
      <c r="J1292" s="114"/>
      <c r="BB1292" s="117"/>
      <c r="BC1292" s="117"/>
      <c r="BD1292" s="117"/>
    </row>
    <row r="1293" spans="1:56" ht="15">
      <c r="A1293" s="114"/>
      <c r="B1293" s="691" t="s">
        <v>512</v>
      </c>
      <c r="C1293" s="196"/>
      <c r="D1293" s="196"/>
      <c r="E1293" s="196"/>
      <c r="F1293" s="284"/>
      <c r="G1293" s="196"/>
      <c r="H1293" s="196"/>
      <c r="I1293" s="196"/>
      <c r="J1293" s="114"/>
      <c r="BB1293" s="117"/>
      <c r="BC1293" s="117"/>
      <c r="BD1293" s="117"/>
    </row>
    <row r="1294" spans="1:56" ht="15">
      <c r="A1294" s="114"/>
      <c r="B1294" s="692" t="s">
        <v>353</v>
      </c>
      <c r="C1294" s="280">
        <v>12</v>
      </c>
      <c r="D1294" s="286" t="s">
        <v>12</v>
      </c>
      <c r="E1294" s="1199" t="s">
        <v>513</v>
      </c>
      <c r="F1294" s="1200"/>
      <c r="G1294" s="196"/>
      <c r="H1294" s="196"/>
      <c r="I1294" s="196"/>
      <c r="J1294" s="114"/>
      <c r="BB1294" s="117"/>
      <c r="BC1294" s="117"/>
      <c r="BD1294" s="117"/>
    </row>
    <row r="1295" spans="1:56" ht="15">
      <c r="A1295" s="114"/>
      <c r="B1295" s="692" t="s">
        <v>352</v>
      </c>
      <c r="C1295" s="280">
        <v>1408</v>
      </c>
      <c r="D1295" s="286" t="s">
        <v>12</v>
      </c>
      <c r="E1295" s="1201"/>
      <c r="F1295" s="1202"/>
      <c r="G1295" s="196"/>
      <c r="H1295" s="196"/>
      <c r="I1295" s="196"/>
      <c r="J1295" s="114"/>
      <c r="BB1295" s="117"/>
      <c r="BC1295" s="117"/>
      <c r="BD1295" s="117"/>
    </row>
    <row r="1296" spans="1:56" ht="15">
      <c r="A1296" s="114"/>
      <c r="B1296" s="694"/>
      <c r="C1296" s="211"/>
      <c r="D1296" s="196"/>
      <c r="E1296" s="288"/>
      <c r="F1296" s="284"/>
      <c r="G1296" s="196"/>
      <c r="H1296" s="196"/>
      <c r="I1296" s="196"/>
      <c r="J1296" s="114"/>
      <c r="BB1296" s="117"/>
      <c r="BC1296" s="117"/>
      <c r="BD1296" s="117"/>
    </row>
    <row r="1297" spans="1:56" ht="15">
      <c r="A1297" s="114"/>
      <c r="B1297" s="691" t="s">
        <v>351</v>
      </c>
      <c r="C1297" s="211"/>
      <c r="D1297" s="196"/>
      <c r="E1297" s="288"/>
      <c r="F1297" s="284"/>
      <c r="G1297" s="196"/>
      <c r="H1297" s="196"/>
      <c r="I1297" s="196"/>
      <c r="J1297" s="114"/>
      <c r="BB1297" s="117"/>
      <c r="BC1297" s="117"/>
      <c r="BD1297" s="117"/>
    </row>
    <row r="1298" spans="1:56">
      <c r="A1298" s="114"/>
      <c r="B1298" s="692" t="s">
        <v>352</v>
      </c>
      <c r="C1298" s="203"/>
      <c r="D1298" s="204"/>
      <c r="E1298" s="302">
        <f>C1295</f>
        <v>1408</v>
      </c>
      <c r="F1298" s="216" t="s">
        <v>12</v>
      </c>
      <c r="G1298" s="115"/>
      <c r="H1298" s="236"/>
      <c r="I1298" s="3"/>
      <c r="J1298" s="114"/>
      <c r="BB1298" s="117"/>
      <c r="BC1298" s="117"/>
      <c r="BD1298" s="117"/>
    </row>
    <row r="1299" spans="1:56" ht="16.5" thickBot="1">
      <c r="A1299" s="114"/>
      <c r="B1299" s="695" t="s">
        <v>353</v>
      </c>
      <c r="C1299" s="217"/>
      <c r="D1299" s="218"/>
      <c r="E1299" s="304">
        <f>C1294</f>
        <v>12</v>
      </c>
      <c r="F1299" s="219" t="s">
        <v>12</v>
      </c>
      <c r="G1299" s="115"/>
      <c r="H1299" s="236"/>
      <c r="I1299" s="3"/>
      <c r="J1299" s="114"/>
      <c r="BB1299" s="117"/>
      <c r="BC1299" s="117"/>
      <c r="BD1299" s="117"/>
    </row>
    <row r="1300" spans="1:56">
      <c r="A1300" s="114"/>
      <c r="B1300" s="207"/>
      <c r="C1300" s="208"/>
      <c r="D1300" s="208"/>
      <c r="E1300" s="209"/>
      <c r="F1300" s="207"/>
      <c r="G1300" s="115"/>
      <c r="H1300" s="115"/>
      <c r="I1300" s="82"/>
      <c r="J1300" s="4"/>
      <c r="BC1300" s="117"/>
      <c r="BD1300" s="117"/>
    </row>
    <row r="1301" spans="1:56" ht="15">
      <c r="A1301" s="114"/>
      <c r="B1301" s="778" t="s">
        <v>2297</v>
      </c>
      <c r="C1301" s="239"/>
      <c r="D1301" s="239"/>
      <c r="E1301" s="239"/>
      <c r="F1301" s="239"/>
      <c r="G1301" s="322"/>
      <c r="H1301" s="240"/>
      <c r="I1301" s="240"/>
      <c r="J1301" s="352"/>
      <c r="BC1301" s="117"/>
      <c r="BD1301" s="117"/>
    </row>
    <row r="1302" spans="1:56" ht="15">
      <c r="A1302" s="114"/>
      <c r="B1302" s="288" t="s">
        <v>1787</v>
      </c>
      <c r="C1302" s="230"/>
      <c r="D1302" s="230"/>
      <c r="E1302" s="384"/>
      <c r="F1302" s="196"/>
      <c r="G1302" s="196"/>
      <c r="H1302" s="196"/>
      <c r="I1302" s="196"/>
      <c r="J1302" s="114"/>
      <c r="AW1302" s="117"/>
      <c r="AX1302" s="117"/>
      <c r="AY1302" s="117"/>
      <c r="AZ1302" s="117"/>
      <c r="BA1302" s="117"/>
      <c r="BB1302" s="117"/>
      <c r="BC1302" s="117"/>
      <c r="BD1302" s="117"/>
    </row>
    <row r="1303" spans="1:56" ht="15">
      <c r="A1303" s="114"/>
      <c r="B1303" s="296"/>
      <c r="C1303" s="81"/>
      <c r="D1303" s="81"/>
      <c r="E1303" s="81"/>
      <c r="F1303" s="81"/>
      <c r="G1303" s="81"/>
      <c r="H1303" s="82"/>
      <c r="I1303" s="82"/>
      <c r="J1303" s="114"/>
      <c r="BB1303" s="117"/>
      <c r="BC1303" s="117"/>
      <c r="BD1303" s="117"/>
    </row>
    <row r="1304" spans="1:56" ht="15">
      <c r="A1304" s="114"/>
      <c r="B1304" s="293"/>
      <c r="C1304" s="81"/>
      <c r="D1304" s="81"/>
      <c r="E1304" s="81"/>
      <c r="F1304" s="81"/>
      <c r="G1304" s="81"/>
      <c r="H1304" s="82"/>
      <c r="I1304" s="82"/>
      <c r="J1304" s="4"/>
      <c r="BC1304" s="117"/>
      <c r="BD1304" s="117"/>
    </row>
    <row r="1305" spans="1:56" ht="15">
      <c r="A1305" s="114"/>
      <c r="B1305" s="242" t="s">
        <v>135</v>
      </c>
      <c r="C1305" s="268" t="s">
        <v>83</v>
      </c>
      <c r="D1305" s="268" t="s">
        <v>86</v>
      </c>
      <c r="E1305" s="268" t="s">
        <v>103</v>
      </c>
      <c r="F1305" s="268" t="s">
        <v>104</v>
      </c>
      <c r="G1305" s="268" t="s">
        <v>105</v>
      </c>
      <c r="H1305" s="213"/>
      <c r="I1305" s="3"/>
      <c r="J1305" s="4"/>
      <c r="BC1305" s="117"/>
      <c r="BD1305" s="117"/>
    </row>
    <row r="1306" spans="1:56" ht="15">
      <c r="A1306" s="114"/>
      <c r="B1306" s="269" t="s">
        <v>514</v>
      </c>
      <c r="C1306" s="270">
        <v>0.25</v>
      </c>
      <c r="D1306" s="270">
        <v>0.55000000000000004</v>
      </c>
      <c r="E1306" s="270">
        <v>5.91</v>
      </c>
      <c r="F1306" s="256">
        <f>C1306*D1306*E1306</f>
        <v>0.81262500000000004</v>
      </c>
      <c r="G1306" s="256">
        <f>(2*D1306*E1306)+C1306*E1306</f>
        <v>7.9785000000000004</v>
      </c>
      <c r="H1306" s="236"/>
      <c r="I1306" s="3"/>
      <c r="J1306" s="4"/>
      <c r="BC1306" s="117"/>
      <c r="BD1306" s="117"/>
    </row>
    <row r="1307" spans="1:56" ht="15">
      <c r="A1307" s="114"/>
      <c r="B1307" s="244" t="s">
        <v>515</v>
      </c>
      <c r="C1307" s="245">
        <v>0.25</v>
      </c>
      <c r="D1307" s="245">
        <v>0.4</v>
      </c>
      <c r="E1307" s="245">
        <v>1.2</v>
      </c>
      <c r="F1307" s="256">
        <f>C1307*D1307*E1307</f>
        <v>0.12</v>
      </c>
      <c r="G1307" s="202">
        <f>(2*D1307*E1307)+C1307*E1307</f>
        <v>1.26</v>
      </c>
      <c r="H1307" s="236"/>
      <c r="I1307" s="3"/>
      <c r="J1307" s="4"/>
      <c r="BC1307" s="117"/>
      <c r="BD1307" s="117"/>
    </row>
    <row r="1308" spans="1:56" ht="15">
      <c r="A1308" s="114"/>
      <c r="B1308" s="241"/>
      <c r="C1308" s="213"/>
      <c r="D1308" s="236"/>
      <c r="E1308" s="254" t="s">
        <v>76</v>
      </c>
      <c r="F1308" s="228">
        <f>SUM(F1306:F1307)</f>
        <v>0.93262500000000004</v>
      </c>
      <c r="G1308" s="228">
        <f>SUM(G1306:G1307)</f>
        <v>9.2385000000000002</v>
      </c>
      <c r="H1308" s="236"/>
      <c r="I1308" s="3"/>
      <c r="J1308" s="4"/>
      <c r="BC1308" s="117"/>
      <c r="BD1308" s="117"/>
    </row>
    <row r="1309" spans="1:56" s="264" customFormat="1" ht="15">
      <c r="B1309" s="252"/>
      <c r="C1309" s="197"/>
      <c r="D1309" s="198"/>
      <c r="E1309" s="198"/>
      <c r="F1309" s="198"/>
      <c r="G1309" s="198"/>
      <c r="H1309" s="198"/>
      <c r="I1309" s="82"/>
    </row>
    <row r="1310" spans="1:56" s="264" customFormat="1" ht="15">
      <c r="B1310" s="242" t="s">
        <v>160</v>
      </c>
      <c r="C1310" s="199" t="s">
        <v>294</v>
      </c>
      <c r="D1310" s="199" t="s">
        <v>82</v>
      </c>
      <c r="E1310" s="199" t="s">
        <v>66</v>
      </c>
      <c r="F1310" s="199" t="s">
        <v>62</v>
      </c>
      <c r="G1310" s="243" t="s">
        <v>99</v>
      </c>
      <c r="H1310" s="243" t="s">
        <v>68</v>
      </c>
      <c r="I1310" s="82"/>
    </row>
    <row r="1311" spans="1:56" s="266" customFormat="1" ht="15">
      <c r="A1311" s="114"/>
      <c r="B1311" s="269" t="s">
        <v>161</v>
      </c>
      <c r="C1311" s="1077">
        <v>0</v>
      </c>
      <c r="D1311" s="270">
        <v>0.2</v>
      </c>
      <c r="E1311" s="323">
        <v>10.130000000000001</v>
      </c>
      <c r="F1311" s="323">
        <v>6.31</v>
      </c>
      <c r="G1311" s="256">
        <f>(D1311*F1311*E1311)-(C1311*D1311)</f>
        <v>12.784060000000002</v>
      </c>
      <c r="H1311" s="256">
        <f>((E1311*2+D1311)*F1311)-2*C1311</f>
        <v>129.1026</v>
      </c>
      <c r="I1311" s="82"/>
      <c r="J1311" s="114"/>
      <c r="K1311" s="114"/>
      <c r="L1311" s="114"/>
      <c r="M1311" s="114"/>
      <c r="N1311" s="114"/>
      <c r="O1311" s="114"/>
      <c r="P1311" s="114"/>
      <c r="Q1311" s="114"/>
      <c r="R1311" s="114"/>
      <c r="S1311" s="114"/>
      <c r="T1311" s="114"/>
      <c r="U1311" s="114"/>
      <c r="V1311" s="114"/>
      <c r="W1311" s="114"/>
      <c r="X1311" s="114"/>
      <c r="Y1311" s="114"/>
      <c r="Z1311" s="114"/>
      <c r="AA1311" s="114"/>
      <c r="AB1311" s="114"/>
      <c r="AC1311" s="114"/>
      <c r="AD1311" s="114"/>
      <c r="AE1311" s="114"/>
      <c r="AF1311" s="114"/>
      <c r="AG1311" s="114"/>
      <c r="AH1311" s="114"/>
      <c r="AI1311" s="114"/>
      <c r="AJ1311" s="114"/>
      <c r="AK1311" s="114"/>
      <c r="AL1311" s="114"/>
      <c r="AM1311" s="114"/>
      <c r="AN1311" s="114"/>
      <c r="AO1311" s="114"/>
      <c r="AP1311" s="114"/>
      <c r="AQ1311" s="114"/>
      <c r="AR1311" s="114"/>
      <c r="AS1311" s="114"/>
      <c r="AT1311" s="114"/>
      <c r="AU1311" s="114"/>
      <c r="AV1311" s="114"/>
      <c r="AW1311" s="114"/>
      <c r="AX1311" s="114"/>
      <c r="AY1311" s="114"/>
      <c r="AZ1311" s="114"/>
      <c r="BA1311" s="114"/>
    </row>
    <row r="1312" spans="1:56" ht="15">
      <c r="A1312" s="114"/>
      <c r="B1312" s="244" t="s">
        <v>162</v>
      </c>
      <c r="C1312" s="649">
        <v>0</v>
      </c>
      <c r="D1312" s="245">
        <v>0.2</v>
      </c>
      <c r="E1312" s="201">
        <v>10.130000000000001</v>
      </c>
      <c r="F1312" s="201">
        <v>6.31</v>
      </c>
      <c r="G1312" s="202">
        <f>(D1312*F1312*E1312)-(C1312*D1312)</f>
        <v>12.784060000000002</v>
      </c>
      <c r="H1312" s="256">
        <f>((E1312*2+D1312)*F1312)-2*C1312</f>
        <v>129.1026</v>
      </c>
      <c r="I1312" s="82"/>
      <c r="J1312" s="114"/>
      <c r="BB1312" s="117"/>
      <c r="BC1312" s="117"/>
      <c r="BD1312" s="117"/>
    </row>
    <row r="1313" spans="1:56" ht="15">
      <c r="A1313" s="114"/>
      <c r="B1313" s="244" t="s">
        <v>163</v>
      </c>
      <c r="C1313" s="649">
        <v>9.51</v>
      </c>
      <c r="D1313" s="245">
        <v>0.2</v>
      </c>
      <c r="E1313" s="201">
        <v>10.130000000000001</v>
      </c>
      <c r="F1313" s="201">
        <v>5.9</v>
      </c>
      <c r="G1313" s="202">
        <f>(D1313*F1313*E1313)-(C1313*D1313)</f>
        <v>10.051400000000001</v>
      </c>
      <c r="H1313" s="256">
        <f>((E1313*2+D1313)*F1313)-2*C1313</f>
        <v>101.69400000000002</v>
      </c>
      <c r="I1313" s="82"/>
      <c r="J1313" s="114"/>
      <c r="BB1313" s="117"/>
      <c r="BC1313" s="117"/>
      <c r="BD1313" s="117"/>
    </row>
    <row r="1314" spans="1:56" ht="15">
      <c r="A1314" s="114"/>
      <c r="B1314" s="244" t="s">
        <v>164</v>
      </c>
      <c r="C1314" s="649">
        <v>4.2</v>
      </c>
      <c r="D1314" s="245">
        <v>0.2</v>
      </c>
      <c r="E1314" s="201">
        <v>10.130000000000001</v>
      </c>
      <c r="F1314" s="201">
        <v>5.9</v>
      </c>
      <c r="G1314" s="202">
        <f>(D1314*F1314*E1314)-(C1314*D1314)</f>
        <v>11.113400000000002</v>
      </c>
      <c r="H1314" s="256">
        <f>((E1314*2+D1314)*F1314)-2*C1314</f>
        <v>112.31400000000001</v>
      </c>
      <c r="I1314" s="82"/>
      <c r="J1314" s="114"/>
      <c r="BB1314" s="117"/>
      <c r="BC1314" s="117"/>
      <c r="BD1314" s="117"/>
    </row>
    <row r="1315" spans="1:56">
      <c r="A1315" s="114"/>
      <c r="B1315" s="264" t="s">
        <v>2227</v>
      </c>
      <c r="C1315" s="115"/>
      <c r="D1315" s="115"/>
      <c r="E1315" s="115"/>
      <c r="F1315" s="260" t="s">
        <v>76</v>
      </c>
      <c r="G1315" s="258">
        <f>SUM(G1311:G1314)</f>
        <v>46.732920000000007</v>
      </c>
      <c r="H1315" s="258">
        <f>SUM(H1311:H1314)</f>
        <v>472.21320000000003</v>
      </c>
      <c r="I1315" s="82"/>
      <c r="J1315" s="114"/>
      <c r="BB1315" s="117"/>
      <c r="BC1315" s="117"/>
      <c r="BD1315" s="117"/>
    </row>
    <row r="1316" spans="1:56">
      <c r="A1316" s="114"/>
      <c r="B1316" s="114"/>
      <c r="C1316" s="115"/>
      <c r="D1316" s="115"/>
      <c r="E1316" s="115"/>
      <c r="F1316" s="262"/>
      <c r="G1316" s="263"/>
      <c r="H1316" s="263"/>
      <c r="I1316" s="82"/>
      <c r="J1316" s="114"/>
      <c r="BB1316" s="117"/>
      <c r="BC1316" s="117"/>
      <c r="BD1316" s="117"/>
    </row>
    <row r="1317" spans="1:56" ht="15">
      <c r="A1317" s="114"/>
      <c r="B1317" s="242" t="s">
        <v>152</v>
      </c>
      <c r="C1317" s="199" t="s">
        <v>296</v>
      </c>
      <c r="D1317" s="199" t="s">
        <v>516</v>
      </c>
      <c r="E1317" s="199" t="s">
        <v>65</v>
      </c>
      <c r="F1317" s="199" t="s">
        <v>297</v>
      </c>
      <c r="G1317" s="268" t="s">
        <v>104</v>
      </c>
      <c r="H1317" s="268" t="s">
        <v>105</v>
      </c>
      <c r="I1317" s="3"/>
      <c r="J1317" s="4"/>
      <c r="BC1317" s="117"/>
      <c r="BD1317" s="117"/>
    </row>
    <row r="1318" spans="1:56" ht="15">
      <c r="A1318" s="114"/>
      <c r="B1318" s="269" t="s">
        <v>517</v>
      </c>
      <c r="C1318" s="270">
        <v>1.25</v>
      </c>
      <c r="D1318" s="270">
        <v>2.35</v>
      </c>
      <c r="E1318" s="270">
        <v>1.2</v>
      </c>
      <c r="F1318" s="270">
        <v>5.13</v>
      </c>
      <c r="G1318" s="256">
        <f>C1318*E1318</f>
        <v>1.5</v>
      </c>
      <c r="H1318" s="256">
        <f>2*C1318+D1318*E1318+F1318*E1318</f>
        <v>11.475999999999999</v>
      </c>
      <c r="I1318" s="3"/>
      <c r="J1318" s="4"/>
      <c r="BC1318" s="117"/>
      <c r="BD1318" s="117"/>
    </row>
    <row r="1319" spans="1:56" ht="15">
      <c r="A1319" s="114"/>
      <c r="B1319" s="244" t="s">
        <v>518</v>
      </c>
      <c r="C1319" s="245">
        <v>0.5</v>
      </c>
      <c r="D1319" s="245">
        <v>0.72499999999999998</v>
      </c>
      <c r="E1319" s="245">
        <v>1.2</v>
      </c>
      <c r="F1319" s="245">
        <v>2.23</v>
      </c>
      <c r="G1319" s="202">
        <f>C1319*E1319</f>
        <v>0.6</v>
      </c>
      <c r="H1319" s="202">
        <f>2*C1319+D1319*E1319+F1319*E1319</f>
        <v>4.5459999999999994</v>
      </c>
      <c r="I1319" s="3"/>
      <c r="J1319" s="114"/>
      <c r="BA1319" s="117"/>
      <c r="BB1319" s="117"/>
      <c r="BC1319" s="117"/>
      <c r="BD1319" s="117"/>
    </row>
    <row r="1320" spans="1:56" ht="15">
      <c r="A1320" s="114"/>
      <c r="B1320" s="244" t="s">
        <v>519</v>
      </c>
      <c r="C1320" s="245">
        <v>1.08</v>
      </c>
      <c r="D1320" s="245">
        <v>2.3559999999999999</v>
      </c>
      <c r="E1320" s="245">
        <v>1.2</v>
      </c>
      <c r="F1320" s="245">
        <v>4.2160000000000002</v>
      </c>
      <c r="G1320" s="202">
        <f>C1320*E1320</f>
        <v>1.296</v>
      </c>
      <c r="H1320" s="202">
        <f>2*C1320+D1320*E1320+F1320*E1320</f>
        <v>10.046399999999998</v>
      </c>
      <c r="I1320" s="3"/>
      <c r="J1320" s="114"/>
      <c r="BA1320" s="117"/>
      <c r="BB1320" s="117"/>
      <c r="BC1320" s="117"/>
      <c r="BD1320" s="117"/>
    </row>
    <row r="1321" spans="1:56">
      <c r="A1321" s="114"/>
      <c r="B1321" s="140"/>
      <c r="C1321" s="213"/>
      <c r="D1321" s="213"/>
      <c r="E1321" s="115"/>
      <c r="F1321" s="254" t="s">
        <v>76</v>
      </c>
      <c r="G1321" s="228">
        <f>SUM(G1318:G1320)</f>
        <v>3.3959999999999999</v>
      </c>
      <c r="H1321" s="228">
        <f>SUM(H1318:H1320)</f>
        <v>26.068399999999997</v>
      </c>
      <c r="I1321" s="3"/>
      <c r="J1321" s="114"/>
      <c r="AZ1321" s="117"/>
      <c r="BA1321" s="117"/>
      <c r="BB1321" s="117"/>
      <c r="BC1321" s="117"/>
      <c r="BD1321" s="117"/>
    </row>
    <row r="1322" spans="1:56" ht="15">
      <c r="A1322" s="114"/>
      <c r="B1322" s="140"/>
      <c r="C1322" s="213"/>
      <c r="D1322" s="213"/>
      <c r="E1322" s="236"/>
      <c r="F1322" s="213"/>
      <c r="G1322" s="212"/>
      <c r="H1322" s="210"/>
      <c r="I1322" s="3"/>
      <c r="J1322" s="114"/>
      <c r="AZ1322" s="117"/>
      <c r="BA1322" s="117"/>
      <c r="BB1322" s="117"/>
      <c r="BC1322" s="117"/>
      <c r="BD1322" s="117"/>
    </row>
    <row r="1323" spans="1:56" ht="15">
      <c r="A1323" s="114"/>
      <c r="B1323" s="242" t="s">
        <v>520</v>
      </c>
      <c r="C1323" s="268" t="s">
        <v>67</v>
      </c>
      <c r="D1323" s="268" t="s">
        <v>64</v>
      </c>
      <c r="E1323" s="268" t="s">
        <v>66</v>
      </c>
      <c r="F1323" s="268" t="s">
        <v>63</v>
      </c>
      <c r="G1323" s="268" t="s">
        <v>68</v>
      </c>
      <c r="H1323" s="310"/>
      <c r="I1323" s="362"/>
      <c r="J1323" s="114"/>
      <c r="AZ1323" s="117"/>
      <c r="BA1323" s="117"/>
      <c r="BB1323" s="117"/>
      <c r="BC1323" s="117"/>
      <c r="BD1323" s="117"/>
    </row>
    <row r="1324" spans="1:56" ht="15">
      <c r="A1324" s="114"/>
      <c r="B1324" s="269" t="s">
        <v>87</v>
      </c>
      <c r="C1324" s="270">
        <v>1</v>
      </c>
      <c r="D1324" s="270">
        <v>26.3</v>
      </c>
      <c r="E1324" s="270">
        <v>0.15</v>
      </c>
      <c r="F1324" s="256">
        <f>D1324*E1324</f>
        <v>3.9449999999999998</v>
      </c>
      <c r="G1324" s="256">
        <f>D1324</f>
        <v>26.3</v>
      </c>
      <c r="H1324" s="310"/>
      <c r="I1324" s="114"/>
      <c r="J1324" s="114"/>
      <c r="AY1324" s="117"/>
      <c r="AZ1324" s="117"/>
      <c r="BA1324" s="117"/>
      <c r="BB1324" s="117"/>
      <c r="BC1324" s="117"/>
      <c r="BD1324" s="117"/>
    </row>
    <row r="1325" spans="1:56" ht="15">
      <c r="A1325" s="114"/>
      <c r="B1325" s="244" t="s">
        <v>88</v>
      </c>
      <c r="C1325" s="245">
        <v>1</v>
      </c>
      <c r="D1325" s="245">
        <v>1.1399999999999999</v>
      </c>
      <c r="E1325" s="245">
        <v>0.15</v>
      </c>
      <c r="F1325" s="202">
        <f>D1325*E1325</f>
        <v>0.17099999999999999</v>
      </c>
      <c r="G1325" s="202">
        <f>D1325</f>
        <v>1.1399999999999999</v>
      </c>
      <c r="H1325" s="310"/>
      <c r="I1325" s="114"/>
      <c r="J1325" s="114"/>
      <c r="AY1325" s="117"/>
      <c r="AZ1325" s="117"/>
      <c r="BA1325" s="117"/>
      <c r="BB1325" s="117"/>
      <c r="BC1325" s="117"/>
      <c r="BD1325" s="117"/>
    </row>
    <row r="1326" spans="1:56" ht="15">
      <c r="A1326" s="114"/>
      <c r="B1326" s="244" t="s">
        <v>117</v>
      </c>
      <c r="C1326" s="245">
        <v>1</v>
      </c>
      <c r="D1326" s="245">
        <v>34.869999999999997</v>
      </c>
      <c r="E1326" s="245">
        <v>0.12</v>
      </c>
      <c r="F1326" s="202">
        <f>D1326*E1326</f>
        <v>4.1843999999999992</v>
      </c>
      <c r="G1326" s="202">
        <f>D1326</f>
        <v>34.869999999999997</v>
      </c>
      <c r="H1326" s="310"/>
      <c r="I1326" s="114"/>
      <c r="J1326" s="114"/>
      <c r="BB1326" s="117"/>
      <c r="BC1326" s="117"/>
      <c r="BD1326" s="117"/>
    </row>
    <row r="1327" spans="1:56" ht="15">
      <c r="A1327" s="114"/>
      <c r="B1327" s="140"/>
      <c r="C1327" s="212"/>
      <c r="D1327" s="212"/>
      <c r="E1327" s="254" t="s">
        <v>76</v>
      </c>
      <c r="F1327" s="228">
        <f>SUM(F1324:F1326)</f>
        <v>8.3003999999999998</v>
      </c>
      <c r="G1327" s="228">
        <f>SUM(G1324:G1326)</f>
        <v>62.31</v>
      </c>
      <c r="H1327" s="310"/>
      <c r="I1327" s="114"/>
      <c r="J1327" s="114"/>
      <c r="BB1327" s="117"/>
      <c r="BC1327" s="117"/>
      <c r="BD1327" s="117"/>
    </row>
    <row r="1328" spans="1:56">
      <c r="A1328" s="114"/>
      <c r="B1328" s="115"/>
      <c r="C1328" s="115"/>
      <c r="D1328" s="115"/>
      <c r="E1328" s="115"/>
      <c r="F1328" s="115"/>
      <c r="G1328" s="115"/>
      <c r="H1328" s="115"/>
      <c r="I1328" s="82"/>
      <c r="J1328" s="114"/>
      <c r="BB1328" s="117"/>
      <c r="BC1328" s="117"/>
      <c r="BD1328" s="117"/>
    </row>
    <row r="1329" spans="1:56">
      <c r="A1329" s="114"/>
      <c r="B1329" s="242" t="s">
        <v>394</v>
      </c>
      <c r="C1329" s="268" t="s">
        <v>304</v>
      </c>
      <c r="D1329" s="268" t="s">
        <v>94</v>
      </c>
      <c r="E1329" s="268" t="s">
        <v>95</v>
      </c>
      <c r="F1329" s="268" t="s">
        <v>397</v>
      </c>
      <c r="G1329" s="115"/>
      <c r="H1329" s="114"/>
      <c r="I1329" s="114"/>
      <c r="J1329" s="114"/>
      <c r="AU1329" s="117"/>
      <c r="AV1329" s="117"/>
      <c r="AW1329" s="117"/>
      <c r="AX1329" s="117"/>
      <c r="AY1329" s="117"/>
      <c r="AZ1329" s="117"/>
      <c r="BA1329" s="117"/>
      <c r="BB1329" s="117"/>
      <c r="BC1329" s="117"/>
      <c r="BD1329" s="117"/>
    </row>
    <row r="1330" spans="1:56">
      <c r="A1330" s="114"/>
      <c r="B1330" s="314" t="s">
        <v>307</v>
      </c>
      <c r="C1330" s="224">
        <v>34.200000000000003</v>
      </c>
      <c r="D1330" s="223">
        <v>0.08</v>
      </c>
      <c r="E1330" s="315">
        <f>C1330*D1330</f>
        <v>2.7360000000000002</v>
      </c>
      <c r="F1330" s="316">
        <f>C1330*0.05</f>
        <v>1.7100000000000002</v>
      </c>
      <c r="G1330" s="115"/>
      <c r="H1330" s="114"/>
      <c r="I1330" s="114"/>
      <c r="J1330" s="114"/>
      <c r="AU1330" s="117"/>
      <c r="AV1330" s="117"/>
      <c r="AW1330" s="117"/>
      <c r="AX1330" s="117"/>
      <c r="AY1330" s="117"/>
      <c r="AZ1330" s="117"/>
      <c r="BA1330" s="117"/>
      <c r="BB1330" s="117"/>
      <c r="BC1330" s="117"/>
      <c r="BD1330" s="117"/>
    </row>
    <row r="1331" spans="1:56" ht="16.5" thickBot="1">
      <c r="A1331" s="114"/>
      <c r="B1331" s="324"/>
      <c r="C1331" s="225"/>
      <c r="D1331" s="362"/>
      <c r="E1331" s="138"/>
      <c r="F1331" s="301"/>
      <c r="G1331" s="115"/>
      <c r="H1331" s="114"/>
      <c r="I1331" s="114"/>
      <c r="J1331" s="114"/>
      <c r="AU1331" s="117"/>
      <c r="AV1331" s="117"/>
      <c r="AW1331" s="117"/>
      <c r="AX1331" s="117"/>
      <c r="AY1331" s="117"/>
      <c r="AZ1331" s="117"/>
      <c r="BA1331" s="117"/>
      <c r="BB1331" s="117"/>
      <c r="BC1331" s="117"/>
      <c r="BD1331" s="117"/>
    </row>
    <row r="1332" spans="1:56">
      <c r="A1332" s="114"/>
      <c r="B1332" s="1285" t="s">
        <v>98</v>
      </c>
      <c r="C1332" s="1286"/>
      <c r="D1332" s="1286"/>
      <c r="E1332" s="1286"/>
      <c r="F1332" s="1287"/>
      <c r="G1332" s="115"/>
      <c r="H1332" s="115"/>
      <c r="I1332" s="82"/>
      <c r="J1332" s="114"/>
      <c r="BB1332" s="117"/>
      <c r="BC1332" s="117"/>
      <c r="BD1332" s="117"/>
    </row>
    <row r="1333" spans="1:56">
      <c r="A1333" s="114"/>
      <c r="B1333" s="634"/>
      <c r="C1333" s="115"/>
      <c r="D1333" s="115"/>
      <c r="E1333" s="115"/>
      <c r="F1333" s="182"/>
      <c r="G1333" s="115"/>
      <c r="H1333" s="236"/>
      <c r="I1333" s="3"/>
      <c r="J1333" s="114"/>
      <c r="BB1333" s="117"/>
      <c r="BC1333" s="117"/>
      <c r="BD1333" s="117"/>
    </row>
    <row r="1334" spans="1:56">
      <c r="A1334" s="114"/>
      <c r="B1334" s="635" t="s">
        <v>315</v>
      </c>
      <c r="C1334" s="203"/>
      <c r="D1334" s="204"/>
      <c r="E1334" s="205">
        <f>G1327+H1321+G1308+H1315</f>
        <v>569.83010000000002</v>
      </c>
      <c r="F1334" s="216" t="s">
        <v>13</v>
      </c>
      <c r="G1334" s="115"/>
      <c r="H1334" s="236"/>
      <c r="I1334" s="3"/>
      <c r="J1334" s="114"/>
      <c r="BB1334" s="117"/>
      <c r="BC1334" s="117"/>
      <c r="BD1334" s="117"/>
    </row>
    <row r="1335" spans="1:56">
      <c r="A1335" s="114"/>
      <c r="B1335" s="635" t="s">
        <v>316</v>
      </c>
      <c r="C1335" s="203"/>
      <c r="D1335" s="204"/>
      <c r="E1335" s="302">
        <f>F1327+G1321+F1308+G1315+E1330</f>
        <v>62.097945000000003</v>
      </c>
      <c r="F1335" s="216" t="s">
        <v>100</v>
      </c>
      <c r="G1335" s="115"/>
      <c r="H1335" s="236"/>
      <c r="I1335" s="3"/>
      <c r="J1335" s="114"/>
      <c r="BB1335" s="117"/>
      <c r="BC1335" s="117"/>
      <c r="BD1335" s="117"/>
    </row>
    <row r="1336" spans="1:56">
      <c r="A1336" s="114"/>
      <c r="B1336" s="635" t="s">
        <v>317</v>
      </c>
      <c r="C1336" s="203"/>
      <c r="D1336" s="204"/>
      <c r="E1336" s="302">
        <f>F1330</f>
        <v>1.7100000000000002</v>
      </c>
      <c r="F1336" s="216" t="s">
        <v>100</v>
      </c>
      <c r="G1336" s="115"/>
      <c r="H1336" s="236"/>
      <c r="I1336" s="3"/>
      <c r="J1336" s="114"/>
      <c r="BB1336" s="117"/>
      <c r="BC1336" s="117"/>
      <c r="BD1336" s="117"/>
    </row>
    <row r="1337" spans="1:56" thickBot="1">
      <c r="A1337" s="114"/>
      <c r="B1337" s="779" t="s">
        <v>318</v>
      </c>
      <c r="C1337" s="325"/>
      <c r="D1337" s="326"/>
      <c r="E1337" s="327">
        <v>29</v>
      </c>
      <c r="F1337" s="328" t="s">
        <v>10</v>
      </c>
      <c r="G1337" s="81"/>
      <c r="H1337" s="82"/>
      <c r="I1337" s="82"/>
      <c r="J1337" s="114"/>
      <c r="BB1337" s="117"/>
      <c r="BC1337" s="117"/>
      <c r="BD1337" s="117"/>
    </row>
    <row r="1338" spans="1:56" ht="16.5" thickBot="1">
      <c r="A1338" s="114"/>
      <c r="B1338" s="115"/>
      <c r="C1338" s="115"/>
      <c r="D1338" s="115"/>
      <c r="E1338" s="115"/>
      <c r="F1338" s="115"/>
      <c r="G1338" s="115"/>
      <c r="H1338" s="115"/>
      <c r="I1338" s="115"/>
      <c r="J1338" s="114"/>
      <c r="BB1338" s="117"/>
      <c r="BC1338" s="117"/>
      <c r="BD1338" s="117"/>
    </row>
    <row r="1339" spans="1:56">
      <c r="A1339" s="114"/>
      <c r="B1339" s="1285" t="s">
        <v>320</v>
      </c>
      <c r="C1339" s="1286"/>
      <c r="D1339" s="1286"/>
      <c r="E1339" s="1286"/>
      <c r="F1339" s="1287"/>
      <c r="G1339" s="115"/>
      <c r="H1339" s="115"/>
      <c r="I1339" s="82"/>
      <c r="J1339" s="114"/>
      <c r="BB1339" s="117"/>
      <c r="BC1339" s="117"/>
      <c r="BD1339" s="117"/>
    </row>
    <row r="1340" spans="1:56">
      <c r="A1340" s="114"/>
      <c r="B1340" s="690"/>
      <c r="C1340" s="115"/>
      <c r="D1340" s="115"/>
      <c r="E1340" s="115"/>
      <c r="F1340" s="182"/>
      <c r="G1340" s="115"/>
      <c r="H1340" s="115"/>
      <c r="I1340" s="82"/>
      <c r="J1340" s="114"/>
      <c r="BB1340" s="117"/>
      <c r="BC1340" s="117"/>
      <c r="BD1340" s="117"/>
    </row>
    <row r="1341" spans="1:56" ht="15">
      <c r="A1341" s="114"/>
      <c r="B1341" s="691" t="s">
        <v>521</v>
      </c>
      <c r="C1341" s="196"/>
      <c r="D1341" s="196"/>
      <c r="E1341" s="196"/>
      <c r="F1341" s="284"/>
      <c r="G1341" s="196"/>
      <c r="H1341" s="196"/>
      <c r="I1341" s="196"/>
      <c r="J1341" s="114"/>
      <c r="BB1341" s="117"/>
      <c r="BC1341" s="117"/>
      <c r="BD1341" s="117"/>
    </row>
    <row r="1342" spans="1:56" ht="15">
      <c r="A1342" s="114"/>
      <c r="B1342" s="692" t="s">
        <v>522</v>
      </c>
      <c r="C1342" s="712">
        <v>84</v>
      </c>
      <c r="D1342" s="286" t="s">
        <v>12</v>
      </c>
      <c r="E1342" s="1199" t="s">
        <v>523</v>
      </c>
      <c r="F1342" s="1200"/>
      <c r="G1342" s="196"/>
      <c r="H1342" s="196"/>
      <c r="I1342" s="196"/>
      <c r="J1342" s="114"/>
      <c r="BB1342" s="117"/>
      <c r="BC1342" s="117"/>
      <c r="BD1342" s="117"/>
    </row>
    <row r="1343" spans="1:56" ht="15">
      <c r="A1343" s="114"/>
      <c r="B1343" s="692" t="s">
        <v>524</v>
      </c>
      <c r="C1343" s="712">
        <v>41</v>
      </c>
      <c r="D1343" s="286" t="s">
        <v>12</v>
      </c>
      <c r="E1343" s="1216"/>
      <c r="F1343" s="1217"/>
      <c r="G1343" s="196"/>
      <c r="H1343" s="196"/>
      <c r="I1343" s="196"/>
      <c r="J1343" s="114"/>
      <c r="BB1343" s="117"/>
      <c r="BC1343" s="117"/>
      <c r="BD1343" s="117"/>
    </row>
    <row r="1344" spans="1:56" ht="15">
      <c r="A1344" s="114"/>
      <c r="B1344" s="692" t="s">
        <v>525</v>
      </c>
      <c r="C1344" s="712">
        <v>21</v>
      </c>
      <c r="D1344" s="286" t="s">
        <v>12</v>
      </c>
      <c r="E1344" s="1216"/>
      <c r="F1344" s="1217"/>
      <c r="G1344" s="196"/>
      <c r="H1344" s="196"/>
      <c r="I1344" s="196"/>
      <c r="J1344" s="114"/>
      <c r="BB1344" s="117"/>
      <c r="BC1344" s="117"/>
      <c r="BD1344" s="117"/>
    </row>
    <row r="1345" spans="1:56" ht="15">
      <c r="A1345" s="114"/>
      <c r="B1345" s="692" t="s">
        <v>352</v>
      </c>
      <c r="C1345" s="712">
        <v>1332</v>
      </c>
      <c r="D1345" s="286" t="s">
        <v>12</v>
      </c>
      <c r="E1345" s="1201"/>
      <c r="F1345" s="1202"/>
      <c r="G1345" s="196"/>
      <c r="H1345" s="196"/>
      <c r="I1345" s="196"/>
      <c r="J1345" s="114"/>
      <c r="BB1345" s="117"/>
      <c r="BC1345" s="117"/>
      <c r="BD1345" s="117"/>
    </row>
    <row r="1346" spans="1:56">
      <c r="A1346" s="114"/>
      <c r="B1346" s="690"/>
      <c r="C1346" s="115"/>
      <c r="D1346" s="115"/>
      <c r="E1346" s="115"/>
      <c r="F1346" s="182"/>
      <c r="G1346" s="115"/>
      <c r="H1346" s="115"/>
      <c r="I1346" s="82"/>
      <c r="J1346" s="114"/>
      <c r="BB1346" s="117"/>
      <c r="BC1346" s="117"/>
      <c r="BD1346" s="117"/>
    </row>
    <row r="1347" spans="1:56" ht="15">
      <c r="A1347" s="114"/>
      <c r="B1347" s="691" t="s">
        <v>337</v>
      </c>
      <c r="C1347" s="196"/>
      <c r="D1347" s="196"/>
      <c r="E1347" s="196"/>
      <c r="F1347" s="284"/>
      <c r="G1347" s="196"/>
      <c r="H1347" s="196"/>
      <c r="I1347" s="196"/>
      <c r="J1347" s="114"/>
      <c r="BB1347" s="117"/>
      <c r="BC1347" s="117"/>
      <c r="BD1347" s="117"/>
    </row>
    <row r="1348" spans="1:56" ht="15">
      <c r="A1348" s="114"/>
      <c r="B1348" s="692" t="s">
        <v>352</v>
      </c>
      <c r="C1348" s="712">
        <v>4797</v>
      </c>
      <c r="D1348" s="286" t="s">
        <v>12</v>
      </c>
      <c r="E1348" s="1305" t="s">
        <v>526</v>
      </c>
      <c r="F1348" s="1306"/>
      <c r="G1348" s="196"/>
      <c r="H1348" s="196"/>
      <c r="I1348" s="196"/>
      <c r="J1348" s="114"/>
      <c r="BB1348" s="117"/>
      <c r="BC1348" s="117"/>
      <c r="BD1348" s="117"/>
    </row>
    <row r="1349" spans="1:56" ht="15">
      <c r="A1349" s="114"/>
      <c r="B1349" s="694"/>
      <c r="C1349" s="211"/>
      <c r="D1349" s="196"/>
      <c r="E1349" s="288"/>
      <c r="F1349" s="284"/>
      <c r="G1349" s="196"/>
      <c r="H1349" s="196"/>
      <c r="I1349" s="196"/>
      <c r="J1349" s="114"/>
      <c r="BB1349" s="117"/>
      <c r="BC1349" s="117"/>
      <c r="BD1349" s="117"/>
    </row>
    <row r="1350" spans="1:56" ht="15">
      <c r="A1350" s="114"/>
      <c r="B1350" s="691" t="s">
        <v>351</v>
      </c>
      <c r="C1350" s="211"/>
      <c r="D1350" s="196"/>
      <c r="E1350" s="288"/>
      <c r="F1350" s="284"/>
      <c r="G1350" s="196"/>
      <c r="H1350" s="196"/>
      <c r="I1350" s="196"/>
      <c r="J1350" s="114"/>
      <c r="BB1350" s="117"/>
      <c r="BC1350" s="117"/>
      <c r="BD1350" s="117"/>
    </row>
    <row r="1351" spans="1:56">
      <c r="A1351" s="114"/>
      <c r="B1351" s="692" t="s">
        <v>352</v>
      </c>
      <c r="C1351" s="203"/>
      <c r="D1351" s="204"/>
      <c r="E1351" s="302">
        <f>C1345+C1348</f>
        <v>6129</v>
      </c>
      <c r="F1351" s="216" t="s">
        <v>12</v>
      </c>
      <c r="G1351" s="115"/>
      <c r="H1351" s="236"/>
      <c r="I1351" s="3"/>
      <c r="J1351" s="114"/>
      <c r="BB1351" s="117"/>
      <c r="BC1351" s="117"/>
      <c r="BD1351" s="117"/>
    </row>
    <row r="1352" spans="1:56" ht="16.5" thickBot="1">
      <c r="A1352" s="114"/>
      <c r="B1352" s="695" t="s">
        <v>353</v>
      </c>
      <c r="C1352" s="217"/>
      <c r="D1352" s="218"/>
      <c r="E1352" s="304">
        <f>C1342+C1343+C1344</f>
        <v>146</v>
      </c>
      <c r="F1352" s="219" t="s">
        <v>12</v>
      </c>
      <c r="G1352" s="115"/>
      <c r="H1352" s="236"/>
      <c r="I1352" s="3"/>
      <c r="J1352" s="114"/>
      <c r="BB1352" s="117"/>
      <c r="BC1352" s="117"/>
      <c r="BD1352" s="117"/>
    </row>
    <row r="1353" spans="1:56">
      <c r="A1353" s="114"/>
      <c r="B1353" s="207"/>
      <c r="C1353" s="208"/>
      <c r="D1353" s="208"/>
      <c r="E1353" s="209"/>
      <c r="F1353" s="207"/>
      <c r="G1353" s="115"/>
      <c r="H1353" s="115"/>
      <c r="I1353" s="82"/>
      <c r="J1353" s="4"/>
      <c r="BC1353" s="117"/>
      <c r="BD1353" s="117"/>
    </row>
    <row r="1354" spans="1:56">
      <c r="A1354" s="114"/>
      <c r="B1354" s="207"/>
      <c r="C1354" s="208"/>
      <c r="D1354" s="208"/>
      <c r="E1354" s="209"/>
      <c r="F1354" s="207"/>
      <c r="G1354" s="115"/>
      <c r="H1354" s="236"/>
      <c r="I1354" s="3"/>
      <c r="J1354" s="114"/>
      <c r="BB1354" s="117"/>
      <c r="BC1354" s="117"/>
      <c r="BD1354" s="117"/>
    </row>
    <row r="1355" spans="1:56" ht="15">
      <c r="A1355" s="114"/>
      <c r="B1355" s="778" t="s">
        <v>2278</v>
      </c>
      <c r="C1355" s="239"/>
      <c r="D1355" s="239"/>
      <c r="E1355" s="239"/>
      <c r="F1355" s="239"/>
      <c r="G1355" s="239"/>
      <c r="H1355" s="240"/>
      <c r="I1355" s="240"/>
      <c r="J1355" s="351"/>
      <c r="BB1355" s="117"/>
      <c r="BC1355" s="117"/>
      <c r="BD1355" s="117"/>
    </row>
    <row r="1356" spans="1:56" ht="15">
      <c r="A1356" s="114"/>
      <c r="B1356" s="296" t="s">
        <v>1678</v>
      </c>
      <c r="C1356" s="81"/>
      <c r="D1356" s="81"/>
      <c r="E1356" s="81"/>
      <c r="F1356" s="81"/>
      <c r="G1356" s="81"/>
      <c r="H1356" s="82"/>
      <c r="I1356" s="82"/>
      <c r="J1356" s="114"/>
      <c r="BB1356" s="117"/>
      <c r="BC1356" s="117"/>
      <c r="BD1356" s="117"/>
    </row>
    <row r="1357" spans="1:56" ht="15">
      <c r="A1357" s="114"/>
      <c r="B1357" s="288" t="s">
        <v>1787</v>
      </c>
      <c r="C1357" s="230"/>
      <c r="D1357" s="230"/>
      <c r="E1357" s="384"/>
      <c r="F1357" s="196"/>
      <c r="G1357" s="196"/>
      <c r="H1357" s="196"/>
      <c r="I1357" s="196"/>
      <c r="J1357" s="114"/>
      <c r="AW1357" s="117"/>
      <c r="AX1357" s="117"/>
      <c r="AY1357" s="117"/>
      <c r="AZ1357" s="117"/>
      <c r="BA1357" s="117"/>
      <c r="BB1357" s="117"/>
      <c r="BC1357" s="117"/>
      <c r="BD1357" s="117"/>
    </row>
    <row r="1358" spans="1:56" ht="15">
      <c r="A1358" s="114"/>
      <c r="B1358" s="293"/>
      <c r="C1358" s="81"/>
      <c r="D1358" s="81"/>
      <c r="E1358" s="81"/>
      <c r="F1358" s="81"/>
      <c r="G1358" s="81"/>
      <c r="H1358" s="82"/>
      <c r="I1358" s="82"/>
      <c r="J1358" s="114"/>
      <c r="BB1358" s="117"/>
      <c r="BC1358" s="117"/>
      <c r="BD1358" s="117"/>
    </row>
    <row r="1359" spans="1:56" ht="15">
      <c r="A1359" s="114"/>
      <c r="B1359" s="293"/>
      <c r="C1359" s="81"/>
      <c r="D1359" s="81"/>
      <c r="E1359" s="81"/>
      <c r="F1359" s="81"/>
      <c r="G1359" s="81"/>
      <c r="H1359" s="82"/>
      <c r="I1359" s="82"/>
      <c r="J1359" s="114"/>
      <c r="BB1359" s="117"/>
      <c r="BC1359" s="117"/>
      <c r="BD1359" s="117"/>
    </row>
    <row r="1360" spans="1:56" ht="15">
      <c r="A1360" s="114"/>
      <c r="B1360" s="242" t="s">
        <v>97</v>
      </c>
      <c r="C1360" s="199" t="s">
        <v>61</v>
      </c>
      <c r="D1360" s="199" t="s">
        <v>82</v>
      </c>
      <c r="E1360" s="199" t="s">
        <v>66</v>
      </c>
      <c r="F1360" s="199" t="s">
        <v>62</v>
      </c>
      <c r="G1360" s="243" t="s">
        <v>99</v>
      </c>
      <c r="H1360" s="243" t="s">
        <v>68</v>
      </c>
      <c r="I1360" s="82"/>
      <c r="J1360" s="114"/>
      <c r="BB1360" s="117"/>
      <c r="BC1360" s="117"/>
      <c r="BD1360" s="117"/>
    </row>
    <row r="1361" spans="1:56" ht="15">
      <c r="A1361" s="114"/>
      <c r="B1361" s="244" t="s">
        <v>157</v>
      </c>
      <c r="C1361" s="200">
        <v>1</v>
      </c>
      <c r="D1361" s="245">
        <v>0.2</v>
      </c>
      <c r="E1361" s="201">
        <v>1</v>
      </c>
      <c r="F1361" s="201">
        <f>2*6.725</f>
        <v>13.45</v>
      </c>
      <c r="G1361" s="202">
        <f>D1361*E1361*F1361*C1361</f>
        <v>2.69</v>
      </c>
      <c r="H1361" s="202">
        <f>((E1361*2)+D1361)*F1361*C1361</f>
        <v>29.59</v>
      </c>
      <c r="I1361" s="82"/>
      <c r="J1361" s="114"/>
      <c r="BB1361" s="117"/>
      <c r="BC1361" s="117"/>
      <c r="BD1361" s="117"/>
    </row>
    <row r="1362" spans="1:56" ht="15">
      <c r="A1362" s="114"/>
      <c r="B1362" s="244" t="s">
        <v>119</v>
      </c>
      <c r="C1362" s="200">
        <v>1</v>
      </c>
      <c r="D1362" s="245">
        <v>0.2</v>
      </c>
      <c r="E1362" s="201">
        <v>1</v>
      </c>
      <c r="F1362" s="201">
        <f>2*6.725</f>
        <v>13.45</v>
      </c>
      <c r="G1362" s="202">
        <f>D1362*E1362*F1362*C1362</f>
        <v>2.69</v>
      </c>
      <c r="H1362" s="202">
        <f>((E1362*2)+D1362)*F1362*C1362</f>
        <v>29.59</v>
      </c>
      <c r="I1362" s="82"/>
      <c r="J1362" s="114"/>
      <c r="BB1362" s="117"/>
      <c r="BC1362" s="117"/>
      <c r="BD1362" s="117"/>
    </row>
    <row r="1363" spans="1:56" ht="15">
      <c r="A1363" s="114"/>
      <c r="B1363" s="244" t="s">
        <v>158</v>
      </c>
      <c r="C1363" s="200">
        <v>1</v>
      </c>
      <c r="D1363" s="245">
        <v>0.2</v>
      </c>
      <c r="E1363" s="201">
        <v>1</v>
      </c>
      <c r="F1363" s="201">
        <v>7.2</v>
      </c>
      <c r="G1363" s="202">
        <f>D1363*E1363*F1363*C1363</f>
        <v>1.4400000000000002</v>
      </c>
      <c r="H1363" s="202">
        <f>((E1363*2)+D1363)*F1363*C1363</f>
        <v>15.840000000000002</v>
      </c>
      <c r="I1363" s="82"/>
      <c r="J1363" s="114"/>
      <c r="BB1363" s="117"/>
      <c r="BC1363" s="117"/>
      <c r="BD1363" s="117"/>
    </row>
    <row r="1364" spans="1:56" ht="15">
      <c r="A1364" s="114"/>
      <c r="B1364" s="244" t="s">
        <v>153</v>
      </c>
      <c r="C1364" s="200">
        <v>1</v>
      </c>
      <c r="D1364" s="245">
        <v>0.2</v>
      </c>
      <c r="E1364" s="201">
        <v>1</v>
      </c>
      <c r="F1364" s="201">
        <v>7.2</v>
      </c>
      <c r="G1364" s="202">
        <f>D1364*E1364*F1364*C1364</f>
        <v>1.4400000000000002</v>
      </c>
      <c r="H1364" s="202">
        <f>((E1364*2)+D1364)*F1364*C1364</f>
        <v>15.840000000000002</v>
      </c>
      <c r="I1364" s="82"/>
      <c r="J1364" s="114"/>
      <c r="BB1364" s="117"/>
      <c r="BC1364" s="117"/>
      <c r="BD1364" s="117"/>
    </row>
    <row r="1365" spans="1:56" ht="15">
      <c r="A1365" s="114"/>
      <c r="B1365" s="114"/>
      <c r="C1365" s="114"/>
      <c r="D1365" s="114"/>
      <c r="E1365" s="114"/>
      <c r="F1365" s="254" t="s">
        <v>76</v>
      </c>
      <c r="G1365" s="228">
        <f>SUM(G1361:G1364)</f>
        <v>8.26</v>
      </c>
      <c r="H1365" s="228">
        <f>SUM(H1361:H1364)</f>
        <v>90.86</v>
      </c>
      <c r="I1365" s="82"/>
      <c r="J1365" s="114"/>
      <c r="BB1365" s="117"/>
      <c r="BC1365" s="117"/>
      <c r="BD1365" s="117"/>
    </row>
    <row r="1366" spans="1:56" ht="15">
      <c r="A1366" s="114"/>
      <c r="B1366" s="114"/>
      <c r="C1366" s="114"/>
      <c r="D1366" s="114"/>
      <c r="E1366" s="114"/>
      <c r="F1366" s="114"/>
      <c r="G1366" s="114"/>
      <c r="H1366" s="114"/>
      <c r="I1366" s="82"/>
      <c r="J1366" s="114"/>
      <c r="BB1366" s="117"/>
      <c r="BC1366" s="117"/>
      <c r="BD1366" s="117"/>
    </row>
    <row r="1367" spans="1:56" ht="15">
      <c r="A1367" s="114"/>
      <c r="B1367" s="242" t="s">
        <v>96</v>
      </c>
      <c r="C1367" s="199" t="s">
        <v>61</v>
      </c>
      <c r="D1367" s="199" t="s">
        <v>82</v>
      </c>
      <c r="E1367" s="199" t="s">
        <v>66</v>
      </c>
      <c r="F1367" s="199" t="s">
        <v>62</v>
      </c>
      <c r="G1367" s="243" t="s">
        <v>99</v>
      </c>
      <c r="H1367" s="243" t="s">
        <v>68</v>
      </c>
      <c r="I1367" s="82"/>
      <c r="J1367" s="114"/>
      <c r="BB1367" s="117"/>
      <c r="BC1367" s="117"/>
      <c r="BD1367" s="117"/>
    </row>
    <row r="1368" spans="1:56" ht="15">
      <c r="A1368" s="114"/>
      <c r="B1368" s="244" t="s">
        <v>527</v>
      </c>
      <c r="C1368" s="200">
        <v>1</v>
      </c>
      <c r="D1368" s="245">
        <v>0.25</v>
      </c>
      <c r="E1368" s="201">
        <v>0.4</v>
      </c>
      <c r="F1368" s="201">
        <v>6.55</v>
      </c>
      <c r="G1368" s="202">
        <f t="shared" ref="G1368:G1375" si="28">D1368*E1368*F1368*C1368</f>
        <v>0.65500000000000003</v>
      </c>
      <c r="H1368" s="202">
        <f t="shared" ref="H1368:H1375" si="29">(D1368+E1368)*2*F1368*C1368</f>
        <v>8.5150000000000006</v>
      </c>
      <c r="I1368" s="82"/>
      <c r="J1368" s="114"/>
      <c r="BB1368" s="117"/>
      <c r="BC1368" s="117"/>
      <c r="BD1368" s="117"/>
    </row>
    <row r="1369" spans="1:56" ht="15">
      <c r="A1369" s="114"/>
      <c r="B1369" s="244" t="s">
        <v>407</v>
      </c>
      <c r="C1369" s="200">
        <v>1</v>
      </c>
      <c r="D1369" s="245">
        <v>0.25</v>
      </c>
      <c r="E1369" s="201">
        <v>0.4</v>
      </c>
      <c r="F1369" s="201">
        <v>5.55</v>
      </c>
      <c r="G1369" s="202">
        <f t="shared" si="28"/>
        <v>0.55500000000000005</v>
      </c>
      <c r="H1369" s="202">
        <f t="shared" si="29"/>
        <v>7.2149999999999999</v>
      </c>
      <c r="I1369" s="82"/>
      <c r="J1369" s="114"/>
      <c r="BB1369" s="117"/>
      <c r="BC1369" s="117"/>
      <c r="BD1369" s="117"/>
    </row>
    <row r="1370" spans="1:56" ht="15">
      <c r="A1370" s="114"/>
      <c r="B1370" s="244" t="s">
        <v>408</v>
      </c>
      <c r="C1370" s="200">
        <v>1</v>
      </c>
      <c r="D1370" s="245">
        <v>0.25</v>
      </c>
      <c r="E1370" s="201">
        <v>0.2</v>
      </c>
      <c r="F1370" s="201">
        <v>1</v>
      </c>
      <c r="G1370" s="202">
        <f t="shared" si="28"/>
        <v>0.05</v>
      </c>
      <c r="H1370" s="202">
        <f t="shared" si="29"/>
        <v>0.9</v>
      </c>
      <c r="I1370" s="82"/>
      <c r="J1370" s="114"/>
      <c r="BB1370" s="117"/>
      <c r="BC1370" s="117"/>
      <c r="BD1370" s="117"/>
    </row>
    <row r="1371" spans="1:56" ht="15">
      <c r="A1371" s="114"/>
      <c r="B1371" s="244" t="s">
        <v>528</v>
      </c>
      <c r="C1371" s="200">
        <v>1</v>
      </c>
      <c r="D1371" s="245">
        <v>0.25</v>
      </c>
      <c r="E1371" s="201">
        <v>0.4</v>
      </c>
      <c r="F1371" s="201">
        <v>6.55</v>
      </c>
      <c r="G1371" s="202">
        <f t="shared" si="28"/>
        <v>0.65500000000000003</v>
      </c>
      <c r="H1371" s="202">
        <f t="shared" si="29"/>
        <v>8.5150000000000006</v>
      </c>
      <c r="I1371" s="82"/>
      <c r="J1371" s="114"/>
      <c r="BB1371" s="117"/>
      <c r="BC1371" s="117"/>
      <c r="BD1371" s="117"/>
    </row>
    <row r="1372" spans="1:56" ht="15">
      <c r="A1372" s="114"/>
      <c r="B1372" s="244" t="s">
        <v>529</v>
      </c>
      <c r="C1372" s="200">
        <v>1</v>
      </c>
      <c r="D1372" s="245">
        <v>0.25</v>
      </c>
      <c r="E1372" s="201">
        <v>0.4</v>
      </c>
      <c r="F1372" s="201">
        <v>6.55</v>
      </c>
      <c r="G1372" s="202">
        <f t="shared" si="28"/>
        <v>0.65500000000000003</v>
      </c>
      <c r="H1372" s="202">
        <f t="shared" si="29"/>
        <v>8.5150000000000006</v>
      </c>
      <c r="I1372" s="82"/>
      <c r="J1372" s="114"/>
      <c r="BB1372" s="117"/>
      <c r="BC1372" s="117"/>
      <c r="BD1372" s="117"/>
    </row>
    <row r="1373" spans="1:56" ht="15">
      <c r="A1373" s="114"/>
      <c r="B1373" s="244" t="s">
        <v>530</v>
      </c>
      <c r="C1373" s="200">
        <v>1</v>
      </c>
      <c r="D1373" s="245">
        <v>0.25</v>
      </c>
      <c r="E1373" s="201">
        <v>0.4</v>
      </c>
      <c r="F1373" s="201">
        <v>5.55</v>
      </c>
      <c r="G1373" s="202">
        <f t="shared" si="28"/>
        <v>0.55500000000000005</v>
      </c>
      <c r="H1373" s="202">
        <f t="shared" si="29"/>
        <v>7.2149999999999999</v>
      </c>
      <c r="I1373" s="82"/>
      <c r="J1373" s="114"/>
      <c r="BB1373" s="117"/>
      <c r="BC1373" s="117"/>
      <c r="BD1373" s="117"/>
    </row>
    <row r="1374" spans="1:56" ht="15">
      <c r="A1374" s="114"/>
      <c r="B1374" s="244" t="s">
        <v>531</v>
      </c>
      <c r="C1374" s="200">
        <v>1</v>
      </c>
      <c r="D1374" s="245">
        <v>0.25</v>
      </c>
      <c r="E1374" s="201">
        <v>0.2</v>
      </c>
      <c r="F1374" s="201">
        <v>1</v>
      </c>
      <c r="G1374" s="202">
        <f t="shared" si="28"/>
        <v>0.05</v>
      </c>
      <c r="H1374" s="202">
        <f t="shared" si="29"/>
        <v>0.9</v>
      </c>
      <c r="I1374" s="82"/>
      <c r="J1374" s="114"/>
      <c r="BB1374" s="117"/>
      <c r="BC1374" s="117"/>
      <c r="BD1374" s="117"/>
    </row>
    <row r="1375" spans="1:56" ht="15">
      <c r="A1375" s="114"/>
      <c r="B1375" s="244" t="s">
        <v>532</v>
      </c>
      <c r="C1375" s="200">
        <v>1</v>
      </c>
      <c r="D1375" s="245">
        <v>0.25</v>
      </c>
      <c r="E1375" s="201">
        <v>0.4</v>
      </c>
      <c r="F1375" s="201">
        <v>6.55</v>
      </c>
      <c r="G1375" s="202">
        <f t="shared" si="28"/>
        <v>0.65500000000000003</v>
      </c>
      <c r="H1375" s="202">
        <f t="shared" si="29"/>
        <v>8.5150000000000006</v>
      </c>
      <c r="I1375" s="82"/>
      <c r="J1375" s="114"/>
      <c r="BB1375" s="117"/>
      <c r="BC1375" s="117"/>
      <c r="BD1375" s="117"/>
    </row>
    <row r="1376" spans="1:56">
      <c r="A1376" s="114"/>
      <c r="B1376" s="264"/>
      <c r="C1376" s="115"/>
      <c r="D1376" s="115"/>
      <c r="E1376" s="115"/>
      <c r="F1376" s="254" t="s">
        <v>76</v>
      </c>
      <c r="G1376" s="228">
        <f>SUM(G1368:G1375)</f>
        <v>3.83</v>
      </c>
      <c r="H1376" s="228">
        <f>SUM(H1368:H1375)</f>
        <v>50.29</v>
      </c>
      <c r="I1376" s="82"/>
      <c r="J1376" s="114"/>
      <c r="BB1376" s="117"/>
      <c r="BC1376" s="117"/>
      <c r="BD1376" s="117"/>
    </row>
    <row r="1377" spans="1:56">
      <c r="A1377" s="114"/>
      <c r="B1377" s="264"/>
      <c r="C1377" s="115"/>
      <c r="D1377" s="115"/>
      <c r="E1377" s="115"/>
      <c r="F1377" s="227"/>
      <c r="G1377" s="257"/>
      <c r="H1377" s="257"/>
      <c r="I1377" s="82"/>
      <c r="J1377" s="114"/>
      <c r="BB1377" s="117"/>
      <c r="BC1377" s="117"/>
      <c r="BD1377" s="117"/>
    </row>
    <row r="1378" spans="1:56" ht="15">
      <c r="A1378" s="114"/>
      <c r="B1378" s="305" t="s">
        <v>533</v>
      </c>
      <c r="C1378" s="306" t="s">
        <v>61</v>
      </c>
      <c r="D1378" s="199" t="s">
        <v>395</v>
      </c>
      <c r="E1378" s="199" t="s">
        <v>396</v>
      </c>
      <c r="F1378" s="306" t="s">
        <v>48</v>
      </c>
      <c r="G1378" s="243" t="s">
        <v>95</v>
      </c>
      <c r="H1378" s="243" t="s">
        <v>397</v>
      </c>
      <c r="I1378" s="82"/>
      <c r="J1378" s="114"/>
      <c r="BB1378" s="117"/>
      <c r="BC1378" s="117"/>
      <c r="BD1378" s="117"/>
    </row>
    <row r="1379" spans="1:56" ht="15">
      <c r="A1379" s="114"/>
      <c r="B1379" s="307" t="s">
        <v>398</v>
      </c>
      <c r="C1379" s="247">
        <v>1</v>
      </c>
      <c r="D1379" s="194">
        <v>103.86</v>
      </c>
      <c r="E1379" s="181">
        <v>0.08</v>
      </c>
      <c r="F1379" s="308"/>
      <c r="G1379" s="273">
        <f>C1379*D1379*E1379</f>
        <v>8.3087999999999997</v>
      </c>
      <c r="H1379" s="274">
        <f>C1379*D1379*0.05</f>
        <v>5.1930000000000005</v>
      </c>
      <c r="I1379" s="82"/>
      <c r="J1379" s="114"/>
      <c r="BB1379" s="117"/>
      <c r="BC1379" s="117"/>
      <c r="BD1379" s="117"/>
    </row>
    <row r="1380" spans="1:56">
      <c r="A1380" s="114"/>
      <c r="B1380" s="264"/>
      <c r="C1380" s="115"/>
      <c r="D1380" s="115"/>
      <c r="E1380" s="115"/>
      <c r="F1380" s="260" t="s">
        <v>76</v>
      </c>
      <c r="G1380" s="261">
        <f>SUM(G1379:G1379)</f>
        <v>8.3087999999999997</v>
      </c>
      <c r="H1380" s="261">
        <f>SUM(H1379:H1379)</f>
        <v>5.1930000000000005</v>
      </c>
      <c r="I1380" s="82"/>
      <c r="J1380" s="114"/>
      <c r="BB1380" s="117"/>
      <c r="BC1380" s="117"/>
      <c r="BD1380" s="117"/>
    </row>
    <row r="1381" spans="1:56" ht="16.5" thickBot="1">
      <c r="A1381" s="114"/>
      <c r="B1381" s="115"/>
      <c r="C1381" s="115"/>
      <c r="D1381" s="115"/>
      <c r="E1381" s="115"/>
      <c r="F1381" s="115"/>
      <c r="G1381" s="115"/>
      <c r="H1381" s="115"/>
      <c r="I1381" s="82"/>
      <c r="J1381" s="114"/>
      <c r="BB1381" s="117"/>
      <c r="BC1381" s="117"/>
      <c r="BD1381" s="117"/>
    </row>
    <row r="1382" spans="1:56">
      <c r="A1382" s="114"/>
      <c r="B1382" s="1285" t="s">
        <v>98</v>
      </c>
      <c r="C1382" s="1286"/>
      <c r="D1382" s="1286"/>
      <c r="E1382" s="1286"/>
      <c r="F1382" s="1287"/>
      <c r="G1382" s="115"/>
      <c r="H1382" s="115"/>
      <c r="I1382" s="82"/>
      <c r="J1382" s="114"/>
      <c r="BB1382" s="117"/>
      <c r="BC1382" s="117"/>
      <c r="BD1382" s="117"/>
    </row>
    <row r="1383" spans="1:56">
      <c r="A1383" s="114"/>
      <c r="B1383" s="634"/>
      <c r="C1383" s="115"/>
      <c r="D1383" s="115"/>
      <c r="E1383" s="115"/>
      <c r="F1383" s="182"/>
      <c r="G1383" s="115"/>
      <c r="H1383" s="115"/>
      <c r="I1383" s="82"/>
      <c r="J1383" s="114"/>
      <c r="BB1383" s="117"/>
      <c r="BC1383" s="117"/>
      <c r="BD1383" s="117"/>
    </row>
    <row r="1384" spans="1:56">
      <c r="A1384" s="114"/>
      <c r="B1384" s="635" t="s">
        <v>315</v>
      </c>
      <c r="C1384" s="203"/>
      <c r="D1384" s="204"/>
      <c r="E1384" s="205">
        <f>H1365+H1376</f>
        <v>141.15</v>
      </c>
      <c r="F1384" s="216" t="s">
        <v>13</v>
      </c>
      <c r="G1384" s="115"/>
      <c r="H1384" s="115"/>
      <c r="I1384" s="82"/>
      <c r="J1384" s="114"/>
      <c r="BB1384" s="117"/>
      <c r="BC1384" s="117"/>
      <c r="BD1384" s="117"/>
    </row>
    <row r="1385" spans="1:56">
      <c r="A1385" s="114"/>
      <c r="B1385" s="635" t="s">
        <v>316</v>
      </c>
      <c r="C1385" s="203"/>
      <c r="D1385" s="204"/>
      <c r="E1385" s="205">
        <f>G1365+G1376+G1379</f>
        <v>20.398800000000001</v>
      </c>
      <c r="F1385" s="216" t="s">
        <v>100</v>
      </c>
      <c r="G1385" s="115"/>
      <c r="H1385" s="115"/>
      <c r="I1385" s="82"/>
      <c r="J1385" s="114"/>
      <c r="BB1385" s="117"/>
      <c r="BC1385" s="117"/>
      <c r="BD1385" s="117"/>
    </row>
    <row r="1386" spans="1:56">
      <c r="A1386" s="114"/>
      <c r="B1386" s="635" t="s">
        <v>317</v>
      </c>
      <c r="C1386" s="203"/>
      <c r="D1386" s="204"/>
      <c r="E1386" s="302">
        <f>H1379</f>
        <v>5.1930000000000005</v>
      </c>
      <c r="F1386" s="216" t="s">
        <v>100</v>
      </c>
      <c r="G1386" s="115"/>
      <c r="H1386" s="115"/>
      <c r="I1386" s="82"/>
      <c r="J1386" s="114"/>
      <c r="BB1386" s="117"/>
      <c r="BC1386" s="117"/>
      <c r="BD1386" s="117"/>
    </row>
    <row r="1387" spans="1:56">
      <c r="A1387" s="114"/>
      <c r="B1387" s="635" t="s">
        <v>318</v>
      </c>
      <c r="C1387" s="172"/>
      <c r="D1387" s="173"/>
      <c r="E1387" s="280">
        <v>43.4</v>
      </c>
      <c r="F1387" s="214" t="s">
        <v>10</v>
      </c>
      <c r="G1387" s="115"/>
      <c r="H1387" s="236"/>
      <c r="I1387" s="3"/>
      <c r="J1387" s="114"/>
      <c r="BB1387" s="117"/>
      <c r="BC1387" s="117"/>
      <c r="BD1387" s="117"/>
    </row>
    <row r="1388" spans="1:56" ht="16.5" thickBot="1">
      <c r="A1388" s="114"/>
      <c r="B1388" s="779" t="s">
        <v>319</v>
      </c>
      <c r="C1388" s="174"/>
      <c r="D1388" s="176"/>
      <c r="E1388" s="281">
        <f>13.76+7.16</f>
        <v>20.92</v>
      </c>
      <c r="F1388" s="215" t="s">
        <v>10</v>
      </c>
      <c r="G1388" s="115"/>
      <c r="H1388" s="236"/>
      <c r="I1388" s="3"/>
      <c r="J1388" s="114"/>
      <c r="BB1388" s="117"/>
      <c r="BC1388" s="117"/>
      <c r="BD1388" s="117"/>
    </row>
    <row r="1389" spans="1:56">
      <c r="A1389" s="114"/>
      <c r="B1389" s="115"/>
      <c r="C1389" s="115"/>
      <c r="D1389" s="115"/>
      <c r="E1389" s="115"/>
      <c r="F1389" s="115"/>
      <c r="G1389" s="115"/>
      <c r="H1389" s="115"/>
      <c r="I1389" s="115"/>
      <c r="J1389" s="114"/>
      <c r="BB1389" s="117"/>
      <c r="BC1389" s="117"/>
      <c r="BD1389" s="117"/>
    </row>
    <row r="1390" spans="1:56" ht="16.5" thickBot="1">
      <c r="A1390" s="114"/>
      <c r="B1390" s="115"/>
      <c r="C1390" s="115"/>
      <c r="D1390" s="115"/>
      <c r="E1390" s="115"/>
      <c r="F1390" s="115"/>
      <c r="G1390" s="115"/>
      <c r="H1390" s="115"/>
      <c r="I1390" s="115"/>
      <c r="J1390" s="114"/>
      <c r="BB1390" s="117"/>
      <c r="BC1390" s="117"/>
      <c r="BD1390" s="117"/>
    </row>
    <row r="1391" spans="1:56">
      <c r="A1391" s="114"/>
      <c r="B1391" s="1285" t="s">
        <v>320</v>
      </c>
      <c r="C1391" s="1286"/>
      <c r="D1391" s="1286"/>
      <c r="E1391" s="1286"/>
      <c r="F1391" s="1287"/>
      <c r="G1391" s="115"/>
      <c r="H1391" s="115"/>
      <c r="I1391" s="82"/>
      <c r="J1391" s="114"/>
      <c r="BB1391" s="117"/>
      <c r="BC1391" s="117"/>
      <c r="BD1391" s="117"/>
    </row>
    <row r="1392" spans="1:56">
      <c r="A1392" s="114"/>
      <c r="B1392" s="690"/>
      <c r="C1392" s="115"/>
      <c r="D1392" s="115"/>
      <c r="E1392" s="115"/>
      <c r="F1392" s="182"/>
      <c r="G1392" s="115"/>
      <c r="H1392" s="115"/>
      <c r="I1392" s="82"/>
      <c r="J1392" s="114"/>
      <c r="BB1392" s="117"/>
      <c r="BC1392" s="117"/>
      <c r="BD1392" s="117"/>
    </row>
    <row r="1393" spans="1:56" ht="15">
      <c r="A1393" s="114"/>
      <c r="B1393" s="691" t="s">
        <v>399</v>
      </c>
      <c r="C1393" s="196"/>
      <c r="D1393" s="196"/>
      <c r="E1393" s="196"/>
      <c r="F1393" s="284"/>
      <c r="G1393" s="196"/>
      <c r="H1393" s="196"/>
      <c r="I1393" s="196"/>
      <c r="J1393" s="114"/>
      <c r="BB1393" s="117"/>
      <c r="BC1393" s="117"/>
      <c r="BD1393" s="117"/>
    </row>
    <row r="1394" spans="1:56" ht="15">
      <c r="A1394" s="114"/>
      <c r="B1394" s="692" t="s">
        <v>400</v>
      </c>
      <c r="C1394" s="712">
        <v>246</v>
      </c>
      <c r="D1394" s="286" t="s">
        <v>12</v>
      </c>
      <c r="E1394" s="1199" t="s">
        <v>534</v>
      </c>
      <c r="F1394" s="1200"/>
      <c r="G1394" s="196"/>
      <c r="H1394" s="196"/>
      <c r="I1394" s="196"/>
      <c r="J1394" s="114"/>
      <c r="BB1394" s="117"/>
      <c r="BC1394" s="117"/>
      <c r="BD1394" s="117"/>
    </row>
    <row r="1395" spans="1:56" ht="15">
      <c r="A1395" s="114"/>
      <c r="B1395" s="692" t="s">
        <v>535</v>
      </c>
      <c r="C1395" s="712">
        <v>125</v>
      </c>
      <c r="D1395" s="286" t="s">
        <v>12</v>
      </c>
      <c r="E1395" s="1216"/>
      <c r="F1395" s="1217"/>
      <c r="G1395" s="196"/>
      <c r="H1395" s="196"/>
      <c r="I1395" s="196"/>
      <c r="J1395" s="114"/>
      <c r="BB1395" s="117"/>
      <c r="BC1395" s="117"/>
      <c r="BD1395" s="117"/>
    </row>
    <row r="1396" spans="1:56" ht="15">
      <c r="A1396" s="114"/>
      <c r="B1396" s="692" t="s">
        <v>403</v>
      </c>
      <c r="C1396" s="712">
        <v>4</v>
      </c>
      <c r="D1396" s="286" t="s">
        <v>12</v>
      </c>
      <c r="E1396" s="1201"/>
      <c r="F1396" s="1202"/>
      <c r="G1396" s="196"/>
      <c r="H1396" s="196"/>
      <c r="I1396" s="196"/>
      <c r="J1396" s="114"/>
      <c r="BB1396" s="117"/>
      <c r="BC1396" s="117"/>
      <c r="BD1396" s="117"/>
    </row>
    <row r="1397" spans="1:56" ht="15">
      <c r="A1397" s="114"/>
      <c r="B1397" s="693"/>
      <c r="C1397" s="196"/>
      <c r="D1397" s="196"/>
      <c r="E1397" s="196"/>
      <c r="F1397" s="284"/>
      <c r="G1397" s="196"/>
      <c r="H1397" s="196"/>
      <c r="I1397" s="196"/>
      <c r="J1397" s="114"/>
      <c r="BB1397" s="117"/>
      <c r="BC1397" s="117"/>
      <c r="BD1397" s="117"/>
    </row>
    <row r="1398" spans="1:56" ht="15">
      <c r="A1398" s="114"/>
      <c r="B1398" s="691" t="s">
        <v>404</v>
      </c>
      <c r="C1398" s="196"/>
      <c r="D1398" s="196"/>
      <c r="E1398" s="196"/>
      <c r="F1398" s="284"/>
      <c r="G1398" s="196"/>
      <c r="H1398" s="196"/>
      <c r="I1398" s="196"/>
      <c r="J1398" s="114"/>
      <c r="BB1398" s="117"/>
      <c r="BC1398" s="117"/>
      <c r="BD1398" s="117"/>
    </row>
    <row r="1399" spans="1:56" ht="15">
      <c r="A1399" s="114"/>
      <c r="B1399" s="692" t="s">
        <v>353</v>
      </c>
      <c r="C1399" s="712">
        <v>14</v>
      </c>
      <c r="D1399" s="286" t="s">
        <v>12</v>
      </c>
      <c r="E1399" s="1199" t="s">
        <v>536</v>
      </c>
      <c r="F1399" s="1200"/>
      <c r="G1399" s="196"/>
      <c r="H1399" s="196"/>
      <c r="I1399" s="196"/>
      <c r="J1399" s="114"/>
      <c r="BB1399" s="117"/>
      <c r="BC1399" s="117"/>
      <c r="BD1399" s="117"/>
    </row>
    <row r="1400" spans="1:56" ht="15">
      <c r="A1400" s="114"/>
      <c r="B1400" s="692" t="s">
        <v>352</v>
      </c>
      <c r="C1400" s="712">
        <v>1731</v>
      </c>
      <c r="D1400" s="286" t="s">
        <v>12</v>
      </c>
      <c r="E1400" s="1201"/>
      <c r="F1400" s="1202"/>
      <c r="G1400" s="196"/>
      <c r="H1400" s="196"/>
      <c r="I1400" s="196"/>
      <c r="J1400" s="114"/>
      <c r="BB1400" s="117"/>
      <c r="BC1400" s="117"/>
      <c r="BD1400" s="117"/>
    </row>
    <row r="1401" spans="1:56" ht="15">
      <c r="A1401" s="114"/>
      <c r="B1401" s="694"/>
      <c r="C1401" s="211"/>
      <c r="D1401" s="196"/>
      <c r="E1401" s="288"/>
      <c r="F1401" s="284"/>
      <c r="G1401" s="196"/>
      <c r="H1401" s="196"/>
      <c r="I1401" s="196"/>
      <c r="J1401" s="114"/>
      <c r="BB1401" s="117"/>
      <c r="BC1401" s="117"/>
      <c r="BD1401" s="117"/>
    </row>
    <row r="1402" spans="1:56" ht="15">
      <c r="A1402" s="114"/>
      <c r="B1402" s="691" t="s">
        <v>351</v>
      </c>
      <c r="C1402" s="211"/>
      <c r="D1402" s="196"/>
      <c r="E1402" s="288"/>
      <c r="F1402" s="284"/>
      <c r="G1402" s="196"/>
      <c r="H1402" s="196"/>
      <c r="I1402" s="196"/>
      <c r="J1402" s="114"/>
      <c r="BB1402" s="117"/>
      <c r="BC1402" s="117"/>
      <c r="BD1402" s="117"/>
    </row>
    <row r="1403" spans="1:56">
      <c r="A1403" s="114"/>
      <c r="B1403" s="692" t="s">
        <v>352</v>
      </c>
      <c r="C1403" s="203"/>
      <c r="D1403" s="204"/>
      <c r="E1403" s="302">
        <f>SUM(C1396,C1400)</f>
        <v>1735</v>
      </c>
      <c r="F1403" s="216" t="s">
        <v>12</v>
      </c>
      <c r="G1403" s="115"/>
      <c r="H1403" s="236"/>
      <c r="I1403" s="3"/>
      <c r="J1403" s="114"/>
      <c r="BB1403" s="117"/>
      <c r="BC1403" s="117"/>
      <c r="BD1403" s="117"/>
    </row>
    <row r="1404" spans="1:56" ht="16.5" thickBot="1">
      <c r="A1404" s="114"/>
      <c r="B1404" s="695" t="s">
        <v>353</v>
      </c>
      <c r="C1404" s="217"/>
      <c r="D1404" s="218"/>
      <c r="E1404" s="304">
        <f>SUM(C1394,C1395,C1399)</f>
        <v>385</v>
      </c>
      <c r="F1404" s="219" t="s">
        <v>12</v>
      </c>
      <c r="G1404" s="115"/>
      <c r="H1404" s="236"/>
      <c r="I1404" s="3"/>
      <c r="J1404" s="114"/>
      <c r="BB1404" s="117"/>
      <c r="BC1404" s="117"/>
      <c r="BD1404" s="117"/>
    </row>
    <row r="1405" spans="1:56">
      <c r="A1405" s="114"/>
      <c r="B1405" s="288"/>
      <c r="C1405" s="208"/>
      <c r="D1405" s="208"/>
      <c r="E1405" s="209"/>
      <c r="F1405" s="207"/>
      <c r="G1405" s="115"/>
      <c r="H1405" s="236"/>
      <c r="I1405" s="3"/>
      <c r="J1405" s="114"/>
      <c r="BB1405" s="117"/>
      <c r="BC1405" s="117"/>
      <c r="BD1405" s="117"/>
    </row>
    <row r="1406" spans="1:56" ht="15">
      <c r="A1406" s="114"/>
      <c r="B1406" s="778" t="s">
        <v>2298</v>
      </c>
      <c r="C1406" s="239"/>
      <c r="D1406" s="239"/>
      <c r="E1406" s="239"/>
      <c r="F1406" s="239"/>
      <c r="G1406" s="239"/>
      <c r="H1406" s="240"/>
      <c r="I1406" s="240"/>
      <c r="J1406" s="351"/>
      <c r="BB1406" s="117"/>
      <c r="BC1406" s="117"/>
      <c r="BD1406" s="117"/>
    </row>
    <row r="1407" spans="1:56" ht="15">
      <c r="A1407" s="114"/>
      <c r="B1407" s="241" t="s">
        <v>1679</v>
      </c>
      <c r="C1407" s="81"/>
      <c r="D1407" s="81"/>
      <c r="E1407" s="81"/>
      <c r="F1407" s="81"/>
      <c r="G1407" s="81"/>
      <c r="H1407" s="82"/>
      <c r="I1407" s="82"/>
      <c r="J1407" s="114"/>
      <c r="BB1407" s="117"/>
      <c r="BC1407" s="117"/>
      <c r="BD1407" s="117"/>
    </row>
    <row r="1408" spans="1:56" ht="15">
      <c r="A1408" s="114"/>
      <c r="B1408" s="288" t="s">
        <v>1787</v>
      </c>
      <c r="C1408" s="230"/>
      <c r="D1408" s="230"/>
      <c r="E1408" s="384"/>
      <c r="F1408" s="196"/>
      <c r="G1408" s="196"/>
      <c r="H1408" s="196"/>
      <c r="I1408" s="196"/>
      <c r="J1408" s="114"/>
      <c r="AW1408" s="117"/>
      <c r="AX1408" s="117"/>
      <c r="AY1408" s="117"/>
      <c r="AZ1408" s="117"/>
      <c r="BA1408" s="117"/>
      <c r="BB1408" s="117"/>
      <c r="BC1408" s="117"/>
      <c r="BD1408" s="117"/>
    </row>
    <row r="1409" spans="1:56" ht="15">
      <c r="A1409" s="114"/>
      <c r="B1409" s="264"/>
      <c r="C1409" s="264"/>
      <c r="D1409" s="264"/>
      <c r="E1409" s="264"/>
      <c r="F1409" s="264"/>
      <c r="G1409" s="264"/>
      <c r="H1409" s="264"/>
      <c r="I1409" s="82"/>
      <c r="J1409" s="114"/>
      <c r="BB1409" s="117"/>
      <c r="BC1409" s="117"/>
      <c r="BD1409" s="117"/>
    </row>
    <row r="1410" spans="1:56" ht="15">
      <c r="A1410" s="114"/>
      <c r="B1410" s="305" t="s">
        <v>135</v>
      </c>
      <c r="C1410" s="306" t="s">
        <v>61</v>
      </c>
      <c r="D1410" s="306" t="s">
        <v>82</v>
      </c>
      <c r="E1410" s="306" t="s">
        <v>66</v>
      </c>
      <c r="F1410" s="306" t="s">
        <v>62</v>
      </c>
      <c r="G1410" s="243" t="s">
        <v>99</v>
      </c>
      <c r="H1410" s="243" t="s">
        <v>68</v>
      </c>
      <c r="I1410" s="82"/>
      <c r="J1410" s="114"/>
      <c r="BB1410" s="117"/>
      <c r="BC1410" s="117"/>
      <c r="BD1410" s="117"/>
    </row>
    <row r="1411" spans="1:56" ht="15">
      <c r="A1411" s="114"/>
      <c r="B1411" s="246" t="s">
        <v>184</v>
      </c>
      <c r="C1411" s="247">
        <v>1</v>
      </c>
      <c r="D1411" s="248">
        <v>0.25</v>
      </c>
      <c r="E1411" s="249">
        <v>0.6</v>
      </c>
      <c r="F1411" s="249">
        <f>5.95*2</f>
        <v>11.9</v>
      </c>
      <c r="G1411" s="202">
        <f t="shared" ref="G1411:G1417" si="30">D1411*E1411*F1411*C1411</f>
        <v>1.7849999999999999</v>
      </c>
      <c r="H1411" s="202">
        <f t="shared" ref="H1411:H1417" si="31">((E1411*2)+D1411)*F1411*C1411</f>
        <v>17.254999999999999</v>
      </c>
      <c r="I1411" s="82"/>
      <c r="J1411" s="114"/>
      <c r="BB1411" s="117"/>
      <c r="BC1411" s="117"/>
      <c r="BD1411" s="117"/>
    </row>
    <row r="1412" spans="1:56" ht="15">
      <c r="A1412" s="114"/>
      <c r="B1412" s="246" t="s">
        <v>156</v>
      </c>
      <c r="C1412" s="247">
        <v>1</v>
      </c>
      <c r="D1412" s="248">
        <v>0.25</v>
      </c>
      <c r="E1412" s="249">
        <v>0.8</v>
      </c>
      <c r="F1412" s="249">
        <f>2*5.95</f>
        <v>11.9</v>
      </c>
      <c r="G1412" s="202">
        <f t="shared" si="30"/>
        <v>2.3800000000000003</v>
      </c>
      <c r="H1412" s="202">
        <f t="shared" si="31"/>
        <v>22.015000000000001</v>
      </c>
      <c r="I1412" s="82"/>
      <c r="J1412" s="114"/>
      <c r="BB1412" s="117"/>
      <c r="BC1412" s="117"/>
      <c r="BD1412" s="117"/>
    </row>
    <row r="1413" spans="1:56" ht="15">
      <c r="A1413" s="114"/>
      <c r="B1413" s="246" t="s">
        <v>136</v>
      </c>
      <c r="C1413" s="247">
        <v>1</v>
      </c>
      <c r="D1413" s="248">
        <v>0.25</v>
      </c>
      <c r="E1413" s="249">
        <v>0.8</v>
      </c>
      <c r="F1413" s="249">
        <v>3.65</v>
      </c>
      <c r="G1413" s="202">
        <f t="shared" si="30"/>
        <v>0.73</v>
      </c>
      <c r="H1413" s="202">
        <f t="shared" si="31"/>
        <v>6.7525000000000004</v>
      </c>
      <c r="I1413" s="82"/>
      <c r="J1413" s="114"/>
      <c r="BB1413" s="117"/>
      <c r="BC1413" s="117"/>
      <c r="BD1413" s="117"/>
    </row>
    <row r="1414" spans="1:56" ht="15">
      <c r="A1414" s="114"/>
      <c r="B1414" s="246" t="s">
        <v>137</v>
      </c>
      <c r="C1414" s="247">
        <v>1</v>
      </c>
      <c r="D1414" s="248">
        <v>0.25</v>
      </c>
      <c r="E1414" s="249">
        <v>0.4</v>
      </c>
      <c r="F1414" s="249">
        <v>3.65</v>
      </c>
      <c r="G1414" s="202">
        <f t="shared" si="30"/>
        <v>0.36499999999999999</v>
      </c>
      <c r="H1414" s="202">
        <f t="shared" si="31"/>
        <v>3.8325</v>
      </c>
      <c r="I1414" s="82"/>
      <c r="J1414" s="114"/>
      <c r="BB1414" s="117"/>
      <c r="BC1414" s="117"/>
      <c r="BD1414" s="117"/>
    </row>
    <row r="1415" spans="1:56" ht="15">
      <c r="A1415" s="114"/>
      <c r="B1415" s="246" t="s">
        <v>138</v>
      </c>
      <c r="C1415" s="247">
        <v>1</v>
      </c>
      <c r="D1415" s="248">
        <v>0.25</v>
      </c>
      <c r="E1415" s="249">
        <v>0.8</v>
      </c>
      <c r="F1415" s="249">
        <v>3.65</v>
      </c>
      <c r="G1415" s="202">
        <f t="shared" si="30"/>
        <v>0.73</v>
      </c>
      <c r="H1415" s="202">
        <f t="shared" si="31"/>
        <v>6.7525000000000004</v>
      </c>
      <c r="I1415" s="82"/>
      <c r="J1415" s="114"/>
      <c r="BB1415" s="117"/>
      <c r="BC1415" s="117"/>
      <c r="BD1415" s="117"/>
    </row>
    <row r="1416" spans="1:56" ht="15">
      <c r="A1416" s="114"/>
      <c r="B1416" s="246" t="s">
        <v>2205</v>
      </c>
      <c r="C1416" s="247">
        <v>2</v>
      </c>
      <c r="D1416" s="248">
        <v>0.2</v>
      </c>
      <c r="E1416" s="249">
        <v>0.15</v>
      </c>
      <c r="F1416" s="249">
        <v>4</v>
      </c>
      <c r="G1416" s="202">
        <f t="shared" si="30"/>
        <v>0.24</v>
      </c>
      <c r="H1416" s="202">
        <f t="shared" si="31"/>
        <v>4</v>
      </c>
      <c r="I1416" s="82"/>
      <c r="J1416" s="114"/>
      <c r="BB1416" s="117"/>
      <c r="BC1416" s="117"/>
      <c r="BD1416" s="117"/>
    </row>
    <row r="1417" spans="1:56" ht="15">
      <c r="A1417" s="114"/>
      <c r="B1417" s="246" t="s">
        <v>2205</v>
      </c>
      <c r="C1417" s="247">
        <v>2</v>
      </c>
      <c r="D1417" s="248">
        <v>0.15</v>
      </c>
      <c r="E1417" s="249">
        <v>7.5999999999999998E-2</v>
      </c>
      <c r="F1417" s="249">
        <v>2.2000000000000002</v>
      </c>
      <c r="G1417" s="202">
        <f t="shared" si="30"/>
        <v>5.0159999999999996E-2</v>
      </c>
      <c r="H1417" s="202">
        <f t="shared" si="31"/>
        <v>1.3288</v>
      </c>
      <c r="I1417" s="82"/>
      <c r="J1417" s="114"/>
      <c r="BB1417" s="117"/>
      <c r="BC1417" s="117"/>
      <c r="BD1417" s="117"/>
    </row>
    <row r="1418" spans="1:56" ht="15">
      <c r="A1418" s="114"/>
      <c r="B1418" s="264"/>
      <c r="C1418" s="264"/>
      <c r="D1418" s="264"/>
      <c r="E1418" s="264"/>
      <c r="F1418" s="260" t="s">
        <v>76</v>
      </c>
      <c r="G1418" s="261">
        <f>SUM(G1411:G1417)</f>
        <v>6.2801600000000004</v>
      </c>
      <c r="H1418" s="261">
        <f>SUM(H1411:H1417)</f>
        <v>61.936299999999996</v>
      </c>
      <c r="I1418" s="82"/>
      <c r="J1418" s="114"/>
      <c r="BB1418" s="117"/>
      <c r="BC1418" s="117"/>
      <c r="BD1418" s="117"/>
    </row>
    <row r="1419" spans="1:56" ht="15">
      <c r="A1419" s="114"/>
      <c r="B1419" s="264"/>
      <c r="C1419" s="264"/>
      <c r="D1419" s="264"/>
      <c r="E1419" s="264"/>
      <c r="F1419" s="262"/>
      <c r="G1419" s="263"/>
      <c r="H1419" s="263"/>
      <c r="I1419" s="82"/>
      <c r="J1419" s="114"/>
      <c r="BB1419" s="117"/>
      <c r="BC1419" s="117"/>
      <c r="BD1419" s="117"/>
    </row>
    <row r="1420" spans="1:56" ht="15">
      <c r="A1420" s="114"/>
      <c r="B1420" s="305" t="s">
        <v>537</v>
      </c>
      <c r="C1420" s="306" t="s">
        <v>61</v>
      </c>
      <c r="D1420" s="199" t="s">
        <v>395</v>
      </c>
      <c r="E1420" s="199" t="s">
        <v>396</v>
      </c>
      <c r="F1420" s="306" t="s">
        <v>48</v>
      </c>
      <c r="G1420" s="243" t="s">
        <v>99</v>
      </c>
      <c r="H1420" s="243" t="s">
        <v>68</v>
      </c>
      <c r="I1420" s="196"/>
      <c r="J1420" s="114"/>
      <c r="BB1420" s="117"/>
      <c r="BC1420" s="117"/>
      <c r="BD1420" s="117"/>
    </row>
    <row r="1421" spans="1:56" ht="15">
      <c r="A1421" s="114"/>
      <c r="B1421" s="307" t="s">
        <v>87</v>
      </c>
      <c r="C1421" s="247">
        <v>1</v>
      </c>
      <c r="D1421" s="248">
        <f>18.54-1.21</f>
        <v>17.329999999999998</v>
      </c>
      <c r="E1421" s="249">
        <v>0.15</v>
      </c>
      <c r="F1421" s="249"/>
      <c r="G1421" s="273">
        <f t="shared" ref="G1421:G1426" si="32">(E1421*D1421)*C1421</f>
        <v>2.5994999999999995</v>
      </c>
      <c r="H1421" s="274">
        <f t="shared" ref="H1421:H1426" si="33">D1421</f>
        <v>17.329999999999998</v>
      </c>
      <c r="I1421" s="362"/>
      <c r="J1421" s="196"/>
      <c r="BA1421" s="117"/>
      <c r="BB1421" s="117"/>
      <c r="BC1421" s="117"/>
      <c r="BD1421" s="117"/>
    </row>
    <row r="1422" spans="1:56" ht="15">
      <c r="A1422" s="114"/>
      <c r="B1422" s="307" t="s">
        <v>88</v>
      </c>
      <c r="C1422" s="247">
        <v>1</v>
      </c>
      <c r="D1422" s="248">
        <f>18.54-1.21</f>
        <v>17.329999999999998</v>
      </c>
      <c r="E1422" s="249">
        <v>0.15</v>
      </c>
      <c r="F1422" s="249"/>
      <c r="G1422" s="273">
        <f t="shared" si="32"/>
        <v>2.5994999999999995</v>
      </c>
      <c r="H1422" s="274">
        <f t="shared" si="33"/>
        <v>17.329999999999998</v>
      </c>
      <c r="I1422" s="362"/>
      <c r="J1422" s="196"/>
      <c r="BA1422" s="117"/>
      <c r="BB1422" s="117"/>
      <c r="BC1422" s="117"/>
      <c r="BD1422" s="117"/>
    </row>
    <row r="1423" spans="1:56" ht="15">
      <c r="A1423" s="114"/>
      <c r="B1423" s="307" t="s">
        <v>131</v>
      </c>
      <c r="C1423" s="247">
        <v>1</v>
      </c>
      <c r="D1423" s="248">
        <f>18.54-0.36</f>
        <v>18.18</v>
      </c>
      <c r="E1423" s="249">
        <v>0.15</v>
      </c>
      <c r="F1423" s="249"/>
      <c r="G1423" s="273">
        <f t="shared" si="32"/>
        <v>2.7269999999999999</v>
      </c>
      <c r="H1423" s="274">
        <f t="shared" si="33"/>
        <v>18.18</v>
      </c>
      <c r="I1423" s="362"/>
      <c r="J1423" s="196"/>
      <c r="BA1423" s="117"/>
      <c r="BB1423" s="117"/>
      <c r="BC1423" s="117"/>
      <c r="BD1423" s="117"/>
    </row>
    <row r="1424" spans="1:56" ht="15">
      <c r="A1424" s="114"/>
      <c r="B1424" s="307" t="s">
        <v>132</v>
      </c>
      <c r="C1424" s="247">
        <v>1</v>
      </c>
      <c r="D1424" s="248">
        <f>18.54-0.36</f>
        <v>18.18</v>
      </c>
      <c r="E1424" s="249">
        <v>0.15</v>
      </c>
      <c r="F1424" s="249"/>
      <c r="G1424" s="273">
        <f t="shared" si="32"/>
        <v>2.7269999999999999</v>
      </c>
      <c r="H1424" s="274">
        <f t="shared" si="33"/>
        <v>18.18</v>
      </c>
      <c r="I1424" s="362"/>
      <c r="J1424" s="196"/>
      <c r="BA1424" s="117"/>
      <c r="BB1424" s="117"/>
      <c r="BC1424" s="117"/>
      <c r="BD1424" s="117"/>
    </row>
    <row r="1425" spans="1:56" ht="15">
      <c r="A1425" s="114"/>
      <c r="B1425" s="307" t="s">
        <v>133</v>
      </c>
      <c r="C1425" s="247">
        <v>1</v>
      </c>
      <c r="D1425" s="248">
        <f>5.95*3.65</f>
        <v>21.717500000000001</v>
      </c>
      <c r="E1425" s="249">
        <v>0.15</v>
      </c>
      <c r="F1425" s="249"/>
      <c r="G1425" s="273">
        <f t="shared" si="32"/>
        <v>3.257625</v>
      </c>
      <c r="H1425" s="274">
        <f t="shared" si="33"/>
        <v>21.717500000000001</v>
      </c>
      <c r="I1425" s="362"/>
      <c r="J1425" s="196"/>
      <c r="BA1425" s="117"/>
      <c r="BB1425" s="117"/>
      <c r="BC1425" s="117"/>
      <c r="BD1425" s="117"/>
    </row>
    <row r="1426" spans="1:56">
      <c r="A1426" s="114"/>
      <c r="B1426" s="307" t="s">
        <v>134</v>
      </c>
      <c r="C1426" s="247">
        <v>1</v>
      </c>
      <c r="D1426" s="248">
        <f>5.95*3.65</f>
        <v>21.717500000000001</v>
      </c>
      <c r="E1426" s="249">
        <v>0.15</v>
      </c>
      <c r="F1426" s="249"/>
      <c r="G1426" s="273">
        <f t="shared" si="32"/>
        <v>3.257625</v>
      </c>
      <c r="H1426" s="274">
        <f t="shared" si="33"/>
        <v>21.717500000000001</v>
      </c>
      <c r="I1426" s="115"/>
      <c r="J1426" s="114"/>
      <c r="AX1426" s="117"/>
      <c r="AY1426" s="117"/>
      <c r="AZ1426" s="117"/>
      <c r="BA1426" s="117"/>
      <c r="BB1426" s="117"/>
      <c r="BC1426" s="117"/>
      <c r="BD1426" s="117"/>
    </row>
    <row r="1427" spans="1:56">
      <c r="A1427" s="114"/>
      <c r="B1427" s="235"/>
      <c r="C1427" s="329"/>
      <c r="D1427" s="6"/>
      <c r="E1427" s="264"/>
      <c r="F1427" s="260" t="s">
        <v>76</v>
      </c>
      <c r="G1427" s="261">
        <f>SUM(G1421:G1426)</f>
        <v>17.16825</v>
      </c>
      <c r="H1427" s="261">
        <f>SUM(H1421:H1426)</f>
        <v>114.455</v>
      </c>
      <c r="I1427" s="115"/>
      <c r="J1427" s="114"/>
      <c r="AX1427" s="117"/>
      <c r="AY1427" s="117"/>
      <c r="AZ1427" s="117"/>
      <c r="BA1427" s="117"/>
      <c r="BB1427" s="117"/>
      <c r="BC1427" s="117"/>
      <c r="BD1427" s="117"/>
    </row>
    <row r="1428" spans="1:56" ht="15">
      <c r="A1428" s="114"/>
      <c r="B1428" s="264"/>
      <c r="C1428" s="264"/>
      <c r="D1428" s="264"/>
      <c r="E1428" s="264"/>
      <c r="F1428" s="330"/>
      <c r="G1428" s="330"/>
      <c r="H1428" s="330"/>
      <c r="I1428" s="82"/>
      <c r="J1428" s="114"/>
      <c r="BB1428" s="117"/>
      <c r="BC1428" s="117"/>
      <c r="BD1428" s="117"/>
    </row>
    <row r="1429" spans="1:56" ht="15">
      <c r="A1429" s="114"/>
      <c r="B1429" s="305" t="s">
        <v>96</v>
      </c>
      <c r="C1429" s="306" t="s">
        <v>61</v>
      </c>
      <c r="D1429" s="306" t="s">
        <v>82</v>
      </c>
      <c r="E1429" s="306" t="s">
        <v>66</v>
      </c>
      <c r="F1429" s="306" t="s">
        <v>62</v>
      </c>
      <c r="G1429" s="243" t="s">
        <v>99</v>
      </c>
      <c r="H1429" s="243" t="s">
        <v>68</v>
      </c>
      <c r="I1429" s="82"/>
      <c r="J1429" s="114"/>
      <c r="BB1429" s="117"/>
      <c r="BC1429" s="117"/>
      <c r="BD1429" s="117"/>
    </row>
    <row r="1430" spans="1:56" ht="15">
      <c r="A1430" s="114"/>
      <c r="B1430" s="246" t="s">
        <v>538</v>
      </c>
      <c r="C1430" s="247">
        <v>1</v>
      </c>
      <c r="D1430" s="248">
        <v>0.25</v>
      </c>
      <c r="E1430" s="249">
        <v>0.25</v>
      </c>
      <c r="F1430" s="249">
        <v>4.1500000000000004</v>
      </c>
      <c r="G1430" s="202">
        <f>D1430*E1430*F1430*C1430</f>
        <v>0.25937500000000002</v>
      </c>
      <c r="H1430" s="202">
        <f>(D1430+E1430)*2*F1430*C1430</f>
        <v>4.1500000000000004</v>
      </c>
      <c r="I1430" s="82"/>
      <c r="J1430" s="114"/>
      <c r="BB1430" s="117"/>
      <c r="BC1430" s="117"/>
      <c r="BD1430" s="117"/>
    </row>
    <row r="1431" spans="1:56" ht="15">
      <c r="A1431" s="114"/>
      <c r="B1431" s="246" t="s">
        <v>240</v>
      </c>
      <c r="C1431" s="247">
        <v>1</v>
      </c>
      <c r="D1431" s="248">
        <v>0.25</v>
      </c>
      <c r="E1431" s="249">
        <v>0.25</v>
      </c>
      <c r="F1431" s="249">
        <v>4.1500000000000004</v>
      </c>
      <c r="G1431" s="202">
        <f>D1431*E1431*F1431*C1431</f>
        <v>0.25937500000000002</v>
      </c>
      <c r="H1431" s="202">
        <f>(D1431+E1431)*2*F1431*C1431</f>
        <v>4.1500000000000004</v>
      </c>
      <c r="I1431" s="82"/>
      <c r="J1431" s="114"/>
      <c r="BB1431" s="117"/>
      <c r="BC1431" s="117"/>
      <c r="BD1431" s="117"/>
    </row>
    <row r="1432" spans="1:56" ht="15">
      <c r="A1432" s="114"/>
      <c r="B1432" s="246" t="s">
        <v>449</v>
      </c>
      <c r="C1432" s="247">
        <v>1</v>
      </c>
      <c r="D1432" s="249">
        <v>0.25</v>
      </c>
      <c r="E1432" s="249">
        <v>0.25</v>
      </c>
      <c r="F1432" s="249">
        <v>4.1500000000000004</v>
      </c>
      <c r="G1432" s="202">
        <f>D1432*E1432*F1432*C1432</f>
        <v>0.25937500000000002</v>
      </c>
      <c r="H1432" s="202">
        <f>(D1432+E1432)*2*F1432*C1432</f>
        <v>4.1500000000000004</v>
      </c>
      <c r="I1432" s="82"/>
      <c r="J1432" s="114"/>
      <c r="BB1432" s="117"/>
      <c r="BC1432" s="117"/>
      <c r="BD1432" s="117"/>
    </row>
    <row r="1433" spans="1:56">
      <c r="A1433" s="114"/>
      <c r="B1433" s="264"/>
      <c r="C1433" s="115"/>
      <c r="D1433" s="115"/>
      <c r="E1433" s="115"/>
      <c r="F1433" s="260" t="s">
        <v>76</v>
      </c>
      <c r="G1433" s="261">
        <f>SUM(G1430:G1432)</f>
        <v>0.77812500000000007</v>
      </c>
      <c r="H1433" s="261">
        <f>SUM(H1430:H1432)</f>
        <v>12.450000000000001</v>
      </c>
      <c r="I1433" s="82"/>
      <c r="J1433" s="114"/>
      <c r="BB1433" s="117"/>
      <c r="BC1433" s="117"/>
      <c r="BD1433" s="117"/>
    </row>
    <row r="1434" spans="1:56">
      <c r="A1434" s="114"/>
      <c r="B1434" s="264"/>
      <c r="C1434" s="115"/>
      <c r="D1434" s="115"/>
      <c r="E1434" s="115"/>
      <c r="F1434" s="227"/>
      <c r="G1434" s="257"/>
      <c r="H1434" s="257"/>
      <c r="I1434" s="82"/>
      <c r="J1434" s="114"/>
      <c r="BB1434" s="117"/>
      <c r="BC1434" s="117"/>
      <c r="BD1434" s="117"/>
    </row>
    <row r="1435" spans="1:56" ht="15">
      <c r="A1435" s="114"/>
      <c r="B1435" s="305" t="s">
        <v>160</v>
      </c>
      <c r="C1435" s="306" t="s">
        <v>61</v>
      </c>
      <c r="D1435" s="306" t="s">
        <v>82</v>
      </c>
      <c r="E1435" s="306" t="s">
        <v>539</v>
      </c>
      <c r="F1435" s="306" t="s">
        <v>62</v>
      </c>
      <c r="G1435" s="243" t="s">
        <v>99</v>
      </c>
      <c r="H1435" s="243" t="s">
        <v>68</v>
      </c>
      <c r="I1435" s="82"/>
      <c r="J1435" s="114"/>
      <c r="BB1435" s="117"/>
      <c r="BC1435" s="117"/>
      <c r="BD1435" s="117"/>
    </row>
    <row r="1436" spans="1:56" ht="15">
      <c r="A1436" s="114"/>
      <c r="B1436" s="246" t="s">
        <v>161</v>
      </c>
      <c r="C1436" s="247">
        <v>1</v>
      </c>
      <c r="D1436" s="248">
        <v>0.25</v>
      </c>
      <c r="E1436" s="249">
        <f>5.55-1</f>
        <v>4.55</v>
      </c>
      <c r="F1436" s="249">
        <v>12.65</v>
      </c>
      <c r="G1436" s="202">
        <f>D1436*E1436*F1436*C1436</f>
        <v>14.389374999999999</v>
      </c>
      <c r="H1436" s="202">
        <f>(D1436+F1436)*2*E1436*C1436</f>
        <v>117.39</v>
      </c>
      <c r="I1436" s="82"/>
      <c r="J1436" s="114"/>
      <c r="BB1436" s="117"/>
      <c r="BC1436" s="117"/>
      <c r="BD1436" s="117"/>
    </row>
    <row r="1437" spans="1:56" ht="15">
      <c r="A1437" s="114"/>
      <c r="B1437" s="246" t="s">
        <v>162</v>
      </c>
      <c r="C1437" s="247">
        <v>1</v>
      </c>
      <c r="D1437" s="248">
        <v>0.25</v>
      </c>
      <c r="E1437" s="249">
        <f>5.15-1</f>
        <v>4.1500000000000004</v>
      </c>
      <c r="F1437" s="249">
        <v>12.65</v>
      </c>
      <c r="G1437" s="202">
        <f>D1437*E1437*F1437*C1437</f>
        <v>13.124375000000002</v>
      </c>
      <c r="H1437" s="202">
        <f>(D1437+F1437)*2*E1437*C1437</f>
        <v>107.07000000000001</v>
      </c>
      <c r="I1437" s="82"/>
      <c r="J1437" s="114"/>
      <c r="BB1437" s="117"/>
      <c r="BC1437" s="117"/>
      <c r="BD1437" s="117"/>
    </row>
    <row r="1438" spans="1:56" ht="15">
      <c r="A1438" s="114"/>
      <c r="B1438" s="246" t="s">
        <v>163</v>
      </c>
      <c r="C1438" s="247">
        <v>1</v>
      </c>
      <c r="D1438" s="248">
        <v>0.25</v>
      </c>
      <c r="E1438" s="249">
        <f>5.55-1</f>
        <v>4.55</v>
      </c>
      <c r="F1438" s="249">
        <f>3.125*2+0.25</f>
        <v>6.5</v>
      </c>
      <c r="G1438" s="202">
        <f>D1438*E1438*F1438*C1438</f>
        <v>7.3937499999999998</v>
      </c>
      <c r="H1438" s="202">
        <f>(D1438+F1438)*2*E1438*C1438</f>
        <v>61.424999999999997</v>
      </c>
      <c r="I1438" s="82"/>
      <c r="J1438" s="114"/>
      <c r="BB1438" s="117"/>
      <c r="BC1438" s="117"/>
      <c r="BD1438" s="117"/>
    </row>
    <row r="1439" spans="1:56" ht="15">
      <c r="A1439" s="114"/>
      <c r="B1439" s="246" t="s">
        <v>164</v>
      </c>
      <c r="C1439" s="247">
        <v>1</v>
      </c>
      <c r="D1439" s="248">
        <v>0.25</v>
      </c>
      <c r="E1439" s="249">
        <f>5.15-1</f>
        <v>4.1500000000000004</v>
      </c>
      <c r="F1439" s="249">
        <v>6.5</v>
      </c>
      <c r="G1439" s="202">
        <f>D1439*E1439*F1439*C1439</f>
        <v>6.7437500000000004</v>
      </c>
      <c r="H1439" s="202">
        <f>(D1439+F1439)*2*E1439*C1439</f>
        <v>56.025000000000006</v>
      </c>
      <c r="I1439" s="82"/>
      <c r="J1439" s="114"/>
      <c r="BB1439" s="117"/>
      <c r="BC1439" s="117"/>
      <c r="BD1439" s="117"/>
    </row>
    <row r="1440" spans="1:56" ht="15">
      <c r="A1440" s="114"/>
      <c r="B1440" s="246" t="s">
        <v>165</v>
      </c>
      <c r="C1440" s="247">
        <v>1</v>
      </c>
      <c r="D1440" s="248">
        <v>0.25</v>
      </c>
      <c r="E1440" s="249">
        <f>5.55-1</f>
        <v>4.55</v>
      </c>
      <c r="F1440" s="250">
        <v>6.5</v>
      </c>
      <c r="G1440" s="251">
        <f>D1440*E1440*F1440*C1440</f>
        <v>7.3937499999999998</v>
      </c>
      <c r="H1440" s="202">
        <f>(D1440+F1440)*2*E1440*C1440</f>
        <v>61.424999999999997</v>
      </c>
      <c r="I1440" s="82"/>
      <c r="J1440" s="114"/>
      <c r="BB1440" s="117"/>
      <c r="BC1440" s="117"/>
      <c r="BD1440" s="117"/>
    </row>
    <row r="1441" spans="1:56">
      <c r="A1441" s="114"/>
      <c r="B1441" s="264" t="s">
        <v>2228</v>
      </c>
      <c r="C1441" s="115"/>
      <c r="D1441" s="115"/>
      <c r="E1441" s="115"/>
      <c r="F1441" s="260" t="s">
        <v>76</v>
      </c>
      <c r="G1441" s="261">
        <f>SUM(G1436:G1440)</f>
        <v>49.044999999999995</v>
      </c>
      <c r="H1441" s="261">
        <f>SUM(H1436:H1440)</f>
        <v>403.33499999999998</v>
      </c>
      <c r="I1441" s="82"/>
      <c r="J1441" s="114"/>
      <c r="BB1441" s="117"/>
      <c r="BC1441" s="117"/>
      <c r="BD1441" s="117"/>
    </row>
    <row r="1442" spans="1:56">
      <c r="A1442" s="114"/>
      <c r="B1442" s="264"/>
      <c r="C1442" s="115"/>
      <c r="D1442" s="115"/>
      <c r="E1442" s="115"/>
      <c r="F1442" s="227"/>
      <c r="G1442" s="257"/>
      <c r="H1442" s="257"/>
      <c r="I1442" s="82"/>
      <c r="J1442" s="114"/>
      <c r="BB1442" s="117"/>
      <c r="BC1442" s="117"/>
      <c r="BD1442" s="117"/>
    </row>
    <row r="1443" spans="1:56">
      <c r="A1443" s="114"/>
      <c r="B1443" s="264"/>
      <c r="C1443" s="115"/>
      <c r="D1443" s="115"/>
      <c r="E1443" s="115"/>
      <c r="F1443" s="227"/>
      <c r="G1443" s="257"/>
      <c r="H1443" s="257"/>
      <c r="I1443" s="82"/>
      <c r="J1443" s="114"/>
      <c r="BB1443" s="117"/>
      <c r="BC1443" s="117"/>
      <c r="BD1443" s="117"/>
    </row>
    <row r="1444" spans="1:56">
      <c r="A1444" s="114"/>
      <c r="B1444" s="264"/>
      <c r="C1444" s="115"/>
      <c r="D1444" s="115"/>
      <c r="E1444" s="115"/>
      <c r="F1444" s="227"/>
      <c r="G1444" s="257"/>
      <c r="H1444" s="257"/>
      <c r="I1444" s="82"/>
      <c r="J1444" s="114"/>
      <c r="BB1444" s="117"/>
      <c r="BC1444" s="117"/>
      <c r="BD1444" s="117"/>
    </row>
    <row r="1445" spans="1:56" ht="15">
      <c r="A1445" s="114"/>
      <c r="B1445" s="305" t="s">
        <v>533</v>
      </c>
      <c r="C1445" s="306" t="s">
        <v>61</v>
      </c>
      <c r="D1445" s="199" t="s">
        <v>395</v>
      </c>
      <c r="E1445" s="199" t="s">
        <v>396</v>
      </c>
      <c r="F1445" s="306" t="s">
        <v>48</v>
      </c>
      <c r="G1445" s="243" t="s">
        <v>95</v>
      </c>
      <c r="H1445" s="243" t="s">
        <v>397</v>
      </c>
      <c r="I1445" s="82"/>
      <c r="J1445" s="114"/>
      <c r="BB1445" s="117"/>
      <c r="BC1445" s="117"/>
      <c r="BD1445" s="117"/>
    </row>
    <row r="1446" spans="1:56" ht="15">
      <c r="A1446" s="114"/>
      <c r="B1446" s="307" t="s">
        <v>2200</v>
      </c>
      <c r="C1446" s="247">
        <v>1</v>
      </c>
      <c r="D1446" s="276">
        <f>15.87*2+18.38*2+1.4*2+3.46+11.16*2+6.76*2</f>
        <v>110.59999999999998</v>
      </c>
      <c r="E1446" s="194">
        <v>0.2</v>
      </c>
      <c r="F1446" s="308"/>
      <c r="G1446" s="273">
        <f>C1446*D1446*E1446</f>
        <v>22.119999999999997</v>
      </c>
      <c r="H1446" s="274">
        <f>C1446*D1446*0.05</f>
        <v>5.5299999999999994</v>
      </c>
      <c r="I1446" s="82"/>
      <c r="J1446" s="114"/>
      <c r="BB1446" s="117"/>
      <c r="BC1446" s="117"/>
      <c r="BD1446" s="117"/>
    </row>
    <row r="1447" spans="1:56">
      <c r="A1447" s="114"/>
      <c r="B1447" s="264"/>
      <c r="C1447" s="115"/>
      <c r="D1447" s="115"/>
      <c r="E1447" s="115"/>
      <c r="F1447" s="260" t="s">
        <v>76</v>
      </c>
      <c r="G1447" s="261">
        <f>SUM(G1446:G1446)</f>
        <v>22.119999999999997</v>
      </c>
      <c r="H1447" s="261">
        <f>SUM(H1446:H1446)</f>
        <v>5.5299999999999994</v>
      </c>
      <c r="I1447" s="82"/>
      <c r="J1447" s="114"/>
      <c r="BB1447" s="117"/>
      <c r="BC1447" s="117"/>
      <c r="BD1447" s="117"/>
    </row>
    <row r="1448" spans="1:56">
      <c r="A1448" s="114"/>
      <c r="B1448" s="309"/>
      <c r="C1448" s="362"/>
      <c r="D1448" s="362"/>
      <c r="E1448" s="362"/>
      <c r="F1448" s="115"/>
      <c r="G1448" s="196"/>
      <c r="H1448" s="257"/>
      <c r="I1448" s="82"/>
      <c r="J1448" s="114"/>
      <c r="BB1448" s="117"/>
      <c r="BC1448" s="117"/>
      <c r="BD1448" s="117"/>
    </row>
    <row r="1449" spans="1:56">
      <c r="A1449" s="114"/>
      <c r="B1449" s="264"/>
      <c r="C1449" s="115"/>
      <c r="D1449" s="115"/>
      <c r="E1449" s="115"/>
      <c r="F1449" s="227"/>
      <c r="G1449" s="257"/>
      <c r="H1449" s="257"/>
      <c r="I1449" s="82"/>
      <c r="J1449" s="114"/>
      <c r="BB1449" s="117"/>
      <c r="BC1449" s="117"/>
      <c r="BD1449" s="117"/>
    </row>
    <row r="1450" spans="1:56" ht="15">
      <c r="A1450" s="114"/>
      <c r="B1450" s="305" t="s">
        <v>2201</v>
      </c>
      <c r="C1450" s="306" t="s">
        <v>61</v>
      </c>
      <c r="D1450" s="199" t="s">
        <v>395</v>
      </c>
      <c r="E1450" s="199" t="s">
        <v>396</v>
      </c>
      <c r="F1450" s="306" t="s">
        <v>48</v>
      </c>
      <c r="G1450" s="243" t="s">
        <v>2202</v>
      </c>
      <c r="H1450" s="82"/>
      <c r="I1450" s="114"/>
      <c r="J1450" s="114"/>
      <c r="BA1450" s="117"/>
      <c r="BB1450" s="117"/>
      <c r="BC1450" s="117"/>
      <c r="BD1450" s="117"/>
    </row>
    <row r="1451" spans="1:56" ht="15">
      <c r="A1451" s="114"/>
      <c r="B1451" s="307" t="s">
        <v>533</v>
      </c>
      <c r="C1451" s="247">
        <v>1</v>
      </c>
      <c r="D1451" s="276">
        <f>15.87*2+18.38*2+1.4*2+3.46+11.16*2+6.76*2</f>
        <v>110.59999999999998</v>
      </c>
      <c r="E1451" s="194">
        <v>0.04</v>
      </c>
      <c r="F1451" s="308"/>
      <c r="G1451" s="273">
        <f>C1451*D1451*E1451</f>
        <v>4.4239999999999995</v>
      </c>
      <c r="H1451" s="82"/>
      <c r="I1451" s="114"/>
      <c r="J1451" s="114"/>
      <c r="BA1451" s="117"/>
      <c r="BB1451" s="117"/>
      <c r="BC1451" s="117"/>
      <c r="BD1451" s="117"/>
    </row>
    <row r="1452" spans="1:56" ht="15">
      <c r="A1452" s="114"/>
      <c r="B1452" s="307" t="s">
        <v>152</v>
      </c>
      <c r="C1452" s="247">
        <v>1</v>
      </c>
      <c r="D1452" s="276">
        <v>3.22</v>
      </c>
      <c r="E1452" s="194">
        <v>0.55000000000000004</v>
      </c>
      <c r="F1452" s="308"/>
      <c r="G1452" s="273">
        <f>C1452*D1452*E1452</f>
        <v>1.7710000000000004</v>
      </c>
      <c r="H1452" s="82"/>
      <c r="I1452" s="114"/>
      <c r="J1452" s="114"/>
      <c r="BA1452" s="117"/>
      <c r="BB1452" s="117"/>
      <c r="BC1452" s="117"/>
      <c r="BD1452" s="117"/>
    </row>
    <row r="1453" spans="1:56" ht="15">
      <c r="A1453" s="114"/>
      <c r="B1453" s="307" t="s">
        <v>2203</v>
      </c>
      <c r="C1453" s="247">
        <v>1</v>
      </c>
      <c r="D1453" s="276">
        <v>0.16500000000000001</v>
      </c>
      <c r="E1453" s="194">
        <v>1</v>
      </c>
      <c r="F1453" s="308"/>
      <c r="G1453" s="273">
        <f>C1453*D1453*E1453</f>
        <v>0.16500000000000001</v>
      </c>
      <c r="H1453" s="82"/>
      <c r="I1453" s="114"/>
      <c r="J1453" s="114"/>
      <c r="BA1453" s="117"/>
      <c r="BB1453" s="117"/>
      <c r="BC1453" s="117"/>
      <c r="BD1453" s="117"/>
    </row>
    <row r="1454" spans="1:56" ht="15">
      <c r="A1454" s="114"/>
      <c r="B1454" s="307" t="s">
        <v>2204</v>
      </c>
      <c r="C1454" s="247">
        <v>1</v>
      </c>
      <c r="D1454" s="276">
        <f>SUM(D1421:D1426)</f>
        <v>114.455</v>
      </c>
      <c r="E1454" s="194">
        <v>0.12</v>
      </c>
      <c r="F1454" s="308"/>
      <c r="G1454" s="273">
        <f>C1454*D1454*E1454</f>
        <v>13.734599999999999</v>
      </c>
      <c r="H1454" s="82"/>
      <c r="I1454" s="114"/>
      <c r="J1454" s="114"/>
      <c r="BA1454" s="117"/>
      <c r="BB1454" s="117"/>
      <c r="BC1454" s="117"/>
      <c r="BD1454" s="117"/>
    </row>
    <row r="1455" spans="1:56">
      <c r="A1455" s="114"/>
      <c r="B1455" s="264"/>
      <c r="C1455" s="115"/>
      <c r="D1455" s="115"/>
      <c r="E1455" s="115"/>
      <c r="F1455" s="260" t="s">
        <v>76</v>
      </c>
      <c r="G1455" s="261">
        <f>SUM(G1451:G1454)</f>
        <v>20.0946</v>
      </c>
      <c r="H1455" s="82"/>
      <c r="I1455" s="114"/>
      <c r="J1455" s="114"/>
      <c r="BA1455" s="117"/>
      <c r="BB1455" s="117"/>
      <c r="BC1455" s="117"/>
      <c r="BD1455" s="117"/>
    </row>
    <row r="1456" spans="1:56">
      <c r="A1456" s="114"/>
      <c r="B1456" s="309"/>
      <c r="C1456" s="924"/>
      <c r="D1456" s="924"/>
      <c r="E1456" s="924"/>
      <c r="F1456" s="115"/>
      <c r="G1456" s="196"/>
      <c r="H1456" s="82"/>
      <c r="I1456" s="114"/>
      <c r="J1456" s="114"/>
      <c r="BA1456" s="117"/>
      <c r="BB1456" s="117"/>
      <c r="BC1456" s="117"/>
      <c r="BD1456" s="117"/>
    </row>
    <row r="1457" spans="1:56" ht="16.5" thickBot="1">
      <c r="A1457" s="114"/>
      <c r="B1457" s="330"/>
      <c r="C1457" s="115"/>
      <c r="D1457" s="115"/>
      <c r="E1457" s="115"/>
      <c r="F1457" s="227"/>
      <c r="G1457" s="257"/>
      <c r="H1457" s="257"/>
      <c r="I1457" s="82"/>
      <c r="J1457" s="114"/>
      <c r="BB1457" s="117"/>
      <c r="BC1457" s="117"/>
      <c r="BD1457" s="117"/>
    </row>
    <row r="1458" spans="1:56">
      <c r="A1458" s="114"/>
      <c r="B1458" s="1285" t="s">
        <v>98</v>
      </c>
      <c r="C1458" s="1286"/>
      <c r="D1458" s="1286"/>
      <c r="E1458" s="1286"/>
      <c r="F1458" s="1287"/>
      <c r="G1458" s="115"/>
      <c r="H1458" s="331"/>
      <c r="I1458" s="82"/>
      <c r="J1458" s="114"/>
      <c r="BB1458" s="117"/>
      <c r="BC1458" s="117"/>
      <c r="BD1458" s="117"/>
    </row>
    <row r="1459" spans="1:56">
      <c r="A1459" s="114"/>
      <c r="B1459" s="781"/>
      <c r="C1459" s="332"/>
      <c r="D1459" s="332"/>
      <c r="E1459" s="332"/>
      <c r="F1459" s="333"/>
      <c r="G1459" s="115"/>
      <c r="H1459" s="331"/>
      <c r="I1459" s="82"/>
      <c r="J1459" s="114"/>
      <c r="BB1459" s="117"/>
      <c r="BC1459" s="117"/>
      <c r="BD1459" s="117"/>
    </row>
    <row r="1460" spans="1:56">
      <c r="A1460" s="114"/>
      <c r="B1460" s="635" t="s">
        <v>315</v>
      </c>
      <c r="C1460" s="203"/>
      <c r="D1460" s="204"/>
      <c r="E1460" s="205">
        <f>H1418+H1427+H1433+H1441</f>
        <v>592.17629999999997</v>
      </c>
      <c r="F1460" s="334" t="s">
        <v>13</v>
      </c>
      <c r="G1460" s="115"/>
      <c r="H1460" s="115"/>
      <c r="I1460" s="82"/>
      <c r="J1460" s="114"/>
      <c r="BB1460" s="117"/>
      <c r="BC1460" s="117"/>
      <c r="BD1460" s="117"/>
    </row>
    <row r="1461" spans="1:56">
      <c r="A1461" s="114"/>
      <c r="B1461" s="635" t="s">
        <v>316</v>
      </c>
      <c r="C1461" s="203"/>
      <c r="D1461" s="204"/>
      <c r="E1461" s="302">
        <f>G1418+G1427+G1433+G1441+G1447</f>
        <v>95.391535000000005</v>
      </c>
      <c r="F1461" s="334" t="s">
        <v>100</v>
      </c>
      <c r="G1461" s="115"/>
      <c r="H1461" s="115"/>
      <c r="I1461" s="82"/>
      <c r="J1461" s="114"/>
      <c r="BB1461" s="117"/>
      <c r="BC1461" s="117"/>
      <c r="BD1461" s="117"/>
    </row>
    <row r="1462" spans="1:56" ht="16.5" thickBot="1">
      <c r="A1462" s="114"/>
      <c r="B1462" s="779" t="s">
        <v>1558</v>
      </c>
      <c r="C1462" s="217"/>
      <c r="D1462" s="218"/>
      <c r="E1462" s="335">
        <f>H1447+G1455</f>
        <v>25.624600000000001</v>
      </c>
      <c r="F1462" s="222" t="s">
        <v>100</v>
      </c>
      <c r="G1462" s="115"/>
      <c r="H1462" s="236"/>
      <c r="I1462" s="3"/>
      <c r="J1462" s="114"/>
      <c r="BB1462" s="117"/>
      <c r="BC1462" s="117"/>
      <c r="BD1462" s="117"/>
    </row>
    <row r="1463" spans="1:56">
      <c r="A1463" s="114"/>
      <c r="B1463" s="115"/>
      <c r="C1463" s="115"/>
      <c r="D1463" s="115"/>
      <c r="E1463" s="115"/>
      <c r="F1463" s="115"/>
      <c r="G1463" s="115"/>
      <c r="H1463" s="115"/>
      <c r="I1463" s="115"/>
      <c r="J1463" s="114"/>
      <c r="BB1463" s="117"/>
      <c r="BC1463" s="117"/>
      <c r="BD1463" s="117"/>
    </row>
    <row r="1464" spans="1:56" ht="16.5" thickBot="1">
      <c r="A1464" s="114"/>
      <c r="B1464" s="115"/>
      <c r="C1464" s="115"/>
      <c r="D1464" s="115"/>
      <c r="E1464" s="115"/>
      <c r="F1464" s="115"/>
      <c r="G1464" s="115"/>
      <c r="H1464" s="115"/>
      <c r="I1464" s="115"/>
      <c r="J1464" s="114"/>
      <c r="BB1464" s="117"/>
      <c r="BC1464" s="117"/>
      <c r="BD1464" s="117"/>
    </row>
    <row r="1465" spans="1:56">
      <c r="A1465" s="114"/>
      <c r="B1465" s="1285" t="s">
        <v>320</v>
      </c>
      <c r="C1465" s="1286"/>
      <c r="D1465" s="1286"/>
      <c r="E1465" s="1286"/>
      <c r="F1465" s="1287"/>
      <c r="G1465" s="115"/>
      <c r="H1465" s="115"/>
      <c r="I1465" s="82"/>
      <c r="J1465" s="114"/>
      <c r="BB1465" s="117"/>
      <c r="BC1465" s="117"/>
      <c r="BD1465" s="117"/>
    </row>
    <row r="1466" spans="1:56">
      <c r="A1466" s="114"/>
      <c r="B1466" s="690"/>
      <c r="C1466" s="115"/>
      <c r="D1466" s="115"/>
      <c r="E1466" s="115"/>
      <c r="F1466" s="182"/>
      <c r="G1466" s="115"/>
      <c r="H1466" s="115"/>
      <c r="I1466" s="82"/>
      <c r="J1466" s="114"/>
      <c r="BB1466" s="117"/>
      <c r="BC1466" s="117"/>
      <c r="BD1466" s="117"/>
    </row>
    <row r="1467" spans="1:56" ht="15">
      <c r="A1467" s="114"/>
      <c r="B1467" s="691" t="s">
        <v>337</v>
      </c>
      <c r="C1467" s="196"/>
      <c r="D1467" s="196"/>
      <c r="E1467" s="196"/>
      <c r="F1467" s="284"/>
      <c r="G1467" s="196"/>
      <c r="H1467" s="196"/>
      <c r="I1467" s="196"/>
      <c r="J1467" s="114"/>
      <c r="BB1467" s="117"/>
      <c r="BC1467" s="117"/>
      <c r="BD1467" s="117"/>
    </row>
    <row r="1468" spans="1:56" ht="15">
      <c r="A1468" s="114"/>
      <c r="B1468" s="692" t="s">
        <v>352</v>
      </c>
      <c r="C1468" s="712">
        <v>11385</v>
      </c>
      <c r="D1468" s="286" t="s">
        <v>12</v>
      </c>
      <c r="E1468" s="768" t="s">
        <v>540</v>
      </c>
      <c r="F1468" s="139"/>
      <c r="G1468" s="196"/>
      <c r="H1468" s="196"/>
      <c r="I1468" s="196"/>
      <c r="J1468" s="114"/>
      <c r="BB1468" s="117"/>
      <c r="BC1468" s="117"/>
      <c r="BD1468" s="117"/>
    </row>
    <row r="1469" spans="1:56" ht="15">
      <c r="A1469" s="114"/>
      <c r="B1469" s="693"/>
      <c r="C1469" s="196"/>
      <c r="D1469" s="196"/>
      <c r="E1469" s="196"/>
      <c r="F1469" s="284"/>
      <c r="G1469" s="196"/>
      <c r="H1469" s="196"/>
      <c r="I1469" s="196"/>
      <c r="J1469" s="114"/>
      <c r="BB1469" s="117"/>
      <c r="BC1469" s="117"/>
      <c r="BD1469" s="117"/>
    </row>
    <row r="1470" spans="1:56" ht="15">
      <c r="A1470" s="114"/>
      <c r="B1470" s="691" t="s">
        <v>541</v>
      </c>
      <c r="C1470" s="196"/>
      <c r="D1470" s="196"/>
      <c r="E1470" s="196"/>
      <c r="F1470" s="284"/>
      <c r="G1470" s="196"/>
      <c r="H1470" s="196"/>
      <c r="I1470" s="196"/>
      <c r="J1470" s="114"/>
      <c r="BB1470" s="117"/>
      <c r="BC1470" s="117"/>
      <c r="BD1470" s="117"/>
    </row>
    <row r="1471" spans="1:56" ht="15">
      <c r="A1471" s="114"/>
      <c r="B1471" s="692" t="s">
        <v>352</v>
      </c>
      <c r="C1471" s="712">
        <v>2124</v>
      </c>
      <c r="D1471" s="286" t="s">
        <v>12</v>
      </c>
      <c r="E1471" s="768" t="s">
        <v>542</v>
      </c>
      <c r="F1471" s="336"/>
      <c r="G1471" s="196"/>
      <c r="H1471" s="196"/>
      <c r="I1471" s="196"/>
      <c r="J1471" s="114"/>
      <c r="BB1471" s="117"/>
      <c r="BC1471" s="117"/>
      <c r="BD1471" s="117"/>
    </row>
    <row r="1472" spans="1:56" ht="15">
      <c r="A1472" s="114"/>
      <c r="B1472" s="694"/>
      <c r="C1472" s="211"/>
      <c r="D1472" s="196"/>
      <c r="E1472" s="288"/>
      <c r="F1472" s="284"/>
      <c r="G1472" s="196"/>
      <c r="H1472" s="196"/>
      <c r="I1472" s="196"/>
      <c r="J1472" s="114"/>
      <c r="BB1472" s="117"/>
      <c r="BC1472" s="117"/>
      <c r="BD1472" s="117"/>
    </row>
    <row r="1473" spans="1:56" ht="15">
      <c r="A1473" s="114"/>
      <c r="B1473" s="691" t="s">
        <v>351</v>
      </c>
      <c r="C1473" s="211"/>
      <c r="D1473" s="196"/>
      <c r="E1473" s="288"/>
      <c r="F1473" s="284"/>
      <c r="G1473" s="196"/>
      <c r="H1473" s="196"/>
      <c r="I1473" s="196"/>
      <c r="J1473" s="114"/>
      <c r="BB1473" s="117"/>
      <c r="BC1473" s="117"/>
      <c r="BD1473" s="117"/>
    </row>
    <row r="1474" spans="1:56" ht="16.5" thickBot="1">
      <c r="A1474" s="114"/>
      <c r="B1474" s="695" t="s">
        <v>352</v>
      </c>
      <c r="C1474" s="217"/>
      <c r="D1474" s="218"/>
      <c r="E1474" s="304">
        <f>C1468+C1471</f>
        <v>13509</v>
      </c>
      <c r="F1474" s="222" t="s">
        <v>12</v>
      </c>
      <c r="G1474" s="115"/>
      <c r="H1474" s="236"/>
      <c r="I1474" s="3"/>
      <c r="J1474" s="114"/>
      <c r="BB1474" s="117"/>
      <c r="BC1474" s="117"/>
      <c r="BD1474" s="117"/>
    </row>
    <row r="1475" spans="1:56">
      <c r="A1475" s="114"/>
      <c r="B1475" s="288"/>
      <c r="C1475" s="208"/>
      <c r="D1475" s="208"/>
      <c r="E1475" s="209"/>
      <c r="F1475" s="207"/>
      <c r="G1475" s="115"/>
      <c r="H1475" s="236"/>
      <c r="I1475" s="3"/>
      <c r="J1475" s="114"/>
      <c r="BB1475" s="117"/>
      <c r="BC1475" s="117"/>
      <c r="BD1475" s="117"/>
    </row>
    <row r="1476" spans="1:56" ht="15">
      <c r="A1476" s="114"/>
      <c r="B1476" s="778" t="s">
        <v>2280</v>
      </c>
      <c r="C1476" s="239"/>
      <c r="D1476" s="239"/>
      <c r="E1476" s="239"/>
      <c r="F1476" s="239"/>
      <c r="G1476" s="322"/>
      <c r="H1476" s="240"/>
      <c r="I1476" s="240"/>
      <c r="J1476" s="352"/>
      <c r="BC1476" s="117"/>
      <c r="BD1476" s="117"/>
    </row>
    <row r="1477" spans="1:56" ht="15">
      <c r="A1477" s="114"/>
      <c r="B1477" s="296" t="s">
        <v>1680</v>
      </c>
      <c r="C1477" s="81"/>
      <c r="D1477" s="81"/>
      <c r="E1477" s="81"/>
      <c r="F1477" s="81"/>
      <c r="G1477" s="81"/>
      <c r="H1477" s="82"/>
      <c r="I1477" s="82"/>
      <c r="J1477" s="114"/>
      <c r="BB1477" s="117"/>
      <c r="BC1477" s="117"/>
      <c r="BD1477" s="117"/>
    </row>
    <row r="1478" spans="1:56" ht="15">
      <c r="A1478" s="114"/>
      <c r="B1478" s="288" t="s">
        <v>1787</v>
      </c>
      <c r="C1478" s="230"/>
      <c r="D1478" s="230"/>
      <c r="E1478" s="384"/>
      <c r="F1478" s="196"/>
      <c r="G1478" s="196"/>
      <c r="H1478" s="196"/>
      <c r="I1478" s="196"/>
      <c r="J1478" s="114"/>
      <c r="AW1478" s="117"/>
      <c r="AX1478" s="117"/>
      <c r="AY1478" s="117"/>
      <c r="AZ1478" s="117"/>
      <c r="BA1478" s="117"/>
      <c r="BB1478" s="117"/>
      <c r="BC1478" s="117"/>
      <c r="BD1478" s="117"/>
    </row>
    <row r="1479" spans="1:56" ht="15">
      <c r="A1479" s="114"/>
      <c r="B1479" s="293"/>
      <c r="C1479" s="81"/>
      <c r="D1479" s="81"/>
      <c r="E1479" s="81"/>
      <c r="F1479" s="81"/>
      <c r="G1479" s="81"/>
      <c r="H1479" s="82"/>
      <c r="I1479" s="82"/>
      <c r="J1479" s="4"/>
      <c r="BC1479" s="117"/>
      <c r="BD1479" s="117"/>
    </row>
    <row r="1480" spans="1:56" ht="15">
      <c r="A1480" s="114"/>
      <c r="B1480" s="242" t="s">
        <v>97</v>
      </c>
      <c r="C1480" s="268" t="s">
        <v>83</v>
      </c>
      <c r="D1480" s="268" t="s">
        <v>86</v>
      </c>
      <c r="E1480" s="268" t="s">
        <v>103</v>
      </c>
      <c r="F1480" s="268" t="s">
        <v>543</v>
      </c>
      <c r="G1480" s="268" t="s">
        <v>104</v>
      </c>
      <c r="H1480" s="268" t="s">
        <v>105</v>
      </c>
      <c r="I1480" s="213"/>
      <c r="J1480" s="3"/>
      <c r="K1480" s="233"/>
      <c r="BD1480" s="117"/>
    </row>
    <row r="1481" spans="1:56" ht="15">
      <c r="A1481" s="114"/>
      <c r="B1481" s="269" t="s">
        <v>544</v>
      </c>
      <c r="C1481" s="270">
        <v>0.4</v>
      </c>
      <c r="D1481" s="270">
        <v>0.5</v>
      </c>
      <c r="E1481" s="270">
        <v>4.4000000000000004</v>
      </c>
      <c r="F1481" s="311">
        <v>12</v>
      </c>
      <c r="G1481" s="256">
        <f t="shared" ref="G1481:G1489" si="34">(C1481*D1481*E1481)*F1481</f>
        <v>10.560000000000002</v>
      </c>
      <c r="H1481" s="256">
        <f t="shared" ref="H1481:H1489" si="35">((C1481+D1481*2)*E1481)*F1481</f>
        <v>73.92</v>
      </c>
      <c r="I1481" s="236"/>
      <c r="J1481" s="3"/>
      <c r="K1481" s="233"/>
      <c r="BD1481" s="117"/>
    </row>
    <row r="1482" spans="1:56" ht="15">
      <c r="A1482" s="114"/>
      <c r="B1482" s="244" t="s">
        <v>545</v>
      </c>
      <c r="C1482" s="245">
        <v>0.25</v>
      </c>
      <c r="D1482" s="245">
        <v>0.5</v>
      </c>
      <c r="E1482" s="245">
        <v>5</v>
      </c>
      <c r="F1482" s="337">
        <v>6</v>
      </c>
      <c r="G1482" s="202">
        <f t="shared" si="34"/>
        <v>3.75</v>
      </c>
      <c r="H1482" s="202">
        <f t="shared" si="35"/>
        <v>37.5</v>
      </c>
      <c r="I1482" s="236"/>
      <c r="J1482" s="3"/>
      <c r="K1482" s="233"/>
      <c r="BD1482" s="117"/>
    </row>
    <row r="1483" spans="1:56" ht="15">
      <c r="A1483" s="114"/>
      <c r="B1483" s="244" t="s">
        <v>546</v>
      </c>
      <c r="C1483" s="245">
        <v>0.4</v>
      </c>
      <c r="D1483" s="245">
        <v>0.5</v>
      </c>
      <c r="E1483" s="245">
        <v>5.6</v>
      </c>
      <c r="F1483" s="337">
        <v>12</v>
      </c>
      <c r="G1483" s="202">
        <f t="shared" si="34"/>
        <v>13.439999999999998</v>
      </c>
      <c r="H1483" s="202">
        <f t="shared" si="35"/>
        <v>94.079999999999984</v>
      </c>
      <c r="I1483" s="236"/>
      <c r="J1483" s="3"/>
      <c r="K1483" s="233"/>
      <c r="BD1483" s="117"/>
    </row>
    <row r="1484" spans="1:56" ht="15">
      <c r="A1484" s="114"/>
      <c r="B1484" s="244" t="s">
        <v>547</v>
      </c>
      <c r="C1484" s="245">
        <v>0.4</v>
      </c>
      <c r="D1484" s="245">
        <v>0.5</v>
      </c>
      <c r="E1484" s="245">
        <v>3.25</v>
      </c>
      <c r="F1484" s="337">
        <v>2</v>
      </c>
      <c r="G1484" s="202">
        <f t="shared" si="34"/>
        <v>1.3</v>
      </c>
      <c r="H1484" s="202">
        <f t="shared" si="35"/>
        <v>9.1</v>
      </c>
      <c r="I1484" s="236"/>
      <c r="J1484" s="3"/>
      <c r="K1484" s="233"/>
      <c r="BD1484" s="117"/>
    </row>
    <row r="1485" spans="1:56" ht="15">
      <c r="A1485" s="114"/>
      <c r="B1485" s="244" t="s">
        <v>548</v>
      </c>
      <c r="C1485" s="245">
        <v>0.25</v>
      </c>
      <c r="D1485" s="245">
        <v>0.5</v>
      </c>
      <c r="E1485" s="245">
        <v>3.85</v>
      </c>
      <c r="F1485" s="337">
        <v>1</v>
      </c>
      <c r="G1485" s="202">
        <f t="shared" si="34"/>
        <v>0.48125000000000001</v>
      </c>
      <c r="H1485" s="202">
        <f t="shared" si="35"/>
        <v>4.8125</v>
      </c>
      <c r="I1485" s="236"/>
      <c r="J1485" s="3"/>
      <c r="K1485" s="233"/>
      <c r="BD1485" s="117"/>
    </row>
    <row r="1486" spans="1:56" ht="15">
      <c r="A1486" s="114"/>
      <c r="B1486" s="244" t="s">
        <v>549</v>
      </c>
      <c r="C1486" s="245">
        <v>0.4</v>
      </c>
      <c r="D1486" s="245">
        <v>0.5</v>
      </c>
      <c r="E1486" s="245">
        <v>5.6</v>
      </c>
      <c r="F1486" s="337">
        <v>2</v>
      </c>
      <c r="G1486" s="202">
        <f t="shared" si="34"/>
        <v>2.2399999999999998</v>
      </c>
      <c r="H1486" s="202">
        <f t="shared" si="35"/>
        <v>15.679999999999998</v>
      </c>
      <c r="I1486" s="236"/>
      <c r="J1486" s="3"/>
      <c r="K1486" s="233"/>
      <c r="BD1486" s="117"/>
    </row>
    <row r="1487" spans="1:56" ht="15">
      <c r="A1487" s="114"/>
      <c r="B1487" s="244" t="s">
        <v>550</v>
      </c>
      <c r="C1487" s="245">
        <v>0.2</v>
      </c>
      <c r="D1487" s="245">
        <v>0.5</v>
      </c>
      <c r="E1487" s="245">
        <v>2.5</v>
      </c>
      <c r="F1487" s="337">
        <v>19</v>
      </c>
      <c r="G1487" s="202">
        <f t="shared" ref="G1487:G1488" si="36">(C1487*D1487*E1487)*F1487</f>
        <v>4.75</v>
      </c>
      <c r="H1487" s="202">
        <f t="shared" ref="H1487:H1488" si="37">((C1487+D1487*2)*E1487)*F1487</f>
        <v>57</v>
      </c>
      <c r="I1487" s="941"/>
      <c r="J1487" s="3"/>
      <c r="K1487" s="940"/>
      <c r="BD1487" s="117"/>
    </row>
    <row r="1488" spans="1:56" ht="15">
      <c r="A1488" s="114"/>
      <c r="B1488" s="244" t="s">
        <v>215</v>
      </c>
      <c r="C1488" s="245">
        <v>0.2</v>
      </c>
      <c r="D1488" s="245">
        <v>0.5</v>
      </c>
      <c r="E1488" s="245">
        <v>1.2</v>
      </c>
      <c r="F1488" s="337">
        <v>1</v>
      </c>
      <c r="G1488" s="202">
        <f t="shared" si="36"/>
        <v>0.12</v>
      </c>
      <c r="H1488" s="202">
        <f t="shared" si="37"/>
        <v>1.44</v>
      </c>
      <c r="I1488" s="941"/>
      <c r="J1488" s="3"/>
      <c r="K1488" s="940"/>
      <c r="BD1488" s="117"/>
    </row>
    <row r="1489" spans="1:56" ht="15">
      <c r="A1489" s="114"/>
      <c r="B1489" s="244" t="s">
        <v>2218</v>
      </c>
      <c r="C1489" s="245">
        <v>0.15</v>
      </c>
      <c r="D1489" s="245">
        <v>0.35</v>
      </c>
      <c r="E1489" s="245">
        <f>3.8+2.2</f>
        <v>6</v>
      </c>
      <c r="F1489" s="337">
        <v>4</v>
      </c>
      <c r="G1489" s="202">
        <f t="shared" si="34"/>
        <v>1.26</v>
      </c>
      <c r="H1489" s="202">
        <f t="shared" si="35"/>
        <v>20.399999999999999</v>
      </c>
      <c r="I1489" s="236"/>
      <c r="J1489" s="3"/>
      <c r="K1489" s="233"/>
      <c r="BD1489" s="117"/>
    </row>
    <row r="1490" spans="1:56">
      <c r="A1490" s="114"/>
      <c r="B1490" s="241"/>
      <c r="C1490" s="213"/>
      <c r="D1490" s="236"/>
      <c r="E1490" s="115"/>
      <c r="F1490" s="254" t="s">
        <v>76</v>
      </c>
      <c r="G1490" s="228">
        <f>SUM(G1481:G1489)</f>
        <v>37.90124999999999</v>
      </c>
      <c r="H1490" s="228">
        <f>SUM(H1481:H1489)</f>
        <v>313.93249999999995</v>
      </c>
      <c r="I1490" s="236"/>
      <c r="J1490" s="3"/>
      <c r="K1490" s="233"/>
      <c r="BD1490" s="117"/>
    </row>
    <row r="1491" spans="1:56" ht="15">
      <c r="A1491" s="114"/>
      <c r="B1491" s="293"/>
      <c r="C1491" s="81"/>
      <c r="D1491" s="81"/>
      <c r="E1491" s="81"/>
      <c r="F1491" s="81"/>
      <c r="G1491" s="81"/>
      <c r="H1491" s="82"/>
      <c r="I1491" s="82"/>
      <c r="J1491" s="4"/>
      <c r="BC1491" s="117"/>
      <c r="BD1491" s="117"/>
    </row>
    <row r="1492" spans="1:56" ht="15">
      <c r="A1492" s="114"/>
      <c r="B1492" s="242" t="s">
        <v>160</v>
      </c>
      <c r="C1492" s="268" t="s">
        <v>83</v>
      </c>
      <c r="D1492" s="268" t="s">
        <v>86</v>
      </c>
      <c r="E1492" s="268" t="s">
        <v>103</v>
      </c>
      <c r="F1492" s="268" t="s">
        <v>543</v>
      </c>
      <c r="G1492" s="268" t="s">
        <v>104</v>
      </c>
      <c r="H1492" s="268" t="s">
        <v>105</v>
      </c>
      <c r="I1492" s="213"/>
      <c r="J1492" s="3"/>
      <c r="K1492" s="233"/>
      <c r="BD1492" s="117"/>
    </row>
    <row r="1493" spans="1:56" ht="15">
      <c r="A1493" s="114"/>
      <c r="B1493" s="269" t="s">
        <v>551</v>
      </c>
      <c r="C1493" s="270">
        <v>0.3</v>
      </c>
      <c r="D1493" s="270">
        <v>4.5999999999999996</v>
      </c>
      <c r="E1493" s="270">
        <v>5.2</v>
      </c>
      <c r="F1493" s="311">
        <v>2</v>
      </c>
      <c r="G1493" s="256">
        <f t="shared" ref="G1493:G1498" si="38">(C1493*D1493*E1493)*F1493</f>
        <v>14.351999999999999</v>
      </c>
      <c r="H1493" s="256">
        <f t="shared" ref="H1493:H1498" si="39">((D1493*2)*E1493)*F1493</f>
        <v>95.679999999999993</v>
      </c>
      <c r="I1493" s="236"/>
      <c r="J1493" s="3"/>
      <c r="K1493" s="233"/>
      <c r="BD1493" s="117"/>
    </row>
    <row r="1494" spans="1:56" ht="15">
      <c r="A1494" s="114"/>
      <c r="B1494" s="244" t="s">
        <v>552</v>
      </c>
      <c r="C1494" s="245">
        <v>0.25</v>
      </c>
      <c r="D1494" s="245">
        <v>3.5</v>
      </c>
      <c r="E1494" s="245">
        <v>5.2</v>
      </c>
      <c r="F1494" s="337">
        <v>1</v>
      </c>
      <c r="G1494" s="202">
        <f t="shared" si="38"/>
        <v>4.55</v>
      </c>
      <c r="H1494" s="256">
        <f t="shared" si="39"/>
        <v>36.4</v>
      </c>
      <c r="I1494" s="236"/>
      <c r="J1494" s="3"/>
      <c r="K1494" s="233"/>
      <c r="BD1494" s="117"/>
    </row>
    <row r="1495" spans="1:56" ht="15">
      <c r="A1495" s="114"/>
      <c r="B1495" s="244" t="s">
        <v>553</v>
      </c>
      <c r="C1495" s="245">
        <v>0.3</v>
      </c>
      <c r="D1495" s="245">
        <v>4.5999999999999996</v>
      </c>
      <c r="E1495" s="245">
        <v>8.1999999999999993</v>
      </c>
      <c r="F1495" s="337">
        <v>2</v>
      </c>
      <c r="G1495" s="202">
        <f t="shared" si="38"/>
        <v>22.631999999999998</v>
      </c>
      <c r="H1495" s="256">
        <f t="shared" si="39"/>
        <v>150.87999999999997</v>
      </c>
      <c r="I1495" s="236"/>
      <c r="J1495" s="3"/>
      <c r="K1495" s="233"/>
      <c r="BD1495" s="117"/>
    </row>
    <row r="1496" spans="1:56" ht="15">
      <c r="A1496" s="114"/>
      <c r="B1496" s="244" t="s">
        <v>554</v>
      </c>
      <c r="C1496" s="245">
        <v>0.4</v>
      </c>
      <c r="D1496" s="245">
        <v>23.6</v>
      </c>
      <c r="E1496" s="245">
        <v>3.85</v>
      </c>
      <c r="F1496" s="337">
        <v>2</v>
      </c>
      <c r="G1496" s="202">
        <f t="shared" si="38"/>
        <v>72.688000000000017</v>
      </c>
      <c r="H1496" s="256">
        <f t="shared" si="39"/>
        <v>363.44000000000005</v>
      </c>
      <c r="I1496" s="236"/>
      <c r="J1496" s="3"/>
      <c r="K1496" s="233"/>
      <c r="BD1496" s="117"/>
    </row>
    <row r="1497" spans="1:56" ht="15">
      <c r="A1497" s="114"/>
      <c r="B1497" s="244" t="s">
        <v>555</v>
      </c>
      <c r="C1497" s="245">
        <v>0.4</v>
      </c>
      <c r="D1497" s="245">
        <v>22.6</v>
      </c>
      <c r="E1497" s="245">
        <v>3.85</v>
      </c>
      <c r="F1497" s="337">
        <v>1</v>
      </c>
      <c r="G1497" s="202">
        <f t="shared" si="38"/>
        <v>34.804000000000002</v>
      </c>
      <c r="H1497" s="256">
        <f t="shared" si="39"/>
        <v>174.02</v>
      </c>
      <c r="I1497" s="236"/>
      <c r="J1497" s="3"/>
      <c r="K1497" s="233"/>
      <c r="BD1497" s="117"/>
    </row>
    <row r="1498" spans="1:56" ht="15">
      <c r="A1498" s="114"/>
      <c r="B1498" s="244" t="s">
        <v>556</v>
      </c>
      <c r="C1498" s="245">
        <v>0.4</v>
      </c>
      <c r="D1498" s="245">
        <v>23.6</v>
      </c>
      <c r="E1498" s="245">
        <v>8.1999999999999993</v>
      </c>
      <c r="F1498" s="337">
        <v>2</v>
      </c>
      <c r="G1498" s="202">
        <f t="shared" si="38"/>
        <v>154.816</v>
      </c>
      <c r="H1498" s="256">
        <f t="shared" si="39"/>
        <v>774.07999999999993</v>
      </c>
      <c r="I1498" s="236"/>
      <c r="J1498" s="3"/>
      <c r="K1498" s="233"/>
      <c r="BD1498" s="117"/>
    </row>
    <row r="1499" spans="1:56">
      <c r="A1499" s="114"/>
      <c r="B1499" s="264"/>
      <c r="C1499" s="213"/>
      <c r="D1499" s="236"/>
      <c r="E1499" s="115"/>
      <c r="F1499" s="254" t="s">
        <v>76</v>
      </c>
      <c r="G1499" s="228">
        <f>SUM(G1493:G1498)</f>
        <v>303.84199999999998</v>
      </c>
      <c r="H1499" s="228">
        <f>SUM(H1493:H1498)</f>
        <v>1594.5</v>
      </c>
      <c r="I1499" s="236"/>
      <c r="J1499" s="3"/>
      <c r="K1499" s="233"/>
      <c r="BD1499" s="117"/>
    </row>
    <row r="1500" spans="1:56" ht="15">
      <c r="A1500" s="114"/>
      <c r="B1500" s="338"/>
      <c r="C1500" s="213"/>
      <c r="D1500" s="213"/>
      <c r="E1500" s="213"/>
      <c r="F1500" s="213"/>
      <c r="G1500" s="212"/>
      <c r="H1500" s="212"/>
      <c r="I1500" s="3"/>
      <c r="J1500" s="4"/>
      <c r="BC1500" s="117"/>
      <c r="BD1500" s="117"/>
    </row>
    <row r="1501" spans="1:56" ht="15">
      <c r="A1501" s="114"/>
      <c r="B1501" s="242" t="s">
        <v>106</v>
      </c>
      <c r="C1501" s="268" t="s">
        <v>296</v>
      </c>
      <c r="D1501" s="268" t="s">
        <v>516</v>
      </c>
      <c r="E1501" s="268" t="s">
        <v>65</v>
      </c>
      <c r="F1501" s="268" t="s">
        <v>297</v>
      </c>
      <c r="G1501" s="268" t="s">
        <v>104</v>
      </c>
      <c r="H1501" s="268" t="s">
        <v>105</v>
      </c>
      <c r="I1501" s="3"/>
      <c r="J1501" s="4"/>
      <c r="BC1501" s="117"/>
      <c r="BD1501" s="117"/>
    </row>
    <row r="1502" spans="1:56" ht="15">
      <c r="A1502" s="114"/>
      <c r="B1502" s="269" t="s">
        <v>557</v>
      </c>
      <c r="C1502" s="270">
        <v>0.71</v>
      </c>
      <c r="D1502" s="270">
        <v>1.61</v>
      </c>
      <c r="E1502" s="270">
        <v>1.2</v>
      </c>
      <c r="F1502" s="270">
        <v>4.07</v>
      </c>
      <c r="G1502" s="256">
        <f>C1502*E1502</f>
        <v>0.85199999999999998</v>
      </c>
      <c r="H1502" s="256">
        <f>2*C1502+D1502*E1502+F1502*E1502</f>
        <v>8.2360000000000007</v>
      </c>
      <c r="I1502" s="3"/>
      <c r="J1502" s="4"/>
      <c r="BC1502" s="117"/>
      <c r="BD1502" s="117"/>
    </row>
    <row r="1503" spans="1:56" ht="15">
      <c r="A1503" s="114"/>
      <c r="B1503" s="244" t="s">
        <v>558</v>
      </c>
      <c r="C1503" s="245">
        <v>0.84</v>
      </c>
      <c r="D1503" s="245">
        <v>1.61</v>
      </c>
      <c r="E1503" s="245">
        <v>1.2</v>
      </c>
      <c r="F1503" s="245">
        <v>5.1100000000000003</v>
      </c>
      <c r="G1503" s="202">
        <f t="shared" ref="G1503:G1521" si="40">C1503*E1503</f>
        <v>1.008</v>
      </c>
      <c r="H1503" s="202">
        <f>2*C1503+D1503*E1503+F1503*E1503</f>
        <v>9.7439999999999998</v>
      </c>
      <c r="I1503" s="3"/>
      <c r="J1503" s="114"/>
      <c r="BA1503" s="117"/>
      <c r="BB1503" s="117"/>
      <c r="BC1503" s="117"/>
      <c r="BD1503" s="117"/>
    </row>
    <row r="1504" spans="1:56" ht="15">
      <c r="A1504" s="114"/>
      <c r="B1504" s="244" t="s">
        <v>559</v>
      </c>
      <c r="C1504" s="245">
        <v>0.84</v>
      </c>
      <c r="D1504" s="245">
        <v>1.61</v>
      </c>
      <c r="E1504" s="245">
        <v>1.2</v>
      </c>
      <c r="F1504" s="245">
        <v>5.1100000000000003</v>
      </c>
      <c r="G1504" s="202">
        <f t="shared" si="40"/>
        <v>1.008</v>
      </c>
      <c r="H1504" s="202">
        <f t="shared" ref="H1504:H1521" si="41">2*C1504+D1504*E1504+F1504*E1504</f>
        <v>9.7439999999999998</v>
      </c>
      <c r="I1504" s="3"/>
      <c r="J1504" s="114"/>
      <c r="BA1504" s="117"/>
      <c r="BB1504" s="117"/>
      <c r="BC1504" s="117"/>
      <c r="BD1504" s="117"/>
    </row>
    <row r="1505" spans="1:56" ht="15">
      <c r="A1505" s="114"/>
      <c r="B1505" s="244" t="s">
        <v>300</v>
      </c>
      <c r="C1505" s="245">
        <v>0.84</v>
      </c>
      <c r="D1505" s="245">
        <v>1.61</v>
      </c>
      <c r="E1505" s="245">
        <v>1.2</v>
      </c>
      <c r="F1505" s="245">
        <v>5.1100000000000003</v>
      </c>
      <c r="G1505" s="202">
        <f t="shared" si="40"/>
        <v>1.008</v>
      </c>
      <c r="H1505" s="202">
        <f t="shared" si="41"/>
        <v>9.7439999999999998</v>
      </c>
      <c r="I1505" s="3"/>
      <c r="J1505" s="114"/>
      <c r="BA1505" s="117"/>
      <c r="BB1505" s="117"/>
      <c r="BC1505" s="117"/>
      <c r="BD1505" s="117"/>
    </row>
    <row r="1506" spans="1:56" ht="15">
      <c r="A1506" s="114"/>
      <c r="B1506" s="244" t="s">
        <v>560</v>
      </c>
      <c r="C1506" s="245">
        <v>0.84</v>
      </c>
      <c r="D1506" s="245">
        <v>1.61</v>
      </c>
      <c r="E1506" s="245">
        <v>1.2</v>
      </c>
      <c r="F1506" s="245">
        <v>5.1100000000000003</v>
      </c>
      <c r="G1506" s="202">
        <f t="shared" si="40"/>
        <v>1.008</v>
      </c>
      <c r="H1506" s="202">
        <f t="shared" si="41"/>
        <v>9.7439999999999998</v>
      </c>
      <c r="I1506" s="3"/>
      <c r="J1506" s="114"/>
      <c r="BA1506" s="117"/>
      <c r="BB1506" s="117"/>
      <c r="BC1506" s="117"/>
      <c r="BD1506" s="117"/>
    </row>
    <row r="1507" spans="1:56" ht="15">
      <c r="A1507" s="114"/>
      <c r="B1507" s="244" t="s">
        <v>561</v>
      </c>
      <c r="C1507" s="245">
        <v>0.84</v>
      </c>
      <c r="D1507" s="245">
        <v>1.61</v>
      </c>
      <c r="E1507" s="245">
        <v>1.2</v>
      </c>
      <c r="F1507" s="245">
        <v>5.1100000000000003</v>
      </c>
      <c r="G1507" s="202">
        <f t="shared" si="40"/>
        <v>1.008</v>
      </c>
      <c r="H1507" s="202">
        <f t="shared" si="41"/>
        <v>9.7439999999999998</v>
      </c>
      <c r="I1507" s="3"/>
      <c r="J1507" s="114"/>
      <c r="BA1507" s="117"/>
      <c r="BB1507" s="117"/>
      <c r="BC1507" s="117"/>
      <c r="BD1507" s="117"/>
    </row>
    <row r="1508" spans="1:56" ht="15">
      <c r="A1508" s="114"/>
      <c r="B1508" s="244" t="s">
        <v>562</v>
      </c>
      <c r="C1508" s="245">
        <v>0.84</v>
      </c>
      <c r="D1508" s="245">
        <v>1.61</v>
      </c>
      <c r="E1508" s="245">
        <v>1.2</v>
      </c>
      <c r="F1508" s="245">
        <v>5.1100000000000003</v>
      </c>
      <c r="G1508" s="202">
        <f t="shared" si="40"/>
        <v>1.008</v>
      </c>
      <c r="H1508" s="202">
        <f t="shared" si="41"/>
        <v>9.7439999999999998</v>
      </c>
      <c r="I1508" s="3"/>
      <c r="J1508" s="114"/>
      <c r="BA1508" s="117"/>
      <c r="BB1508" s="117"/>
      <c r="BC1508" s="117"/>
      <c r="BD1508" s="117"/>
    </row>
    <row r="1509" spans="1:56" ht="15">
      <c r="A1509" s="114"/>
      <c r="B1509" s="244" t="s">
        <v>563</v>
      </c>
      <c r="C1509" s="245">
        <v>0.84</v>
      </c>
      <c r="D1509" s="245">
        <v>1.61</v>
      </c>
      <c r="E1509" s="245">
        <v>1.2</v>
      </c>
      <c r="F1509" s="245">
        <v>5.1100000000000003</v>
      </c>
      <c r="G1509" s="202">
        <f t="shared" si="40"/>
        <v>1.008</v>
      </c>
      <c r="H1509" s="202">
        <f t="shared" si="41"/>
        <v>9.7439999999999998</v>
      </c>
      <c r="I1509" s="3"/>
      <c r="J1509" s="114"/>
      <c r="BA1509" s="117"/>
      <c r="BB1509" s="117"/>
      <c r="BC1509" s="117"/>
      <c r="BD1509" s="117"/>
    </row>
    <row r="1510" spans="1:56" ht="15">
      <c r="A1510" s="114"/>
      <c r="B1510" s="244" t="s">
        <v>564</v>
      </c>
      <c r="C1510" s="245">
        <v>0.84</v>
      </c>
      <c r="D1510" s="245">
        <v>1.61</v>
      </c>
      <c r="E1510" s="245">
        <v>1.2</v>
      </c>
      <c r="F1510" s="245">
        <v>5.1100000000000003</v>
      </c>
      <c r="G1510" s="202">
        <f t="shared" si="40"/>
        <v>1.008</v>
      </c>
      <c r="H1510" s="202">
        <f t="shared" si="41"/>
        <v>9.7439999999999998</v>
      </c>
      <c r="I1510" s="3"/>
      <c r="J1510" s="114"/>
      <c r="BA1510" s="117"/>
      <c r="BB1510" s="117"/>
      <c r="BC1510" s="117"/>
      <c r="BD1510" s="117"/>
    </row>
    <row r="1511" spans="1:56" ht="15">
      <c r="A1511" s="114"/>
      <c r="B1511" s="244" t="s">
        <v>565</v>
      </c>
      <c r="C1511" s="245">
        <v>0.84</v>
      </c>
      <c r="D1511" s="245">
        <v>1.61</v>
      </c>
      <c r="E1511" s="245">
        <v>1.2</v>
      </c>
      <c r="F1511" s="245">
        <v>5.1100000000000003</v>
      </c>
      <c r="G1511" s="202">
        <f t="shared" si="40"/>
        <v>1.008</v>
      </c>
      <c r="H1511" s="202">
        <f t="shared" si="41"/>
        <v>9.7439999999999998</v>
      </c>
      <c r="I1511" s="3"/>
      <c r="J1511" s="114"/>
      <c r="BA1511" s="117"/>
      <c r="BB1511" s="117"/>
      <c r="BC1511" s="117"/>
      <c r="BD1511" s="117"/>
    </row>
    <row r="1512" spans="1:56" ht="15">
      <c r="A1512" s="114"/>
      <c r="B1512" s="244" t="s">
        <v>566</v>
      </c>
      <c r="C1512" s="245">
        <v>0.84</v>
      </c>
      <c r="D1512" s="245">
        <v>1.61</v>
      </c>
      <c r="E1512" s="245">
        <v>1.2</v>
      </c>
      <c r="F1512" s="245">
        <v>5.1100000000000003</v>
      </c>
      <c r="G1512" s="202">
        <f t="shared" si="40"/>
        <v>1.008</v>
      </c>
      <c r="H1512" s="202">
        <f t="shared" si="41"/>
        <v>9.7439999999999998</v>
      </c>
      <c r="I1512" s="3"/>
      <c r="J1512" s="114"/>
      <c r="BA1512" s="117"/>
      <c r="BB1512" s="117"/>
      <c r="BC1512" s="117"/>
      <c r="BD1512" s="117"/>
    </row>
    <row r="1513" spans="1:56" ht="15">
      <c r="A1513" s="114"/>
      <c r="B1513" s="244" t="s">
        <v>567</v>
      </c>
      <c r="C1513" s="245">
        <v>0.84</v>
      </c>
      <c r="D1513" s="245">
        <v>1.61</v>
      </c>
      <c r="E1513" s="245">
        <v>1.2</v>
      </c>
      <c r="F1513" s="245">
        <v>5.1100000000000003</v>
      </c>
      <c r="G1513" s="202">
        <f t="shared" si="40"/>
        <v>1.008</v>
      </c>
      <c r="H1513" s="202">
        <f t="shared" si="41"/>
        <v>9.7439999999999998</v>
      </c>
      <c r="I1513" s="3"/>
      <c r="J1513" s="114"/>
      <c r="BA1513" s="117"/>
      <c r="BB1513" s="117"/>
      <c r="BC1513" s="117"/>
      <c r="BD1513" s="117"/>
    </row>
    <row r="1514" spans="1:56" ht="15">
      <c r="A1514" s="114"/>
      <c r="B1514" s="244" t="s">
        <v>568</v>
      </c>
      <c r="C1514" s="245">
        <v>0.84</v>
      </c>
      <c r="D1514" s="245">
        <v>1.61</v>
      </c>
      <c r="E1514" s="245">
        <v>1.2</v>
      </c>
      <c r="F1514" s="245">
        <v>5.1100000000000003</v>
      </c>
      <c r="G1514" s="202">
        <f t="shared" si="40"/>
        <v>1.008</v>
      </c>
      <c r="H1514" s="202">
        <f t="shared" si="41"/>
        <v>9.7439999999999998</v>
      </c>
      <c r="I1514" s="3"/>
      <c r="J1514" s="114"/>
      <c r="BA1514" s="117"/>
      <c r="BB1514" s="117"/>
      <c r="BC1514" s="117"/>
      <c r="BD1514" s="117"/>
    </row>
    <row r="1515" spans="1:56" ht="15">
      <c r="A1515" s="114"/>
      <c r="B1515" s="244" t="s">
        <v>569</v>
      </c>
      <c r="C1515" s="245">
        <v>0.84</v>
      </c>
      <c r="D1515" s="245">
        <v>1.61</v>
      </c>
      <c r="E1515" s="245">
        <v>1.2</v>
      </c>
      <c r="F1515" s="245">
        <v>5.1100000000000003</v>
      </c>
      <c r="G1515" s="202">
        <f t="shared" si="40"/>
        <v>1.008</v>
      </c>
      <c r="H1515" s="202">
        <f t="shared" si="41"/>
        <v>9.7439999999999998</v>
      </c>
      <c r="I1515" s="3"/>
      <c r="J1515" s="114"/>
      <c r="BA1515" s="117"/>
      <c r="BB1515" s="117"/>
      <c r="BC1515" s="117"/>
      <c r="BD1515" s="117"/>
    </row>
    <row r="1516" spans="1:56" ht="15">
      <c r="A1516" s="114"/>
      <c r="B1516" s="244" t="s">
        <v>2207</v>
      </c>
      <c r="C1516" s="245">
        <v>0.41</v>
      </c>
      <c r="D1516" s="245">
        <v>0.89500000000000002</v>
      </c>
      <c r="E1516" s="245">
        <v>1.2</v>
      </c>
      <c r="F1516" s="245">
        <v>2.38</v>
      </c>
      <c r="G1516" s="202">
        <f t="shared" si="40"/>
        <v>0.49199999999999994</v>
      </c>
      <c r="H1516" s="202">
        <f t="shared" si="41"/>
        <v>4.75</v>
      </c>
      <c r="I1516" s="3"/>
      <c r="J1516" s="114"/>
      <c r="BA1516" s="117"/>
      <c r="BB1516" s="117"/>
      <c r="BC1516" s="117"/>
      <c r="BD1516" s="117"/>
    </row>
    <row r="1517" spans="1:56" ht="15">
      <c r="A1517" s="114"/>
      <c r="B1517" s="244" t="s">
        <v>2208</v>
      </c>
      <c r="C1517" s="245">
        <v>0.84</v>
      </c>
      <c r="D1517" s="245">
        <v>1.61</v>
      </c>
      <c r="E1517" s="245">
        <v>1.2</v>
      </c>
      <c r="F1517" s="245">
        <v>5.1100000000000003</v>
      </c>
      <c r="G1517" s="202">
        <f t="shared" si="40"/>
        <v>1.008</v>
      </c>
      <c r="H1517" s="202">
        <f t="shared" si="41"/>
        <v>9.7439999999999998</v>
      </c>
      <c r="I1517" s="3"/>
      <c r="J1517" s="114"/>
      <c r="BA1517" s="117"/>
      <c r="BB1517" s="117"/>
      <c r="BC1517" s="117"/>
      <c r="BD1517" s="117"/>
    </row>
    <row r="1518" spans="1:56" ht="15">
      <c r="A1518" s="114"/>
      <c r="B1518" s="244" t="s">
        <v>2209</v>
      </c>
      <c r="C1518" s="245">
        <v>0.84</v>
      </c>
      <c r="D1518" s="245">
        <v>1.61</v>
      </c>
      <c r="E1518" s="245">
        <v>1.2</v>
      </c>
      <c r="F1518" s="245">
        <v>5.1100000000000003</v>
      </c>
      <c r="G1518" s="202">
        <f t="shared" si="40"/>
        <v>1.008</v>
      </c>
      <c r="H1518" s="202">
        <f t="shared" si="41"/>
        <v>9.7439999999999998</v>
      </c>
      <c r="I1518" s="3"/>
      <c r="J1518" s="114"/>
      <c r="BA1518" s="117"/>
      <c r="BB1518" s="117"/>
      <c r="BC1518" s="117"/>
      <c r="BD1518" s="117"/>
    </row>
    <row r="1519" spans="1:56" ht="15">
      <c r="A1519" s="114"/>
      <c r="B1519" s="244" t="s">
        <v>2210</v>
      </c>
      <c r="C1519" s="245">
        <v>0.84</v>
      </c>
      <c r="D1519" s="245">
        <v>1.61</v>
      </c>
      <c r="E1519" s="245">
        <v>1.2</v>
      </c>
      <c r="F1519" s="245">
        <v>5.1100000000000003</v>
      </c>
      <c r="G1519" s="202">
        <f t="shared" si="40"/>
        <v>1.008</v>
      </c>
      <c r="H1519" s="202">
        <f t="shared" si="41"/>
        <v>9.7439999999999998</v>
      </c>
      <c r="I1519" s="3"/>
      <c r="J1519" s="114"/>
      <c r="BA1519" s="117"/>
      <c r="BB1519" s="117"/>
      <c r="BC1519" s="117"/>
      <c r="BD1519" s="117"/>
    </row>
    <row r="1520" spans="1:56" ht="15">
      <c r="A1520" s="114"/>
      <c r="B1520" s="244" t="s">
        <v>2211</v>
      </c>
      <c r="C1520" s="245">
        <v>0.84</v>
      </c>
      <c r="D1520" s="245">
        <v>1.61</v>
      </c>
      <c r="E1520" s="245">
        <v>1.2</v>
      </c>
      <c r="F1520" s="245">
        <v>5.1100000000000003</v>
      </c>
      <c r="G1520" s="202">
        <f t="shared" ref="G1520" si="42">C1520*E1520</f>
        <v>1.008</v>
      </c>
      <c r="H1520" s="202">
        <f t="shared" ref="H1520" si="43">2*C1520+D1520*E1520+F1520*E1520</f>
        <v>9.7439999999999998</v>
      </c>
      <c r="I1520" s="3"/>
      <c r="J1520" s="114"/>
      <c r="BA1520" s="117"/>
      <c r="BB1520" s="117"/>
      <c r="BC1520" s="117"/>
      <c r="BD1520" s="117"/>
    </row>
    <row r="1521" spans="1:56" ht="15">
      <c r="A1521" s="114"/>
      <c r="B1521" s="244" t="s">
        <v>2212</v>
      </c>
      <c r="C1521" s="245">
        <v>0.84</v>
      </c>
      <c r="D1521" s="245">
        <v>1.61</v>
      </c>
      <c r="E1521" s="245">
        <v>1.2</v>
      </c>
      <c r="F1521" s="245">
        <v>5.1100000000000003</v>
      </c>
      <c r="G1521" s="202">
        <f t="shared" si="40"/>
        <v>1.008</v>
      </c>
      <c r="H1521" s="202">
        <f t="shared" si="41"/>
        <v>9.7439999999999998</v>
      </c>
      <c r="I1521" s="3"/>
      <c r="J1521" s="114"/>
      <c r="BA1521" s="117"/>
      <c r="BB1521" s="117"/>
      <c r="BC1521" s="117"/>
      <c r="BD1521" s="117"/>
    </row>
    <row r="1522" spans="1:56">
      <c r="A1522" s="114"/>
      <c r="B1522" s="115"/>
      <c r="C1522" s="213"/>
      <c r="D1522" s="213"/>
      <c r="E1522" s="115"/>
      <c r="F1522" s="254" t="s">
        <v>76</v>
      </c>
      <c r="G1522" s="228">
        <f>SUM(G1502:G1521)</f>
        <v>19.487999999999992</v>
      </c>
      <c r="H1522" s="228">
        <f>SUM(H1502:H1521)</f>
        <v>188.37800000000001</v>
      </c>
      <c r="I1522" s="3"/>
      <c r="J1522" s="114"/>
      <c r="AZ1522" s="117"/>
      <c r="BA1522" s="117"/>
      <c r="BB1522" s="117"/>
      <c r="BC1522" s="117"/>
      <c r="BD1522" s="117"/>
    </row>
    <row r="1523" spans="1:56" ht="15">
      <c r="A1523" s="114"/>
      <c r="B1523" s="140"/>
      <c r="C1523" s="213"/>
      <c r="D1523" s="213"/>
      <c r="E1523" s="236"/>
      <c r="F1523" s="213"/>
      <c r="G1523" s="212"/>
      <c r="H1523" s="210"/>
      <c r="I1523" s="3"/>
      <c r="J1523" s="114"/>
      <c r="AZ1523" s="117"/>
      <c r="BA1523" s="117"/>
      <c r="BB1523" s="117"/>
      <c r="BC1523" s="117"/>
      <c r="BD1523" s="117"/>
    </row>
    <row r="1524" spans="1:56" ht="15">
      <c r="A1524" s="114"/>
      <c r="B1524" s="242" t="s">
        <v>570</v>
      </c>
      <c r="C1524" s="268" t="s">
        <v>67</v>
      </c>
      <c r="D1524" s="268" t="s">
        <v>64</v>
      </c>
      <c r="E1524" s="268" t="s">
        <v>66</v>
      </c>
      <c r="F1524" s="268" t="s">
        <v>63</v>
      </c>
      <c r="G1524" s="268" t="s">
        <v>68</v>
      </c>
      <c r="H1524" s="268" t="s">
        <v>305</v>
      </c>
      <c r="I1524" s="362"/>
      <c r="J1524" s="114"/>
      <c r="AZ1524" s="117"/>
      <c r="BA1524" s="117"/>
      <c r="BB1524" s="117"/>
      <c r="BC1524" s="117"/>
      <c r="BD1524" s="117"/>
    </row>
    <row r="1525" spans="1:56" ht="15">
      <c r="A1525" s="114"/>
      <c r="B1525" s="269" t="s">
        <v>571</v>
      </c>
      <c r="C1525" s="311">
        <v>1</v>
      </c>
      <c r="D1525" s="270">
        <f>28+36.5</f>
        <v>64.5</v>
      </c>
      <c r="E1525" s="270">
        <v>0.15</v>
      </c>
      <c r="F1525" s="339">
        <f t="shared" ref="F1525:F1530" si="44">(D1525*E1525)*C1525</f>
        <v>9.6749999999999989</v>
      </c>
      <c r="G1525" s="339">
        <v>0</v>
      </c>
      <c r="H1525" s="339">
        <f>D1525*0.05</f>
        <v>3.2250000000000001</v>
      </c>
      <c r="I1525" s="114"/>
      <c r="J1525" s="114"/>
      <c r="AY1525" s="117"/>
      <c r="AZ1525" s="117"/>
      <c r="BA1525" s="117"/>
      <c r="BB1525" s="117"/>
      <c r="BC1525" s="117"/>
      <c r="BD1525" s="117"/>
    </row>
    <row r="1526" spans="1:56" ht="15">
      <c r="A1526" s="114"/>
      <c r="B1526" s="244" t="s">
        <v>2213</v>
      </c>
      <c r="C1526" s="337">
        <v>2</v>
      </c>
      <c r="D1526" s="245">
        <v>13.76</v>
      </c>
      <c r="E1526" s="245">
        <v>0.15</v>
      </c>
      <c r="F1526" s="340">
        <f t="shared" si="44"/>
        <v>4.1280000000000001</v>
      </c>
      <c r="G1526" s="340">
        <f>D1526*C1526</f>
        <v>27.52</v>
      </c>
      <c r="H1526" s="340">
        <v>0</v>
      </c>
      <c r="I1526" s="114"/>
      <c r="J1526" s="114"/>
      <c r="AY1526" s="117"/>
      <c r="AZ1526" s="117"/>
      <c r="BA1526" s="117"/>
      <c r="BB1526" s="117"/>
      <c r="BC1526" s="117"/>
      <c r="BD1526" s="117"/>
    </row>
    <row r="1527" spans="1:56" ht="15">
      <c r="A1527" s="114"/>
      <c r="B1527" s="244" t="s">
        <v>2214</v>
      </c>
      <c r="C1527" s="337">
        <v>2</v>
      </c>
      <c r="D1527" s="245">
        <v>13.3</v>
      </c>
      <c r="E1527" s="245">
        <v>0.3</v>
      </c>
      <c r="F1527" s="340">
        <f t="shared" si="44"/>
        <v>7.98</v>
      </c>
      <c r="G1527" s="340">
        <f>D1527*C1527</f>
        <v>26.6</v>
      </c>
      <c r="H1527" s="340">
        <v>0</v>
      </c>
      <c r="I1527" s="114"/>
      <c r="J1527" s="114"/>
      <c r="BB1527" s="117"/>
      <c r="BC1527" s="117"/>
      <c r="BD1527" s="117"/>
    </row>
    <row r="1528" spans="1:56" ht="15">
      <c r="A1528" s="114"/>
      <c r="B1528" s="244" t="s">
        <v>2215</v>
      </c>
      <c r="C1528" s="337">
        <v>2</v>
      </c>
      <c r="D1528" s="245">
        <v>17.88</v>
      </c>
      <c r="E1528" s="245">
        <v>0.15</v>
      </c>
      <c r="F1528" s="340">
        <f t="shared" si="44"/>
        <v>5.3639999999999999</v>
      </c>
      <c r="G1528" s="340">
        <f>D1528*C1528</f>
        <v>35.76</v>
      </c>
      <c r="H1528" s="340">
        <v>0</v>
      </c>
      <c r="I1528" s="114"/>
      <c r="J1528" s="114"/>
      <c r="BB1528" s="117"/>
      <c r="BC1528" s="117"/>
      <c r="BD1528" s="117"/>
    </row>
    <row r="1529" spans="1:56" ht="15">
      <c r="A1529" s="114"/>
      <c r="B1529" s="244" t="s">
        <v>2216</v>
      </c>
      <c r="C1529" s="337">
        <v>2</v>
      </c>
      <c r="D1529" s="245">
        <v>18.93</v>
      </c>
      <c r="E1529" s="245">
        <v>0.3</v>
      </c>
      <c r="F1529" s="340">
        <f t="shared" si="44"/>
        <v>11.357999999999999</v>
      </c>
      <c r="G1529" s="340">
        <f>D1529*C1529</f>
        <v>37.86</v>
      </c>
      <c r="H1529" s="340">
        <v>0</v>
      </c>
      <c r="I1529" s="114"/>
      <c r="J1529" s="114"/>
      <c r="BB1529" s="117"/>
      <c r="BC1529" s="117"/>
      <c r="BD1529" s="117"/>
    </row>
    <row r="1530" spans="1:56" ht="15">
      <c r="A1530" s="114"/>
      <c r="B1530" s="244" t="s">
        <v>2217</v>
      </c>
      <c r="C1530" s="337">
        <v>1</v>
      </c>
      <c r="D1530" s="245">
        <f>19.11*2+13.48*2-1.2*4-0.49*4</f>
        <v>58.420000000000009</v>
      </c>
      <c r="E1530" s="245">
        <v>0.2</v>
      </c>
      <c r="F1530" s="340">
        <f t="shared" si="44"/>
        <v>11.684000000000003</v>
      </c>
      <c r="G1530" s="340">
        <f>D1530*C1530</f>
        <v>58.420000000000009</v>
      </c>
      <c r="H1530" s="340">
        <v>0</v>
      </c>
      <c r="I1530" s="114"/>
      <c r="J1530" s="114"/>
      <c r="BB1530" s="117"/>
      <c r="BC1530" s="117"/>
      <c r="BD1530" s="117"/>
    </row>
    <row r="1531" spans="1:56" ht="15">
      <c r="A1531" s="114"/>
      <c r="B1531" s="293"/>
      <c r="C1531" s="81"/>
      <c r="D1531" s="81"/>
      <c r="E1531" s="341" t="s">
        <v>76</v>
      </c>
      <c r="F1531" s="342">
        <f>SUM(F1525:F1529)</f>
        <v>38.505000000000003</v>
      </c>
      <c r="G1531" s="342">
        <f>SUM(G1525:G1529)</f>
        <v>127.74</v>
      </c>
      <c r="H1531" s="342">
        <f>SUM(H1525:H1529)</f>
        <v>3.2250000000000001</v>
      </c>
      <c r="I1531" s="82"/>
      <c r="J1531" s="4"/>
      <c r="BC1531" s="117"/>
      <c r="BD1531" s="117"/>
    </row>
    <row r="1532" spans="1:56" ht="15">
      <c r="A1532" s="114"/>
      <c r="B1532" s="114"/>
      <c r="C1532" s="114"/>
      <c r="D1532" s="114"/>
      <c r="E1532" s="114"/>
      <c r="F1532" s="114"/>
      <c r="G1532" s="114"/>
      <c r="H1532" s="114"/>
      <c r="I1532" s="213"/>
      <c r="J1532" s="3"/>
      <c r="K1532" s="233"/>
      <c r="BD1532" s="117"/>
    </row>
    <row r="1533" spans="1:56" ht="15">
      <c r="A1533" s="114"/>
      <c r="B1533" s="242" t="s">
        <v>96</v>
      </c>
      <c r="C1533" s="268" t="s">
        <v>83</v>
      </c>
      <c r="D1533" s="268" t="s">
        <v>86</v>
      </c>
      <c r="E1533" s="268" t="s">
        <v>103</v>
      </c>
      <c r="F1533" s="268" t="s">
        <v>572</v>
      </c>
      <c r="G1533" s="268" t="s">
        <v>104</v>
      </c>
      <c r="H1533" s="268" t="s">
        <v>105</v>
      </c>
      <c r="I1533" s="236"/>
      <c r="J1533" s="3"/>
      <c r="K1533" s="233"/>
      <c r="BD1533" s="117"/>
    </row>
    <row r="1534" spans="1:56" ht="15">
      <c r="A1534" s="114"/>
      <c r="B1534" s="244" t="s">
        <v>573</v>
      </c>
      <c r="C1534" s="343">
        <v>2.8</v>
      </c>
      <c r="D1534" s="343">
        <v>0</v>
      </c>
      <c r="E1534" s="343">
        <v>26.4</v>
      </c>
      <c r="F1534" s="343">
        <v>0.4</v>
      </c>
      <c r="G1534" s="340">
        <f t="shared" ref="G1534:G1545" si="45">F1534*E1534</f>
        <v>10.56</v>
      </c>
      <c r="H1534" s="340">
        <f>C1534*E1534</f>
        <v>73.919999999999987</v>
      </c>
      <c r="I1534" s="236"/>
      <c r="J1534" s="3"/>
      <c r="K1534" s="233"/>
      <c r="BD1534" s="117"/>
    </row>
    <row r="1535" spans="1:56" ht="15">
      <c r="A1535" s="114"/>
      <c r="B1535" s="244" t="s">
        <v>574</v>
      </c>
      <c r="C1535" s="343">
        <v>2.8</v>
      </c>
      <c r="D1535" s="343">
        <v>0</v>
      </c>
      <c r="E1535" s="343">
        <v>26.4</v>
      </c>
      <c r="F1535" s="343">
        <v>0.4</v>
      </c>
      <c r="G1535" s="340">
        <f t="shared" si="45"/>
        <v>10.56</v>
      </c>
      <c r="H1535" s="340">
        <f>C1535*E1535</f>
        <v>73.919999999999987</v>
      </c>
      <c r="I1535" s="236"/>
      <c r="J1535" s="3"/>
      <c r="K1535" s="233"/>
      <c r="BD1535" s="117"/>
    </row>
    <row r="1536" spans="1:56" ht="15">
      <c r="A1536" s="114"/>
      <c r="B1536" s="244" t="s">
        <v>575</v>
      </c>
      <c r="C1536" s="343">
        <v>0.4</v>
      </c>
      <c r="D1536" s="343">
        <v>1.2</v>
      </c>
      <c r="E1536" s="343">
        <v>26.4</v>
      </c>
      <c r="F1536" s="343">
        <f>C1536*D1536</f>
        <v>0.48</v>
      </c>
      <c r="G1536" s="340">
        <f t="shared" si="45"/>
        <v>12.671999999999999</v>
      </c>
      <c r="H1536" s="340">
        <f>(C1536*2+D1536*2)*E1536</f>
        <v>84.48</v>
      </c>
      <c r="I1536" s="236"/>
      <c r="J1536" s="3"/>
      <c r="K1536" s="233"/>
      <c r="BD1536" s="117"/>
    </row>
    <row r="1537" spans="1:56" ht="15">
      <c r="A1537" s="114"/>
      <c r="B1537" s="244" t="s">
        <v>576</v>
      </c>
      <c r="C1537" s="343">
        <v>0.4</v>
      </c>
      <c r="D1537" s="343">
        <v>1.4</v>
      </c>
      <c r="E1537" s="343">
        <v>26.4</v>
      </c>
      <c r="F1537" s="343">
        <f>C1537*D1537</f>
        <v>0.55999999999999994</v>
      </c>
      <c r="G1537" s="340">
        <f t="shared" si="45"/>
        <v>14.783999999999997</v>
      </c>
      <c r="H1537" s="340">
        <f>(C1537*2+D1537*2)*E1537</f>
        <v>95.039999999999992</v>
      </c>
      <c r="I1537" s="236"/>
      <c r="J1537" s="3"/>
      <c r="K1537" s="233"/>
      <c r="BD1537" s="117"/>
    </row>
    <row r="1538" spans="1:56" ht="15">
      <c r="A1538" s="114"/>
      <c r="B1538" s="244" t="s">
        <v>577</v>
      </c>
      <c r="C1538" s="343">
        <v>2.8</v>
      </c>
      <c r="D1538" s="343">
        <v>0</v>
      </c>
      <c r="E1538" s="343">
        <v>26.4</v>
      </c>
      <c r="F1538" s="343">
        <v>0.4</v>
      </c>
      <c r="G1538" s="340">
        <f t="shared" si="45"/>
        <v>10.56</v>
      </c>
      <c r="H1538" s="340">
        <f>C1538*E1538</f>
        <v>73.919999999999987</v>
      </c>
      <c r="I1538" s="236"/>
      <c r="J1538" s="3"/>
      <c r="K1538" s="233"/>
      <c r="BD1538" s="117"/>
    </row>
    <row r="1539" spans="1:56" ht="15">
      <c r="A1539" s="114"/>
      <c r="B1539" s="244" t="s">
        <v>578</v>
      </c>
      <c r="C1539" s="343">
        <v>2.8</v>
      </c>
      <c r="D1539" s="343">
        <v>0</v>
      </c>
      <c r="E1539" s="343">
        <v>26.4</v>
      </c>
      <c r="F1539" s="343">
        <v>0.4</v>
      </c>
      <c r="G1539" s="340">
        <f t="shared" si="45"/>
        <v>10.56</v>
      </c>
      <c r="H1539" s="340">
        <f>C1539*E1539</f>
        <v>73.919999999999987</v>
      </c>
      <c r="I1539" s="236"/>
      <c r="J1539" s="3"/>
      <c r="K1539" s="233"/>
      <c r="BD1539" s="117"/>
    </row>
    <row r="1540" spans="1:56" ht="15">
      <c r="A1540" s="114"/>
      <c r="B1540" s="244" t="s">
        <v>579</v>
      </c>
      <c r="C1540" s="343">
        <v>2.8</v>
      </c>
      <c r="D1540" s="343">
        <v>0</v>
      </c>
      <c r="E1540" s="343">
        <v>7.4</v>
      </c>
      <c r="F1540" s="343">
        <v>0.4</v>
      </c>
      <c r="G1540" s="340">
        <f t="shared" si="45"/>
        <v>2.9600000000000004</v>
      </c>
      <c r="H1540" s="340">
        <f>C1540*E1540</f>
        <v>20.72</v>
      </c>
      <c r="I1540" s="236"/>
      <c r="J1540" s="3"/>
      <c r="K1540" s="233"/>
      <c r="BD1540" s="117"/>
    </row>
    <row r="1541" spans="1:56" ht="15">
      <c r="A1541" s="114"/>
      <c r="B1541" s="244" t="s">
        <v>580</v>
      </c>
      <c r="C1541" s="343">
        <v>2.8</v>
      </c>
      <c r="D1541" s="343">
        <v>0</v>
      </c>
      <c r="E1541" s="343">
        <v>7.4</v>
      </c>
      <c r="F1541" s="343">
        <v>0.4</v>
      </c>
      <c r="G1541" s="340">
        <f t="shared" si="45"/>
        <v>2.9600000000000004</v>
      </c>
      <c r="H1541" s="340">
        <f>C1541*E1541</f>
        <v>20.72</v>
      </c>
      <c r="I1541" s="236"/>
      <c r="J1541" s="3"/>
      <c r="K1541" s="233"/>
      <c r="BD1541" s="117"/>
    </row>
    <row r="1542" spans="1:56" ht="15">
      <c r="A1542" s="114"/>
      <c r="B1542" s="244" t="s">
        <v>581</v>
      </c>
      <c r="C1542" s="343">
        <v>0.4</v>
      </c>
      <c r="D1542" s="343">
        <v>1.4</v>
      </c>
      <c r="E1542" s="343">
        <v>7.4</v>
      </c>
      <c r="F1542" s="343">
        <f>C1542*D1542</f>
        <v>0.55999999999999994</v>
      </c>
      <c r="G1542" s="340">
        <f t="shared" si="45"/>
        <v>4.1440000000000001</v>
      </c>
      <c r="H1542" s="340">
        <f>(C1542*2+D1542*2)*E1542</f>
        <v>26.639999999999997</v>
      </c>
      <c r="I1542" s="236"/>
      <c r="J1542" s="3"/>
      <c r="K1542" s="233"/>
      <c r="BD1542" s="117"/>
    </row>
    <row r="1543" spans="1:56" ht="15">
      <c r="A1543" s="114"/>
      <c r="B1543" s="244" t="s">
        <v>582</v>
      </c>
      <c r="C1543" s="343">
        <v>0.4</v>
      </c>
      <c r="D1543" s="343">
        <v>1.2</v>
      </c>
      <c r="E1543" s="343">
        <v>7.4</v>
      </c>
      <c r="F1543" s="343">
        <f>C1543*D1543</f>
        <v>0.48</v>
      </c>
      <c r="G1543" s="340">
        <f t="shared" si="45"/>
        <v>3.552</v>
      </c>
      <c r="H1543" s="340">
        <f>(C1543*2+D1543*2)*E1543</f>
        <v>23.680000000000003</v>
      </c>
      <c r="I1543" s="236"/>
      <c r="J1543" s="3"/>
      <c r="K1543" s="233"/>
      <c r="BD1543" s="117"/>
    </row>
    <row r="1544" spans="1:56" ht="15">
      <c r="A1544" s="114"/>
      <c r="B1544" s="244" t="s">
        <v>583</v>
      </c>
      <c r="C1544" s="343">
        <v>2.8</v>
      </c>
      <c r="D1544" s="343">
        <v>0</v>
      </c>
      <c r="E1544" s="343">
        <v>7.4</v>
      </c>
      <c r="F1544" s="343">
        <v>0.4</v>
      </c>
      <c r="G1544" s="340">
        <f t="shared" si="45"/>
        <v>2.9600000000000004</v>
      </c>
      <c r="H1544" s="340">
        <f>C1544*E1544</f>
        <v>20.72</v>
      </c>
      <c r="I1544" s="236"/>
      <c r="J1544" s="3"/>
      <c r="K1544" s="233"/>
      <c r="BD1544" s="117"/>
    </row>
    <row r="1545" spans="1:56" ht="15">
      <c r="A1545" s="114"/>
      <c r="B1545" s="244" t="s">
        <v>584</v>
      </c>
      <c r="C1545" s="343">
        <v>2.8</v>
      </c>
      <c r="D1545" s="343">
        <v>0</v>
      </c>
      <c r="E1545" s="343">
        <v>7.4</v>
      </c>
      <c r="F1545" s="343">
        <v>0.4</v>
      </c>
      <c r="G1545" s="340">
        <f t="shared" si="45"/>
        <v>2.9600000000000004</v>
      </c>
      <c r="H1545" s="340">
        <f>C1545*E1545</f>
        <v>20.72</v>
      </c>
      <c r="I1545" s="236"/>
      <c r="J1545" s="3"/>
      <c r="K1545" s="233"/>
      <c r="BD1545" s="117"/>
    </row>
    <row r="1546" spans="1:56">
      <c r="A1546" s="114"/>
      <c r="B1546" s="241"/>
      <c r="C1546" s="344"/>
      <c r="D1546" s="344"/>
      <c r="E1546" s="345"/>
      <c r="F1546" s="312" t="s">
        <v>76</v>
      </c>
      <c r="G1546" s="313">
        <f>SUM(G1534:G1545)</f>
        <v>89.231999999999985</v>
      </c>
      <c r="H1546" s="313">
        <f>SUM(H1534:H1545)</f>
        <v>608.4</v>
      </c>
      <c r="I1546" s="114"/>
      <c r="J1546" s="114"/>
      <c r="BB1546" s="117"/>
      <c r="BC1546" s="117"/>
      <c r="BD1546" s="117"/>
    </row>
    <row r="1547" spans="1:56" thickBot="1">
      <c r="A1547" s="114"/>
      <c r="B1547" s="140"/>
      <c r="C1547" s="346"/>
      <c r="D1547" s="346"/>
      <c r="E1547" s="114"/>
      <c r="F1547" s="114"/>
      <c r="G1547" s="114"/>
      <c r="H1547" s="347"/>
      <c r="I1547" s="114"/>
      <c r="J1547" s="114"/>
      <c r="BB1547" s="117"/>
      <c r="BC1547" s="117"/>
      <c r="BD1547" s="117"/>
    </row>
    <row r="1548" spans="1:56">
      <c r="A1548" s="114"/>
      <c r="B1548" s="1285" t="s">
        <v>98</v>
      </c>
      <c r="C1548" s="1286"/>
      <c r="D1548" s="1286"/>
      <c r="E1548" s="1286"/>
      <c r="F1548" s="1287"/>
      <c r="G1548" s="115"/>
      <c r="H1548" s="115"/>
      <c r="I1548" s="82"/>
      <c r="J1548" s="114"/>
      <c r="BB1548" s="117"/>
      <c r="BC1548" s="117"/>
      <c r="BD1548" s="117"/>
    </row>
    <row r="1549" spans="1:56">
      <c r="A1549" s="114"/>
      <c r="B1549" s="634"/>
      <c r="C1549" s="115"/>
      <c r="D1549" s="115"/>
      <c r="E1549" s="115"/>
      <c r="F1549" s="182"/>
      <c r="G1549" s="115"/>
      <c r="H1549" s="236"/>
      <c r="I1549" s="3"/>
      <c r="J1549" s="114"/>
      <c r="BB1549" s="117"/>
      <c r="BC1549" s="117"/>
      <c r="BD1549" s="117"/>
    </row>
    <row r="1550" spans="1:56">
      <c r="A1550" s="114"/>
      <c r="B1550" s="635" t="s">
        <v>315</v>
      </c>
      <c r="C1550" s="203"/>
      <c r="D1550" s="204"/>
      <c r="E1550" s="205">
        <f>H1546+G1531+H1522+H1499+H1490</f>
        <v>2832.9504999999999</v>
      </c>
      <c r="F1550" s="216" t="s">
        <v>13</v>
      </c>
      <c r="G1550" s="115"/>
      <c r="H1550" s="236"/>
      <c r="I1550" s="3"/>
      <c r="J1550" s="114"/>
      <c r="BB1550" s="117"/>
      <c r="BC1550" s="117"/>
      <c r="BD1550" s="117"/>
    </row>
    <row r="1551" spans="1:56">
      <c r="A1551" s="114"/>
      <c r="B1551" s="635" t="s">
        <v>316</v>
      </c>
      <c r="C1551" s="203"/>
      <c r="D1551" s="204"/>
      <c r="E1551" s="205">
        <f>G1545+F1529+G1521+G1498+G1489</f>
        <v>171.40199999999999</v>
      </c>
      <c r="F1551" s="216" t="s">
        <v>100</v>
      </c>
      <c r="G1551" s="115"/>
      <c r="H1551" s="236"/>
      <c r="I1551" s="3"/>
      <c r="J1551" s="114"/>
      <c r="BB1551" s="117"/>
      <c r="BC1551" s="117"/>
      <c r="BD1551" s="117"/>
    </row>
    <row r="1552" spans="1:56">
      <c r="A1552" s="114"/>
      <c r="B1552" s="635" t="s">
        <v>317</v>
      </c>
      <c r="C1552" s="203"/>
      <c r="D1552" s="204"/>
      <c r="E1552" s="205">
        <f>H1531</f>
        <v>3.2250000000000001</v>
      </c>
      <c r="F1552" s="216" t="s">
        <v>100</v>
      </c>
      <c r="G1552" s="115"/>
      <c r="H1552" s="236"/>
      <c r="I1552" s="3"/>
      <c r="J1552" s="114"/>
      <c r="BB1552" s="117"/>
      <c r="BC1552" s="117"/>
      <c r="BD1552" s="117"/>
    </row>
    <row r="1553" spans="1:56" ht="16.5" thickBot="1">
      <c r="A1553" s="114"/>
      <c r="B1553" s="779" t="s">
        <v>318</v>
      </c>
      <c r="C1553" s="217"/>
      <c r="D1553" s="218"/>
      <c r="E1553" s="348">
        <f>24.72+22.42</f>
        <v>47.14</v>
      </c>
      <c r="F1553" s="219" t="s">
        <v>10</v>
      </c>
      <c r="G1553" s="115"/>
      <c r="H1553" s="236"/>
      <c r="I1553" s="3"/>
      <c r="J1553" s="114"/>
      <c r="BB1553" s="117"/>
      <c r="BC1553" s="117"/>
      <c r="BD1553" s="117"/>
    </row>
    <row r="1554" spans="1:56">
      <c r="A1554" s="114"/>
      <c r="B1554" s="115"/>
      <c r="C1554" s="115"/>
      <c r="D1554" s="115"/>
      <c r="E1554" s="115"/>
      <c r="F1554" s="115"/>
      <c r="G1554" s="115"/>
      <c r="H1554" s="115"/>
      <c r="I1554" s="115"/>
      <c r="J1554" s="114"/>
      <c r="BB1554" s="117"/>
      <c r="BC1554" s="117"/>
      <c r="BD1554" s="117"/>
    </row>
    <row r="1555" spans="1:56" ht="16.5" thickBot="1">
      <c r="A1555" s="114"/>
      <c r="B1555" s="115"/>
      <c r="C1555" s="115"/>
      <c r="D1555" s="115"/>
      <c r="E1555" s="115"/>
      <c r="F1555" s="115"/>
      <c r="G1555" s="115"/>
      <c r="H1555" s="115"/>
      <c r="I1555" s="115"/>
      <c r="J1555" s="114"/>
      <c r="BB1555" s="117"/>
      <c r="BC1555" s="117"/>
      <c r="BD1555" s="117"/>
    </row>
    <row r="1556" spans="1:56">
      <c r="A1556" s="114"/>
      <c r="B1556" s="1285" t="s">
        <v>320</v>
      </c>
      <c r="C1556" s="1286"/>
      <c r="D1556" s="1286"/>
      <c r="E1556" s="1286"/>
      <c r="F1556" s="1287"/>
      <c r="G1556" s="115"/>
      <c r="H1556" s="115"/>
      <c r="I1556" s="82"/>
      <c r="J1556" s="114"/>
      <c r="BB1556" s="117"/>
      <c r="BC1556" s="117"/>
      <c r="BD1556" s="117"/>
    </row>
    <row r="1557" spans="1:56">
      <c r="A1557" s="114"/>
      <c r="B1557" s="690"/>
      <c r="C1557" s="115"/>
      <c r="D1557" s="115"/>
      <c r="E1557" s="115"/>
      <c r="F1557" s="182"/>
      <c r="G1557" s="115"/>
      <c r="H1557" s="115"/>
      <c r="I1557" s="82"/>
      <c r="J1557" s="114"/>
      <c r="BB1557" s="117"/>
      <c r="BC1557" s="117"/>
      <c r="BD1557" s="117"/>
    </row>
    <row r="1558" spans="1:56" ht="15">
      <c r="A1558" s="114"/>
      <c r="B1558" s="691" t="s">
        <v>1806</v>
      </c>
      <c r="C1558" s="196"/>
      <c r="D1558" s="196"/>
      <c r="E1558" s="196"/>
      <c r="F1558" s="284"/>
      <c r="G1558" s="196"/>
      <c r="H1558" s="196"/>
      <c r="I1558" s="196"/>
      <c r="J1558" s="114"/>
      <c r="BB1558" s="117"/>
      <c r="BC1558" s="117"/>
      <c r="BD1558" s="117"/>
    </row>
    <row r="1559" spans="1:56" ht="15">
      <c r="A1559" s="114"/>
      <c r="B1559" s="692" t="s">
        <v>352</v>
      </c>
      <c r="C1559" s="712">
        <v>5999</v>
      </c>
      <c r="D1559" s="286" t="s">
        <v>12</v>
      </c>
      <c r="E1559" s="946" t="s">
        <v>1807</v>
      </c>
      <c r="F1559" s="139"/>
      <c r="G1559" s="196"/>
      <c r="H1559" s="196"/>
      <c r="I1559" s="196"/>
      <c r="J1559" s="114"/>
      <c r="BB1559" s="117"/>
      <c r="BC1559" s="117"/>
      <c r="BD1559" s="117"/>
    </row>
    <row r="1560" spans="1:56">
      <c r="A1560" s="114"/>
      <c r="B1560" s="690"/>
      <c r="C1560" s="115"/>
      <c r="D1560" s="115"/>
      <c r="E1560" s="115"/>
      <c r="F1560" s="182"/>
      <c r="G1560" s="115"/>
      <c r="H1560" s="115"/>
      <c r="I1560" s="82"/>
      <c r="J1560" s="114"/>
      <c r="BB1560" s="117"/>
      <c r="BC1560" s="117"/>
      <c r="BD1560" s="117"/>
    </row>
    <row r="1561" spans="1:56" ht="15">
      <c r="A1561" s="114"/>
      <c r="B1561" s="691" t="s">
        <v>1808</v>
      </c>
      <c r="C1561" s="196"/>
      <c r="D1561" s="196"/>
      <c r="E1561" s="196"/>
      <c r="F1561" s="284"/>
      <c r="G1561" s="196"/>
      <c r="H1561" s="196"/>
      <c r="I1561" s="196"/>
      <c r="J1561" s="114"/>
      <c r="BB1561" s="117"/>
      <c r="BC1561" s="117"/>
      <c r="BD1561" s="117"/>
    </row>
    <row r="1562" spans="1:56" ht="15">
      <c r="A1562" s="114"/>
      <c r="B1562" s="692" t="s">
        <v>352</v>
      </c>
      <c r="C1562" s="712">
        <v>8445</v>
      </c>
      <c r="D1562" s="286" t="s">
        <v>12</v>
      </c>
      <c r="E1562" s="946" t="s">
        <v>585</v>
      </c>
      <c r="F1562" s="139"/>
      <c r="G1562" s="196"/>
      <c r="H1562" s="196"/>
      <c r="I1562" s="196"/>
      <c r="J1562" s="114"/>
      <c r="BB1562" s="117"/>
      <c r="BC1562" s="117"/>
      <c r="BD1562" s="117"/>
    </row>
    <row r="1563" spans="1:56" ht="15">
      <c r="A1563" s="114"/>
      <c r="B1563" s="693"/>
      <c r="C1563" s="196"/>
      <c r="D1563" s="196"/>
      <c r="E1563" s="196"/>
      <c r="F1563" s="284"/>
      <c r="G1563" s="196"/>
      <c r="H1563" s="196"/>
      <c r="I1563" s="196"/>
      <c r="J1563" s="114"/>
      <c r="BB1563" s="117"/>
      <c r="BC1563" s="117"/>
      <c r="BD1563" s="117"/>
    </row>
    <row r="1564" spans="1:56" ht="15">
      <c r="A1564" s="114"/>
      <c r="B1564" s="691" t="s">
        <v>586</v>
      </c>
      <c r="C1564" s="196"/>
      <c r="D1564" s="196"/>
      <c r="E1564" s="196"/>
      <c r="F1564" s="284"/>
      <c r="G1564" s="196"/>
      <c r="H1564" s="196"/>
      <c r="I1564" s="196"/>
      <c r="J1564" s="114"/>
      <c r="BB1564" s="117"/>
      <c r="BC1564" s="117"/>
      <c r="BD1564" s="117"/>
    </row>
    <row r="1565" spans="1:56" ht="15">
      <c r="A1565" s="114"/>
      <c r="B1565" s="692" t="s">
        <v>352</v>
      </c>
      <c r="C1565" s="712">
        <v>43808</v>
      </c>
      <c r="D1565" s="286" t="s">
        <v>12</v>
      </c>
      <c r="E1565" s="946" t="s">
        <v>587</v>
      </c>
      <c r="F1565" s="336"/>
      <c r="G1565" s="196"/>
      <c r="H1565" s="196"/>
      <c r="I1565" s="196"/>
      <c r="J1565" s="114"/>
      <c r="BB1565" s="117"/>
      <c r="BC1565" s="117"/>
      <c r="BD1565" s="117"/>
    </row>
    <row r="1566" spans="1:56" ht="15">
      <c r="A1566" s="114"/>
      <c r="B1566" s="693"/>
      <c r="C1566" s="196"/>
      <c r="D1566" s="196"/>
      <c r="E1566" s="196"/>
      <c r="F1566" s="284"/>
      <c r="G1566" s="196"/>
      <c r="H1566" s="196"/>
      <c r="I1566" s="196"/>
      <c r="J1566" s="114"/>
      <c r="BB1566" s="117"/>
      <c r="BC1566" s="117"/>
      <c r="BD1566" s="117"/>
    </row>
    <row r="1567" spans="1:56" ht="15">
      <c r="A1567" s="114"/>
      <c r="B1567" s="691" t="s">
        <v>347</v>
      </c>
      <c r="C1567" s="196"/>
      <c r="D1567" s="196"/>
      <c r="E1567" s="196"/>
      <c r="F1567" s="284"/>
      <c r="G1567" s="196"/>
      <c r="H1567" s="196"/>
      <c r="I1567" s="196"/>
      <c r="J1567" s="114"/>
      <c r="BB1567" s="117"/>
      <c r="BC1567" s="117"/>
      <c r="BD1567" s="117"/>
    </row>
    <row r="1568" spans="1:56" ht="15">
      <c r="A1568" s="114"/>
      <c r="B1568" s="692" t="s">
        <v>352</v>
      </c>
      <c r="C1568" s="712">
        <v>2680</v>
      </c>
      <c r="D1568" s="286" t="s">
        <v>12</v>
      </c>
      <c r="E1568" s="946" t="s">
        <v>588</v>
      </c>
      <c r="F1568" s="336"/>
      <c r="G1568" s="196"/>
      <c r="H1568" s="196"/>
      <c r="I1568" s="196"/>
      <c r="J1568" s="114"/>
      <c r="BB1568" s="117"/>
      <c r="BC1568" s="117"/>
      <c r="BD1568" s="117"/>
    </row>
    <row r="1569" spans="1:56" ht="15">
      <c r="A1569" s="114"/>
      <c r="B1569" s="693"/>
      <c r="C1569" s="196"/>
      <c r="D1569" s="196"/>
      <c r="E1569" s="196"/>
      <c r="F1569" s="284"/>
      <c r="G1569" s="196"/>
      <c r="H1569" s="196"/>
      <c r="I1569" s="196"/>
      <c r="J1569" s="114"/>
      <c r="BB1569" s="117"/>
      <c r="BC1569" s="117"/>
      <c r="BD1569" s="117"/>
    </row>
    <row r="1570" spans="1:56" ht="15">
      <c r="A1570" s="114"/>
      <c r="B1570" s="691" t="s">
        <v>2225</v>
      </c>
      <c r="C1570" s="196"/>
      <c r="D1570" s="196"/>
      <c r="E1570" s="196"/>
      <c r="F1570" s="284"/>
      <c r="G1570" s="196"/>
      <c r="H1570" s="196"/>
      <c r="I1570" s="196"/>
      <c r="J1570" s="114"/>
      <c r="BB1570" s="117"/>
      <c r="BC1570" s="117"/>
      <c r="BD1570" s="117"/>
    </row>
    <row r="1571" spans="1:56" ht="15">
      <c r="A1571" s="114"/>
      <c r="B1571" s="692" t="s">
        <v>590</v>
      </c>
      <c r="C1571" s="280">
        <v>168</v>
      </c>
      <c r="D1571" s="286" t="s">
        <v>12</v>
      </c>
      <c r="E1571" s="1199" t="s">
        <v>591</v>
      </c>
      <c r="F1571" s="1200"/>
      <c r="G1571" s="196"/>
      <c r="H1571" s="196"/>
      <c r="I1571" s="196"/>
      <c r="J1571" s="114"/>
      <c r="BB1571" s="117"/>
      <c r="BC1571" s="117"/>
      <c r="BD1571" s="117"/>
    </row>
    <row r="1572" spans="1:56" ht="15">
      <c r="A1572" s="114"/>
      <c r="B1572" s="692" t="s">
        <v>592</v>
      </c>
      <c r="C1572" s="712">
        <v>82</v>
      </c>
      <c r="D1572" s="286" t="s">
        <v>12</v>
      </c>
      <c r="E1572" s="1216"/>
      <c r="F1572" s="1217"/>
      <c r="G1572" s="196"/>
      <c r="H1572" s="196"/>
      <c r="I1572" s="196"/>
      <c r="J1572" s="114"/>
      <c r="BB1572" s="117"/>
      <c r="BC1572" s="117"/>
      <c r="BD1572" s="117"/>
    </row>
    <row r="1573" spans="1:56" ht="15">
      <c r="A1573" s="114"/>
      <c r="B1573" s="692" t="s">
        <v>403</v>
      </c>
      <c r="C1573" s="712">
        <v>10</v>
      </c>
      <c r="D1573" s="286" t="s">
        <v>12</v>
      </c>
      <c r="E1573" s="1216"/>
      <c r="F1573" s="1217"/>
      <c r="G1573" s="196"/>
      <c r="H1573" s="196"/>
      <c r="I1573" s="196"/>
      <c r="J1573" s="114"/>
      <c r="BB1573" s="117"/>
      <c r="BC1573" s="117"/>
      <c r="BD1573" s="117"/>
    </row>
    <row r="1574" spans="1:56" ht="15">
      <c r="A1574" s="114"/>
      <c r="B1574" s="692" t="s">
        <v>2226</v>
      </c>
      <c r="C1574" s="712">
        <v>250</v>
      </c>
      <c r="D1574" s="286" t="s">
        <v>12</v>
      </c>
      <c r="E1574" s="1201"/>
      <c r="F1574" s="1202"/>
      <c r="G1574" s="196"/>
      <c r="H1574" s="196"/>
      <c r="I1574" s="196"/>
      <c r="J1574" s="114"/>
      <c r="BB1574" s="117"/>
      <c r="BC1574" s="117"/>
      <c r="BD1574" s="117"/>
    </row>
    <row r="1575" spans="1:56" ht="15">
      <c r="A1575" s="114"/>
      <c r="B1575" s="694"/>
      <c r="C1575" s="211"/>
      <c r="D1575" s="196"/>
      <c r="E1575" s="288"/>
      <c r="F1575" s="284"/>
      <c r="G1575" s="196"/>
      <c r="H1575" s="196"/>
      <c r="I1575" s="196"/>
      <c r="J1575" s="114"/>
      <c r="BB1575" s="117"/>
      <c r="BC1575" s="117"/>
      <c r="BD1575" s="117"/>
    </row>
    <row r="1576" spans="1:56" ht="15">
      <c r="A1576" s="114"/>
      <c r="B1576" s="691" t="s">
        <v>351</v>
      </c>
      <c r="C1576" s="211"/>
      <c r="D1576" s="196"/>
      <c r="E1576" s="288"/>
      <c r="F1576" s="284"/>
      <c r="G1576" s="196"/>
      <c r="H1576" s="196"/>
      <c r="I1576" s="196"/>
      <c r="J1576" s="114"/>
      <c r="BB1576" s="117"/>
      <c r="BC1576" s="117"/>
      <c r="BD1576" s="117"/>
    </row>
    <row r="1577" spans="1:56">
      <c r="A1577" s="114"/>
      <c r="B1577" s="692" t="s">
        <v>352</v>
      </c>
      <c r="C1577" s="203"/>
      <c r="D1577" s="203"/>
      <c r="E1577" s="302">
        <f>C1559+C1562+C1565+C1568+C1573+C1574</f>
        <v>61192</v>
      </c>
      <c r="F1577" s="216" t="s">
        <v>12</v>
      </c>
      <c r="G1577" s="115"/>
      <c r="H1577" s="236"/>
      <c r="I1577" s="3"/>
      <c r="J1577" s="114"/>
      <c r="BB1577" s="117"/>
      <c r="BC1577" s="117"/>
      <c r="BD1577" s="117"/>
    </row>
    <row r="1578" spans="1:56" ht="16.5" thickBot="1">
      <c r="A1578" s="114"/>
      <c r="B1578" s="784" t="s">
        <v>353</v>
      </c>
      <c r="C1578" s="220"/>
      <c r="D1578" s="221"/>
      <c r="E1578" s="335">
        <f>C1571+C1572</f>
        <v>250</v>
      </c>
      <c r="F1578" s="222" t="s">
        <v>12</v>
      </c>
      <c r="G1578" s="115"/>
      <c r="H1578" s="236"/>
      <c r="I1578" s="3"/>
      <c r="J1578" s="114"/>
      <c r="BB1578" s="117"/>
      <c r="BC1578" s="117"/>
      <c r="BD1578" s="117"/>
    </row>
    <row r="1579" spans="1:56">
      <c r="A1579" s="114"/>
      <c r="B1579" s="115"/>
      <c r="C1579" s="115"/>
      <c r="D1579" s="115"/>
      <c r="E1579" s="115"/>
      <c r="F1579" s="115"/>
      <c r="G1579" s="115"/>
      <c r="H1579" s="115"/>
      <c r="I1579" s="115"/>
      <c r="J1579" s="114"/>
      <c r="BB1579" s="117"/>
      <c r="BC1579" s="117"/>
      <c r="BD1579" s="117"/>
    </row>
    <row r="1580" spans="1:56" ht="15">
      <c r="A1580" s="114"/>
      <c r="B1580" s="382" t="s">
        <v>2323</v>
      </c>
      <c r="C1580" s="382"/>
      <c r="D1580" s="382"/>
      <c r="E1580" s="382"/>
      <c r="F1580" s="382"/>
      <c r="G1580" s="382"/>
      <c r="H1580" s="383"/>
      <c r="I1580" s="383"/>
      <c r="J1580" s="351"/>
      <c r="BB1580" s="117"/>
      <c r="BC1580" s="117"/>
      <c r="BD1580" s="117"/>
    </row>
    <row r="1581" spans="1:56" ht="15">
      <c r="A1581" s="114"/>
      <c r="B1581" s="296"/>
      <c r="C1581" s="387"/>
      <c r="D1581" s="387"/>
      <c r="E1581" s="387"/>
      <c r="F1581" s="387"/>
      <c r="G1581" s="387"/>
      <c r="H1581" s="386"/>
      <c r="I1581" s="386"/>
      <c r="J1581" s="114"/>
      <c r="BB1581" s="117"/>
      <c r="BC1581" s="117"/>
      <c r="BD1581" s="117"/>
    </row>
    <row r="1582" spans="1:56" ht="15">
      <c r="A1582" s="114"/>
      <c r="B1582" s="293"/>
      <c r="C1582" s="387"/>
      <c r="D1582" s="387"/>
      <c r="E1582" s="387"/>
      <c r="F1582" s="387"/>
      <c r="G1582" s="387"/>
      <c r="H1582" s="386"/>
      <c r="I1582" s="386"/>
      <c r="J1582" s="114"/>
      <c r="BB1582" s="117"/>
      <c r="BC1582" s="117"/>
      <c r="BD1582" s="117"/>
    </row>
    <row r="1583" spans="1:56" ht="15">
      <c r="A1583" s="114"/>
      <c r="B1583" s="750" t="s">
        <v>97</v>
      </c>
      <c r="C1583" s="751" t="s">
        <v>61</v>
      </c>
      <c r="D1583" s="751" t="s">
        <v>82</v>
      </c>
      <c r="E1583" s="751" t="s">
        <v>66</v>
      </c>
      <c r="F1583" s="751" t="s">
        <v>62</v>
      </c>
      <c r="G1583" s="802" t="s">
        <v>99</v>
      </c>
      <c r="H1583" s="802" t="s">
        <v>68</v>
      </c>
      <c r="I1583" s="386"/>
      <c r="J1583" s="114"/>
      <c r="BB1583" s="117"/>
      <c r="BC1583" s="117"/>
      <c r="BD1583" s="117"/>
    </row>
    <row r="1584" spans="1:56" ht="15">
      <c r="A1584" s="114"/>
      <c r="B1584" s="753" t="s">
        <v>157</v>
      </c>
      <c r="C1584" s="754">
        <v>1</v>
      </c>
      <c r="D1584" s="755">
        <v>0.2</v>
      </c>
      <c r="E1584" s="756">
        <v>0.45</v>
      </c>
      <c r="F1584" s="756">
        <v>4.0999999999999996</v>
      </c>
      <c r="G1584" s="828">
        <f>D1584*E1584*F1584*C1584</f>
        <v>0.36899999999999999</v>
      </c>
      <c r="H1584" s="828">
        <f>((E1584*2)+D1584)*F1584*C1584</f>
        <v>4.51</v>
      </c>
      <c r="I1584" s="386"/>
      <c r="J1584" s="114"/>
      <c r="BB1584" s="117"/>
      <c r="BC1584" s="117"/>
      <c r="BD1584" s="117"/>
    </row>
    <row r="1585" spans="1:56" ht="15">
      <c r="A1585" s="114"/>
      <c r="B1585" s="753" t="s">
        <v>119</v>
      </c>
      <c r="C1585" s="754">
        <v>1</v>
      </c>
      <c r="D1585" s="755">
        <v>0.2</v>
      </c>
      <c r="E1585" s="756">
        <v>0.45</v>
      </c>
      <c r="F1585" s="756">
        <v>4.0999999999999996</v>
      </c>
      <c r="G1585" s="828">
        <f>D1585*E1585*F1585*C1585</f>
        <v>0.36899999999999999</v>
      </c>
      <c r="H1585" s="828">
        <f>((E1585*2)+D1585)*F1585*C1585</f>
        <v>4.51</v>
      </c>
      <c r="I1585" s="386"/>
      <c r="J1585" s="114"/>
      <c r="BB1585" s="117"/>
      <c r="BC1585" s="117"/>
      <c r="BD1585" s="117"/>
    </row>
    <row r="1586" spans="1:56" ht="15">
      <c r="A1586" s="114"/>
      <c r="B1586" s="753" t="s">
        <v>158</v>
      </c>
      <c r="C1586" s="754">
        <v>1</v>
      </c>
      <c r="D1586" s="755">
        <v>0.2</v>
      </c>
      <c r="E1586" s="756">
        <v>0.45</v>
      </c>
      <c r="F1586" s="756">
        <v>3.6</v>
      </c>
      <c r="G1586" s="828">
        <f>D1586*E1586*F1586*C1586</f>
        <v>0.32400000000000007</v>
      </c>
      <c r="H1586" s="828">
        <f>((E1586*2)+D1586)*F1586*C1586</f>
        <v>3.9600000000000004</v>
      </c>
      <c r="I1586" s="386"/>
      <c r="J1586" s="114"/>
      <c r="BB1586" s="117"/>
      <c r="BC1586" s="117"/>
      <c r="BD1586" s="117"/>
    </row>
    <row r="1587" spans="1:56" ht="15">
      <c r="A1587" s="114"/>
      <c r="B1587" s="753" t="s">
        <v>153</v>
      </c>
      <c r="C1587" s="754">
        <v>1</v>
      </c>
      <c r="D1587" s="755">
        <v>0.2</v>
      </c>
      <c r="E1587" s="756">
        <v>0.45</v>
      </c>
      <c r="F1587" s="756">
        <v>3.6</v>
      </c>
      <c r="G1587" s="828">
        <f>D1587*E1587*F1587*C1587</f>
        <v>0.32400000000000007</v>
      </c>
      <c r="H1587" s="828">
        <f>((E1587*2)+D1587)*F1587*C1587</f>
        <v>3.9600000000000004</v>
      </c>
      <c r="I1587" s="386"/>
      <c r="J1587" s="114"/>
      <c r="BB1587" s="117"/>
      <c r="BC1587" s="117"/>
      <c r="BD1587" s="117"/>
    </row>
    <row r="1588" spans="1:56" ht="15">
      <c r="A1588" s="114"/>
      <c r="B1588" s="114"/>
      <c r="C1588" s="114"/>
      <c r="D1588" s="114"/>
      <c r="E1588" s="114"/>
      <c r="F1588" s="748" t="s">
        <v>76</v>
      </c>
      <c r="G1588" s="228">
        <f>SUM(G1584:G1587)</f>
        <v>1.3860000000000001</v>
      </c>
      <c r="H1588" s="228">
        <f>SUM(H1584:H1587)</f>
        <v>16.940000000000001</v>
      </c>
      <c r="I1588" s="386"/>
      <c r="J1588" s="114"/>
      <c r="BB1588" s="117"/>
      <c r="BC1588" s="117"/>
      <c r="BD1588" s="117"/>
    </row>
    <row r="1589" spans="1:56" ht="15">
      <c r="A1589" s="114"/>
      <c r="B1589" s="114"/>
      <c r="C1589" s="114"/>
      <c r="D1589" s="114"/>
      <c r="E1589" s="114"/>
      <c r="F1589" s="114"/>
      <c r="G1589" s="114"/>
      <c r="H1589" s="114"/>
      <c r="I1589" s="386"/>
      <c r="J1589" s="114"/>
      <c r="BB1589" s="117"/>
      <c r="BC1589" s="117"/>
      <c r="BD1589" s="117"/>
    </row>
    <row r="1590" spans="1:56" ht="15">
      <c r="A1590" s="114"/>
      <c r="B1590" s="750" t="s">
        <v>96</v>
      </c>
      <c r="C1590" s="751" t="s">
        <v>61</v>
      </c>
      <c r="D1590" s="751" t="s">
        <v>82</v>
      </c>
      <c r="E1590" s="751" t="s">
        <v>66</v>
      </c>
      <c r="F1590" s="751" t="s">
        <v>62</v>
      </c>
      <c r="G1590" s="802" t="s">
        <v>99</v>
      </c>
      <c r="H1590" s="802" t="s">
        <v>68</v>
      </c>
      <c r="I1590" s="386"/>
      <c r="J1590" s="114"/>
      <c r="BB1590" s="117"/>
      <c r="BC1590" s="117"/>
      <c r="BD1590" s="117"/>
    </row>
    <row r="1591" spans="1:56" ht="15">
      <c r="A1591" s="114"/>
      <c r="B1591" s="753" t="s">
        <v>506</v>
      </c>
      <c r="C1591" s="754">
        <v>1</v>
      </c>
      <c r="D1591" s="755">
        <v>0.2</v>
      </c>
      <c r="E1591" s="756">
        <v>0.2</v>
      </c>
      <c r="F1591" s="756">
        <v>3.4</v>
      </c>
      <c r="G1591" s="828">
        <f t="shared" ref="G1591:G1594" si="46">D1591*E1591*F1591*C1591</f>
        <v>0.13600000000000001</v>
      </c>
      <c r="H1591" s="828">
        <f t="shared" ref="H1591:H1594" si="47">(D1591+E1591)*2*F1591*C1591</f>
        <v>2.72</v>
      </c>
      <c r="I1591" s="386"/>
      <c r="J1591" s="114"/>
      <c r="BB1591" s="117"/>
      <c r="BC1591" s="117"/>
      <c r="BD1591" s="117"/>
    </row>
    <row r="1592" spans="1:56" ht="15">
      <c r="A1592" s="114"/>
      <c r="B1592" s="753" t="s">
        <v>507</v>
      </c>
      <c r="C1592" s="754">
        <v>1</v>
      </c>
      <c r="D1592" s="755">
        <v>0.2</v>
      </c>
      <c r="E1592" s="756">
        <v>0.2</v>
      </c>
      <c r="F1592" s="756">
        <v>3.4</v>
      </c>
      <c r="G1592" s="828">
        <f t="shared" si="46"/>
        <v>0.13600000000000001</v>
      </c>
      <c r="H1592" s="828">
        <f t="shared" si="47"/>
        <v>2.72</v>
      </c>
      <c r="I1592" s="386"/>
      <c r="J1592" s="114"/>
      <c r="BB1592" s="117"/>
      <c r="BC1592" s="117"/>
      <c r="BD1592" s="117"/>
    </row>
    <row r="1593" spans="1:56" ht="15">
      <c r="A1593" s="114"/>
      <c r="B1593" s="753" t="s">
        <v>508</v>
      </c>
      <c r="C1593" s="754">
        <v>1</v>
      </c>
      <c r="D1593" s="755">
        <v>0.2</v>
      </c>
      <c r="E1593" s="756">
        <v>0.2</v>
      </c>
      <c r="F1593" s="756">
        <v>3.4</v>
      </c>
      <c r="G1593" s="828">
        <f t="shared" si="46"/>
        <v>0.13600000000000001</v>
      </c>
      <c r="H1593" s="828">
        <f t="shared" si="47"/>
        <v>2.72</v>
      </c>
      <c r="I1593" s="386"/>
      <c r="J1593" s="114"/>
      <c r="BB1593" s="117"/>
      <c r="BC1593" s="117"/>
      <c r="BD1593" s="117"/>
    </row>
    <row r="1594" spans="1:56" ht="15">
      <c r="A1594" s="114"/>
      <c r="B1594" s="753" t="s">
        <v>509</v>
      </c>
      <c r="C1594" s="754">
        <v>1</v>
      </c>
      <c r="D1594" s="755">
        <v>0.2</v>
      </c>
      <c r="E1594" s="756">
        <v>0.2</v>
      </c>
      <c r="F1594" s="756">
        <v>3.4</v>
      </c>
      <c r="G1594" s="828">
        <f t="shared" si="46"/>
        <v>0.13600000000000001</v>
      </c>
      <c r="H1594" s="828">
        <f t="shared" si="47"/>
        <v>2.72</v>
      </c>
      <c r="I1594" s="386"/>
      <c r="J1594" s="114"/>
      <c r="BB1594" s="117"/>
      <c r="BC1594" s="117"/>
      <c r="BD1594" s="117"/>
    </row>
    <row r="1595" spans="1:56" ht="15">
      <c r="A1595" s="114"/>
      <c r="B1595" s="114"/>
      <c r="C1595" s="114"/>
      <c r="D1595" s="114"/>
      <c r="E1595" s="114"/>
      <c r="F1595" s="758" t="s">
        <v>76</v>
      </c>
      <c r="G1595" s="228">
        <f>SUM(G1591:G1594)</f>
        <v>0.54400000000000004</v>
      </c>
      <c r="H1595" s="228">
        <f>SUM(H1591:H1594)</f>
        <v>10.88</v>
      </c>
      <c r="I1595" s="386"/>
      <c r="J1595" s="114"/>
      <c r="BB1595" s="117"/>
      <c r="BC1595" s="117"/>
      <c r="BD1595" s="117"/>
    </row>
    <row r="1596" spans="1:56">
      <c r="A1596" s="114"/>
      <c r="B1596" s="264"/>
      <c r="C1596" s="115"/>
      <c r="D1596" s="115"/>
      <c r="E1596" s="115"/>
      <c r="F1596" s="748"/>
      <c r="G1596" s="257"/>
      <c r="H1596" s="257"/>
      <c r="I1596" s="386"/>
      <c r="J1596" s="114"/>
      <c r="BB1596" s="117"/>
      <c r="BC1596" s="117"/>
      <c r="BD1596" s="117"/>
    </row>
    <row r="1597" spans="1:56" ht="15">
      <c r="A1597" s="114"/>
      <c r="B1597" s="833" t="s">
        <v>116</v>
      </c>
      <c r="C1597" s="834" t="s">
        <v>61</v>
      </c>
      <c r="D1597" s="751" t="s">
        <v>395</v>
      </c>
      <c r="E1597" s="751" t="s">
        <v>396</v>
      </c>
      <c r="F1597" s="834" t="s">
        <v>48</v>
      </c>
      <c r="G1597" s="802" t="s">
        <v>95</v>
      </c>
      <c r="H1597" s="802" t="s">
        <v>68</v>
      </c>
      <c r="I1597" s="386"/>
      <c r="J1597" s="114"/>
      <c r="BB1597" s="117"/>
      <c r="BC1597" s="117"/>
      <c r="BD1597" s="117"/>
    </row>
    <row r="1598" spans="1:56" ht="15">
      <c r="A1598" s="114"/>
      <c r="B1598" s="307" t="s">
        <v>89</v>
      </c>
      <c r="C1598" s="835">
        <v>1</v>
      </c>
      <c r="D1598" s="194">
        <f>4.1*3.6</f>
        <v>14.76</v>
      </c>
      <c r="E1598" s="181">
        <v>0.12</v>
      </c>
      <c r="F1598" s="308"/>
      <c r="G1598" s="273">
        <f>C1598*D1598*E1598</f>
        <v>1.7711999999999999</v>
      </c>
      <c r="H1598" s="274">
        <f>D1598</f>
        <v>14.76</v>
      </c>
      <c r="I1598" s="386"/>
      <c r="J1598" s="114"/>
      <c r="BB1598" s="117"/>
      <c r="BC1598" s="117"/>
      <c r="BD1598" s="117"/>
    </row>
    <row r="1599" spans="1:56">
      <c r="A1599" s="114"/>
      <c r="B1599" s="264"/>
      <c r="C1599" s="115"/>
      <c r="D1599" s="115"/>
      <c r="E1599" s="115"/>
      <c r="F1599" s="836" t="s">
        <v>76</v>
      </c>
      <c r="G1599" s="261">
        <f>SUM(G1598:G1598)</f>
        <v>1.7711999999999999</v>
      </c>
      <c r="H1599" s="261">
        <f>SUM(H1598:H1598)</f>
        <v>14.76</v>
      </c>
      <c r="I1599" s="386"/>
      <c r="J1599" s="114"/>
      <c r="BB1599" s="117"/>
      <c r="BC1599" s="117"/>
      <c r="BD1599" s="117"/>
    </row>
    <row r="1600" spans="1:56" ht="16.5" thickBot="1">
      <c r="A1600" s="114"/>
      <c r="B1600" s="115"/>
      <c r="C1600" s="115"/>
      <c r="D1600" s="115"/>
      <c r="E1600" s="115"/>
      <c r="F1600" s="115"/>
      <c r="G1600" s="115"/>
      <c r="H1600" s="115"/>
      <c r="I1600" s="386"/>
      <c r="J1600" s="114"/>
      <c r="BB1600" s="117"/>
      <c r="BC1600" s="117"/>
      <c r="BD1600" s="117"/>
    </row>
    <row r="1601" spans="1:56">
      <c r="A1601" s="114"/>
      <c r="B1601" s="1286" t="s">
        <v>98</v>
      </c>
      <c r="C1601" s="1286"/>
      <c r="D1601" s="1286"/>
      <c r="E1601" s="1286"/>
      <c r="F1601" s="1287"/>
      <c r="G1601" s="115"/>
      <c r="H1601" s="115"/>
      <c r="I1601" s="386"/>
      <c r="J1601" s="114"/>
      <c r="BB1601" s="117"/>
      <c r="BC1601" s="117"/>
      <c r="BD1601" s="117"/>
    </row>
    <row r="1602" spans="1:56">
      <c r="A1602" s="114"/>
      <c r="B1602" s="545"/>
      <c r="C1602" s="115"/>
      <c r="D1602" s="115"/>
      <c r="E1602" s="115"/>
      <c r="F1602" s="182"/>
      <c r="G1602" s="115"/>
      <c r="H1602" s="115"/>
      <c r="I1602" s="386"/>
      <c r="J1602" s="114"/>
      <c r="BB1602" s="117"/>
      <c r="BC1602" s="117"/>
      <c r="BD1602" s="117"/>
    </row>
    <row r="1603" spans="1:56">
      <c r="A1603" s="114"/>
      <c r="B1603" s="841" t="s">
        <v>315</v>
      </c>
      <c r="C1603" s="812"/>
      <c r="D1603" s="813"/>
      <c r="E1603" s="814">
        <f>H1588+H1595+H1599</f>
        <v>42.58</v>
      </c>
      <c r="F1603" s="815" t="s">
        <v>13</v>
      </c>
      <c r="G1603" s="115"/>
      <c r="H1603" s="115"/>
      <c r="I1603" s="386"/>
      <c r="J1603" s="114"/>
      <c r="BB1603" s="117"/>
      <c r="BC1603" s="117"/>
      <c r="BD1603" s="117"/>
    </row>
    <row r="1604" spans="1:56">
      <c r="A1604" s="114"/>
      <c r="B1604" s="635" t="s">
        <v>2363</v>
      </c>
      <c r="C1604" s="203"/>
      <c r="D1604" s="204"/>
      <c r="E1604" s="280">
        <v>8397</v>
      </c>
      <c r="F1604" s="216" t="s">
        <v>100</v>
      </c>
      <c r="G1604" s="115"/>
      <c r="H1604" s="115"/>
      <c r="I1604" s="386"/>
      <c r="J1604" s="114"/>
      <c r="BB1604" s="117"/>
      <c r="BC1604" s="117"/>
      <c r="BD1604" s="117"/>
    </row>
    <row r="1605" spans="1:56" ht="16.5" thickBot="1">
      <c r="A1605" s="114"/>
      <c r="B1605" s="844" t="s">
        <v>316</v>
      </c>
      <c r="C1605" s="817"/>
      <c r="D1605" s="818"/>
      <c r="E1605" s="847">
        <f>G1588+G1595+G1598</f>
        <v>3.7012</v>
      </c>
      <c r="F1605" s="820" t="s">
        <v>100</v>
      </c>
      <c r="G1605" s="115"/>
      <c r="H1605" s="115"/>
      <c r="I1605" s="386"/>
      <c r="J1605" s="114"/>
      <c r="BB1605" s="117"/>
      <c r="BC1605" s="117"/>
      <c r="BD1605" s="117"/>
    </row>
    <row r="1606" spans="1:56">
      <c r="A1606" s="114"/>
      <c r="B1606" s="115"/>
      <c r="C1606" s="115"/>
      <c r="D1606" s="115"/>
      <c r="E1606" s="115"/>
      <c r="F1606" s="115"/>
      <c r="G1606" s="115"/>
      <c r="H1606" s="115"/>
      <c r="I1606" s="115"/>
      <c r="J1606" s="114"/>
      <c r="BB1606" s="117"/>
      <c r="BC1606" s="117"/>
      <c r="BD1606" s="117"/>
    </row>
    <row r="1607" spans="1:56" ht="16.5" thickBot="1">
      <c r="A1607" s="114"/>
      <c r="B1607" s="115"/>
      <c r="C1607" s="115"/>
      <c r="D1607" s="115"/>
      <c r="E1607" s="115"/>
      <c r="F1607" s="115"/>
      <c r="G1607" s="115"/>
      <c r="H1607" s="115"/>
      <c r="I1607" s="115"/>
      <c r="J1607" s="114"/>
      <c r="BB1607" s="117"/>
      <c r="BC1607" s="117"/>
      <c r="BD1607" s="117"/>
    </row>
    <row r="1608" spans="1:56">
      <c r="A1608" s="114"/>
      <c r="B1608" s="1286" t="s">
        <v>320</v>
      </c>
      <c r="C1608" s="1286"/>
      <c r="D1608" s="1286"/>
      <c r="E1608" s="1286"/>
      <c r="F1608" s="1287"/>
      <c r="G1608" s="115"/>
      <c r="H1608" s="115"/>
      <c r="I1608" s="386"/>
      <c r="J1608" s="114"/>
      <c r="BB1608" s="117"/>
      <c r="BC1608" s="117"/>
      <c r="BD1608" s="117"/>
    </row>
    <row r="1609" spans="1:56">
      <c r="A1609" s="114"/>
      <c r="B1609" s="115"/>
      <c r="C1609" s="115"/>
      <c r="D1609" s="115"/>
      <c r="E1609" s="115"/>
      <c r="F1609" s="182"/>
      <c r="G1609" s="115"/>
      <c r="H1609" s="115"/>
      <c r="I1609" s="386"/>
      <c r="J1609" s="114"/>
      <c r="BB1609" s="117"/>
      <c r="BC1609" s="117"/>
      <c r="BD1609" s="117"/>
    </row>
    <row r="1610" spans="1:56" ht="15">
      <c r="A1610" s="114"/>
      <c r="B1610" s="303" t="s">
        <v>512</v>
      </c>
      <c r="C1610" s="196"/>
      <c r="D1610" s="196"/>
      <c r="E1610" s="196"/>
      <c r="F1610" s="284"/>
      <c r="G1610" s="196"/>
      <c r="H1610" s="196"/>
      <c r="I1610" s="196"/>
      <c r="J1610" s="114"/>
      <c r="BB1610" s="117"/>
      <c r="BC1610" s="117"/>
      <c r="BD1610" s="117"/>
    </row>
    <row r="1611" spans="1:56" ht="15">
      <c r="A1611" s="114"/>
      <c r="B1611" s="845" t="s">
        <v>353</v>
      </c>
      <c r="C1611" s="280">
        <v>16</v>
      </c>
      <c r="D1611" s="286" t="s">
        <v>12</v>
      </c>
      <c r="E1611" s="1315" t="s">
        <v>2325</v>
      </c>
      <c r="F1611" s="1316"/>
      <c r="G1611" s="196"/>
      <c r="H1611" s="196"/>
      <c r="I1611" s="196"/>
      <c r="J1611" s="114"/>
      <c r="BB1611" s="117"/>
      <c r="BC1611" s="117"/>
      <c r="BD1611" s="117"/>
    </row>
    <row r="1612" spans="1:56" ht="15">
      <c r="A1612" s="114"/>
      <c r="B1612" s="845" t="s">
        <v>352</v>
      </c>
      <c r="C1612" s="280">
        <v>400</v>
      </c>
      <c r="D1612" s="286" t="s">
        <v>12</v>
      </c>
      <c r="E1612" s="1317"/>
      <c r="F1612" s="1318"/>
      <c r="G1612" s="196"/>
      <c r="H1612" s="196"/>
      <c r="I1612" s="196"/>
      <c r="J1612" s="114"/>
      <c r="BB1612" s="117"/>
      <c r="BC1612" s="117"/>
      <c r="BD1612" s="117"/>
    </row>
    <row r="1613" spans="1:56" ht="15">
      <c r="A1613" s="114"/>
      <c r="B1613" s="288"/>
      <c r="C1613" s="211"/>
      <c r="D1613" s="196"/>
      <c r="E1613" s="288"/>
      <c r="F1613" s="284"/>
      <c r="G1613" s="196"/>
      <c r="H1613" s="196"/>
      <c r="I1613" s="196"/>
      <c r="J1613" s="114"/>
      <c r="BB1613" s="117"/>
      <c r="BC1613" s="117"/>
      <c r="BD1613" s="117"/>
    </row>
    <row r="1614" spans="1:56" ht="15">
      <c r="A1614" s="114"/>
      <c r="B1614" s="303" t="s">
        <v>351</v>
      </c>
      <c r="C1614" s="211"/>
      <c r="D1614" s="196"/>
      <c r="E1614" s="288"/>
      <c r="F1614" s="284"/>
      <c r="G1614" s="196"/>
      <c r="H1614" s="196"/>
      <c r="I1614" s="196"/>
      <c r="J1614" s="114"/>
      <c r="BB1614" s="117"/>
      <c r="BC1614" s="117"/>
      <c r="BD1614" s="117"/>
    </row>
    <row r="1615" spans="1:56">
      <c r="A1615" s="114"/>
      <c r="B1615" s="845" t="s">
        <v>352</v>
      </c>
      <c r="C1615" s="812"/>
      <c r="D1615" s="813"/>
      <c r="E1615" s="843">
        <f>C1612</f>
        <v>400</v>
      </c>
      <c r="F1615" s="815" t="s">
        <v>12</v>
      </c>
      <c r="G1615" s="115"/>
      <c r="H1615" s="956"/>
      <c r="I1615" s="3"/>
      <c r="J1615" s="114"/>
      <c r="BB1615" s="117"/>
      <c r="BC1615" s="117"/>
      <c r="BD1615" s="117"/>
    </row>
    <row r="1616" spans="1:56" ht="16.5" thickBot="1">
      <c r="A1616" s="114"/>
      <c r="B1616" s="846" t="s">
        <v>353</v>
      </c>
      <c r="C1616" s="817"/>
      <c r="D1616" s="818"/>
      <c r="E1616" s="847">
        <f>C1611</f>
        <v>16</v>
      </c>
      <c r="F1616" s="820" t="s">
        <v>12</v>
      </c>
      <c r="G1616" s="115"/>
      <c r="H1616" s="956"/>
      <c r="I1616" s="3"/>
      <c r="J1616" s="114"/>
      <c r="BB1616" s="117"/>
      <c r="BC1616" s="117"/>
      <c r="BD1616" s="117"/>
    </row>
    <row r="1617" spans="1:56" customFormat="1" ht="13.5" thickBot="1"/>
    <row r="1618" spans="1:56" ht="24.75" thickTop="1" thickBot="1">
      <c r="A1618" s="114"/>
      <c r="B1618" s="782" t="s">
        <v>1090</v>
      </c>
      <c r="C1618" s="783"/>
      <c r="D1618" s="783"/>
      <c r="E1618" s="783"/>
      <c r="F1618" s="783"/>
      <c r="G1618" s="186"/>
      <c r="H1618" s="186"/>
      <c r="I1618" s="186"/>
      <c r="J1618" s="186"/>
    </row>
    <row r="1619" spans="1:56" ht="16.5" thickTop="1">
      <c r="A1619" s="114"/>
      <c r="B1619" s="115"/>
      <c r="C1619" s="115"/>
      <c r="D1619" s="115"/>
      <c r="E1619" s="115"/>
      <c r="F1619" s="115"/>
      <c r="G1619" s="115"/>
      <c r="H1619" s="115"/>
      <c r="I1619" s="115"/>
      <c r="J1619" s="114"/>
      <c r="AW1619" s="117"/>
      <c r="AX1619" s="117"/>
      <c r="AY1619" s="117"/>
      <c r="AZ1619" s="117"/>
      <c r="BA1619" s="117"/>
      <c r="BB1619" s="117"/>
      <c r="BC1619" s="117"/>
      <c r="BD1619" s="117"/>
    </row>
    <row r="1620" spans="1:56" ht="15">
      <c r="A1620" s="114"/>
      <c r="B1620" s="239" t="s">
        <v>2299</v>
      </c>
      <c r="C1620" s="239"/>
      <c r="D1620" s="239"/>
      <c r="E1620" s="239"/>
      <c r="F1620" s="239"/>
      <c r="G1620" s="239"/>
      <c r="H1620" s="240"/>
      <c r="I1620" s="240"/>
      <c r="J1620" s="351"/>
      <c r="BB1620" s="117"/>
      <c r="BC1620" s="117"/>
      <c r="BD1620" s="117"/>
    </row>
    <row r="1621" spans="1:56" ht="15">
      <c r="A1621" s="114"/>
      <c r="B1621" s="288" t="s">
        <v>1787</v>
      </c>
      <c r="C1621" s="230"/>
      <c r="D1621" s="230"/>
      <c r="E1621" s="384"/>
      <c r="F1621" s="196"/>
      <c r="G1621" s="196"/>
      <c r="H1621" s="196"/>
      <c r="I1621" s="196"/>
      <c r="J1621" s="114"/>
      <c r="AW1621" s="117"/>
      <c r="AX1621" s="117"/>
      <c r="AY1621" s="117"/>
      <c r="AZ1621" s="117"/>
      <c r="BA1621" s="117"/>
      <c r="BB1621" s="117"/>
      <c r="BC1621" s="117"/>
      <c r="BD1621" s="117"/>
    </row>
    <row r="1622" spans="1:56">
      <c r="A1622" s="114"/>
      <c r="B1622" s="207"/>
      <c r="C1622" s="208"/>
      <c r="D1622" s="208"/>
      <c r="E1622" s="209"/>
      <c r="F1622" s="207"/>
      <c r="G1622" s="115"/>
      <c r="H1622" s="236"/>
      <c r="I1622" s="3"/>
      <c r="J1622" s="114"/>
      <c r="BB1622" s="117"/>
      <c r="BC1622" s="117"/>
      <c r="BD1622" s="117"/>
    </row>
    <row r="1623" spans="1:56" s="356" customFormat="1" ht="15">
      <c r="A1623" s="353"/>
      <c r="B1623" s="354" t="s">
        <v>1651</v>
      </c>
      <c r="C1623" s="354"/>
      <c r="D1623" s="354"/>
      <c r="E1623" s="354"/>
      <c r="F1623" s="354"/>
      <c r="G1623" s="354"/>
      <c r="H1623" s="355"/>
      <c r="I1623" s="355"/>
      <c r="J1623" s="353"/>
      <c r="K1623" s="353"/>
      <c r="L1623" s="353"/>
      <c r="M1623" s="353"/>
      <c r="N1623" s="353"/>
      <c r="O1623" s="353"/>
      <c r="P1623" s="353"/>
      <c r="Q1623" s="353"/>
      <c r="R1623" s="353"/>
      <c r="S1623" s="353"/>
      <c r="T1623" s="353"/>
      <c r="U1623" s="353"/>
      <c r="V1623" s="353"/>
      <c r="W1623" s="353"/>
      <c r="X1623" s="353"/>
      <c r="Y1623" s="353"/>
      <c r="Z1623" s="353"/>
      <c r="AA1623" s="353"/>
      <c r="AB1623" s="353"/>
      <c r="AC1623" s="353"/>
      <c r="AD1623" s="353"/>
      <c r="AE1623" s="353"/>
      <c r="AF1623" s="353"/>
      <c r="AG1623" s="353"/>
      <c r="AH1623" s="353"/>
      <c r="AI1623" s="353"/>
      <c r="AJ1623" s="353"/>
      <c r="AK1623" s="353"/>
      <c r="AL1623" s="353"/>
      <c r="AM1623" s="353"/>
      <c r="AN1623" s="353"/>
      <c r="AO1623" s="353"/>
      <c r="AP1623" s="353"/>
      <c r="AQ1623" s="353"/>
      <c r="AR1623" s="353"/>
      <c r="AS1623" s="353"/>
      <c r="AT1623" s="353"/>
      <c r="AU1623" s="353"/>
      <c r="AV1623" s="353"/>
      <c r="AW1623" s="353"/>
      <c r="AX1623" s="353"/>
      <c r="AY1623" s="353"/>
      <c r="AZ1623" s="353"/>
      <c r="BA1623" s="353"/>
    </row>
    <row r="1624" spans="1:56">
      <c r="A1624" s="114"/>
      <c r="B1624" s="207"/>
      <c r="C1624" s="208"/>
      <c r="D1624" s="208"/>
      <c r="E1624" s="209"/>
      <c r="F1624" s="207"/>
      <c r="G1624" s="115"/>
      <c r="H1624" s="236"/>
      <c r="I1624" s="3"/>
      <c r="J1624" s="114"/>
      <c r="BB1624" s="117"/>
      <c r="BC1624" s="117"/>
      <c r="BD1624" s="117"/>
    </row>
    <row r="1625" spans="1:56" ht="15" customHeight="1">
      <c r="A1625" s="114"/>
      <c r="B1625" s="622" t="s">
        <v>2311</v>
      </c>
      <c r="C1625" s="623"/>
      <c r="D1625" s="623"/>
      <c r="E1625" s="623"/>
      <c r="F1625" s="623"/>
      <c r="G1625" s="623"/>
      <c r="H1625" s="624"/>
      <c r="I1625" s="624"/>
      <c r="J1625" s="625"/>
      <c r="BB1625" s="117"/>
      <c r="BC1625" s="117"/>
      <c r="BD1625" s="117"/>
    </row>
    <row r="1626" spans="1:56" ht="15">
      <c r="A1626" s="114"/>
      <c r="B1626" s="293"/>
      <c r="C1626" s="81"/>
      <c r="D1626" s="81"/>
      <c r="E1626" s="81"/>
      <c r="F1626" s="349"/>
      <c r="G1626" s="81"/>
      <c r="H1626" s="82"/>
      <c r="I1626" s="82"/>
      <c r="J1626" s="114"/>
      <c r="BB1626" s="117"/>
      <c r="BC1626" s="117"/>
      <c r="BD1626" s="117"/>
    </row>
    <row r="1627" spans="1:56" ht="15">
      <c r="A1627" s="114"/>
      <c r="B1627" s="242" t="s">
        <v>97</v>
      </c>
      <c r="C1627" s="199" t="s">
        <v>61</v>
      </c>
      <c r="D1627" s="199" t="s">
        <v>82</v>
      </c>
      <c r="E1627" s="199" t="s">
        <v>66</v>
      </c>
      <c r="F1627" s="199" t="s">
        <v>62</v>
      </c>
      <c r="G1627" s="243" t="s">
        <v>99</v>
      </c>
      <c r="H1627" s="243" t="s">
        <v>68</v>
      </c>
      <c r="I1627" s="82"/>
      <c r="J1627" s="114"/>
      <c r="BB1627" s="117"/>
      <c r="BC1627" s="117"/>
      <c r="BD1627" s="117"/>
    </row>
    <row r="1628" spans="1:56" ht="15">
      <c r="A1628" s="114"/>
      <c r="B1628" s="244" t="s">
        <v>593</v>
      </c>
      <c r="C1628" s="200">
        <v>1</v>
      </c>
      <c r="D1628" s="245">
        <v>0.3</v>
      </c>
      <c r="E1628" s="201">
        <v>0.7</v>
      </c>
      <c r="F1628" s="201">
        <v>24.25</v>
      </c>
      <c r="G1628" s="202">
        <f t="shared" ref="G1628:G1702" si="48">D1628*E1628*F1628*C1628</f>
        <v>5.0925000000000002</v>
      </c>
      <c r="H1628" s="202">
        <f t="shared" ref="H1628:H1702" si="49">((E1628*2)+D1628)*F1628*C1628</f>
        <v>41.225000000000001</v>
      </c>
      <c r="I1628" s="82"/>
      <c r="J1628" s="114"/>
      <c r="BB1628" s="117"/>
      <c r="BC1628" s="117"/>
      <c r="BD1628" s="117"/>
    </row>
    <row r="1629" spans="1:56" ht="15">
      <c r="A1629" s="114"/>
      <c r="B1629" s="244" t="s">
        <v>594</v>
      </c>
      <c r="C1629" s="200">
        <v>1</v>
      </c>
      <c r="D1629" s="245">
        <v>0.3</v>
      </c>
      <c r="E1629" s="201">
        <v>0.7</v>
      </c>
      <c r="F1629" s="201">
        <v>36.75</v>
      </c>
      <c r="G1629" s="202">
        <f t="shared" si="48"/>
        <v>7.7174999999999994</v>
      </c>
      <c r="H1629" s="202">
        <f t="shared" si="49"/>
        <v>62.475000000000001</v>
      </c>
      <c r="I1629" s="82"/>
      <c r="J1629" s="114"/>
      <c r="BB1629" s="117"/>
      <c r="BC1629" s="117"/>
      <c r="BD1629" s="117"/>
    </row>
    <row r="1630" spans="1:56" ht="15">
      <c r="A1630" s="114"/>
      <c r="B1630" s="244" t="s">
        <v>595</v>
      </c>
      <c r="C1630" s="200">
        <v>1</v>
      </c>
      <c r="D1630" s="245">
        <v>0.3</v>
      </c>
      <c r="E1630" s="201">
        <v>0.7</v>
      </c>
      <c r="F1630" s="201">
        <v>36.5</v>
      </c>
      <c r="G1630" s="202">
        <f t="shared" si="48"/>
        <v>7.665</v>
      </c>
      <c r="H1630" s="202">
        <f t="shared" si="49"/>
        <v>62.05</v>
      </c>
      <c r="I1630" s="82"/>
      <c r="J1630" s="114"/>
      <c r="BB1630" s="117"/>
      <c r="BC1630" s="117"/>
      <c r="BD1630" s="117"/>
    </row>
    <row r="1631" spans="1:56" ht="15">
      <c r="A1631" s="114"/>
      <c r="B1631" s="244" t="s">
        <v>1432</v>
      </c>
      <c r="C1631" s="200">
        <v>1</v>
      </c>
      <c r="D1631" s="245">
        <v>1</v>
      </c>
      <c r="E1631" s="201">
        <v>2</v>
      </c>
      <c r="F1631" s="201">
        <v>4.125</v>
      </c>
      <c r="G1631" s="202">
        <f t="shared" si="48"/>
        <v>8.25</v>
      </c>
      <c r="H1631" s="202">
        <f t="shared" si="49"/>
        <v>20.625</v>
      </c>
      <c r="I1631" s="82"/>
      <c r="J1631" s="114"/>
      <c r="BB1631" s="117"/>
      <c r="BC1631" s="117"/>
      <c r="BD1631" s="117"/>
    </row>
    <row r="1632" spans="1:56" ht="15">
      <c r="A1632" s="114"/>
      <c r="B1632" s="244" t="s">
        <v>1430</v>
      </c>
      <c r="C1632" s="200">
        <v>1</v>
      </c>
      <c r="D1632" s="245">
        <v>0.88</v>
      </c>
      <c r="E1632" s="201">
        <v>2</v>
      </c>
      <c r="F1632" s="201">
        <v>1</v>
      </c>
      <c r="G1632" s="202">
        <f t="shared" si="48"/>
        <v>1.76</v>
      </c>
      <c r="H1632" s="202">
        <f t="shared" si="49"/>
        <v>4.88</v>
      </c>
      <c r="I1632" s="82"/>
      <c r="J1632" s="114"/>
      <c r="BB1632" s="117"/>
      <c r="BC1632" s="117"/>
      <c r="BD1632" s="117"/>
    </row>
    <row r="1633" spans="1:56" ht="15">
      <c r="A1633" s="114"/>
      <c r="B1633" s="244" t="s">
        <v>1431</v>
      </c>
      <c r="C1633" s="200">
        <v>1</v>
      </c>
      <c r="D1633" s="245">
        <v>0.75</v>
      </c>
      <c r="E1633" s="201">
        <v>2</v>
      </c>
      <c r="F1633" s="201">
        <v>20.56</v>
      </c>
      <c r="G1633" s="202">
        <f t="shared" si="48"/>
        <v>30.839999999999996</v>
      </c>
      <c r="H1633" s="202">
        <f t="shared" si="49"/>
        <v>97.66</v>
      </c>
      <c r="I1633" s="82"/>
      <c r="J1633" s="114"/>
      <c r="BB1633" s="117"/>
      <c r="BC1633" s="117"/>
      <c r="BD1633" s="117"/>
    </row>
    <row r="1634" spans="1:56" ht="15">
      <c r="A1634" s="114"/>
      <c r="B1634" s="244" t="s">
        <v>596</v>
      </c>
      <c r="C1634" s="200">
        <v>1</v>
      </c>
      <c r="D1634" s="245">
        <v>0.75</v>
      </c>
      <c r="E1634" s="201">
        <v>2</v>
      </c>
      <c r="F1634" s="201">
        <v>35.25</v>
      </c>
      <c r="G1634" s="202">
        <f t="shared" si="48"/>
        <v>52.875</v>
      </c>
      <c r="H1634" s="202">
        <f t="shared" si="49"/>
        <v>167.4375</v>
      </c>
      <c r="I1634" s="82"/>
      <c r="J1634" s="114"/>
      <c r="BB1634" s="117"/>
      <c r="BC1634" s="117"/>
      <c r="BD1634" s="117"/>
    </row>
    <row r="1635" spans="1:56" ht="15">
      <c r="A1635" s="114"/>
      <c r="B1635" s="244" t="s">
        <v>597</v>
      </c>
      <c r="C1635" s="200">
        <v>1</v>
      </c>
      <c r="D1635" s="245">
        <v>0.75</v>
      </c>
      <c r="E1635" s="201">
        <v>2</v>
      </c>
      <c r="F1635" s="201">
        <v>35.25</v>
      </c>
      <c r="G1635" s="202">
        <f t="shared" si="48"/>
        <v>52.875</v>
      </c>
      <c r="H1635" s="202">
        <f t="shared" si="49"/>
        <v>167.4375</v>
      </c>
      <c r="I1635" s="82"/>
      <c r="J1635" s="114"/>
      <c r="BB1635" s="117"/>
      <c r="BC1635" s="117"/>
      <c r="BD1635" s="117"/>
    </row>
    <row r="1636" spans="1:56" ht="15">
      <c r="A1636" s="114"/>
      <c r="B1636" s="244" t="s">
        <v>598</v>
      </c>
      <c r="C1636" s="200">
        <v>1</v>
      </c>
      <c r="D1636" s="245">
        <v>0.75</v>
      </c>
      <c r="E1636" s="201">
        <v>0.85</v>
      </c>
      <c r="F1636" s="201">
        <v>23.5</v>
      </c>
      <c r="G1636" s="202">
        <f t="shared" si="48"/>
        <v>14.981249999999999</v>
      </c>
      <c r="H1636" s="202">
        <f t="shared" si="49"/>
        <v>57.575000000000003</v>
      </c>
      <c r="I1636" s="82"/>
      <c r="J1636" s="114"/>
      <c r="BB1636" s="117"/>
      <c r="BC1636" s="117"/>
      <c r="BD1636" s="117"/>
    </row>
    <row r="1637" spans="1:56" ht="15">
      <c r="A1637" s="114"/>
      <c r="B1637" s="244" t="s">
        <v>599</v>
      </c>
      <c r="C1637" s="200">
        <v>1</v>
      </c>
      <c r="D1637" s="245">
        <v>0.75</v>
      </c>
      <c r="E1637" s="201">
        <v>0.85</v>
      </c>
      <c r="F1637" s="201">
        <v>35.25</v>
      </c>
      <c r="G1637" s="202">
        <f t="shared" si="48"/>
        <v>22.471874999999997</v>
      </c>
      <c r="H1637" s="202">
        <f t="shared" si="49"/>
        <v>86.362500000000011</v>
      </c>
      <c r="I1637" s="82"/>
      <c r="J1637" s="114"/>
      <c r="BB1637" s="117"/>
      <c r="BC1637" s="117"/>
      <c r="BD1637" s="117"/>
    </row>
    <row r="1638" spans="1:56" ht="15">
      <c r="A1638" s="114"/>
      <c r="B1638" s="244" t="s">
        <v>600</v>
      </c>
      <c r="C1638" s="200">
        <v>1</v>
      </c>
      <c r="D1638" s="245">
        <v>0.75</v>
      </c>
      <c r="E1638" s="201">
        <v>0.85</v>
      </c>
      <c r="F1638" s="201">
        <v>35.25</v>
      </c>
      <c r="G1638" s="202">
        <f t="shared" si="48"/>
        <v>22.471874999999997</v>
      </c>
      <c r="H1638" s="202">
        <f t="shared" si="49"/>
        <v>86.362500000000011</v>
      </c>
      <c r="I1638" s="82"/>
      <c r="J1638" s="114"/>
      <c r="BB1638" s="117"/>
      <c r="BC1638" s="117"/>
      <c r="BD1638" s="117"/>
    </row>
    <row r="1639" spans="1:56" ht="15">
      <c r="A1639" s="114"/>
      <c r="B1639" s="244" t="s">
        <v>601</v>
      </c>
      <c r="C1639" s="200">
        <v>1</v>
      </c>
      <c r="D1639" s="245">
        <v>0.75</v>
      </c>
      <c r="E1639" s="201">
        <v>0.85</v>
      </c>
      <c r="F1639" s="201">
        <v>23.5</v>
      </c>
      <c r="G1639" s="202">
        <f t="shared" si="48"/>
        <v>14.981249999999999</v>
      </c>
      <c r="H1639" s="202">
        <f t="shared" si="49"/>
        <v>57.575000000000003</v>
      </c>
      <c r="I1639" s="82"/>
      <c r="J1639" s="114"/>
      <c r="BB1639" s="117"/>
      <c r="BC1639" s="117"/>
      <c r="BD1639" s="117"/>
    </row>
    <row r="1640" spans="1:56" ht="15">
      <c r="A1640" s="114"/>
      <c r="B1640" s="244" t="s">
        <v>602</v>
      </c>
      <c r="C1640" s="200">
        <v>1</v>
      </c>
      <c r="D1640" s="245">
        <v>0.75</v>
      </c>
      <c r="E1640" s="201">
        <v>0.85</v>
      </c>
      <c r="F1640" s="201">
        <v>35.25</v>
      </c>
      <c r="G1640" s="202">
        <f t="shared" si="48"/>
        <v>22.471874999999997</v>
      </c>
      <c r="H1640" s="202">
        <f t="shared" si="49"/>
        <v>86.362500000000011</v>
      </c>
      <c r="I1640" s="82"/>
      <c r="J1640" s="114"/>
      <c r="BB1640" s="117"/>
      <c r="BC1640" s="117"/>
      <c r="BD1640" s="117"/>
    </row>
    <row r="1641" spans="1:56" ht="15">
      <c r="A1641" s="114"/>
      <c r="B1641" s="244" t="s">
        <v>603</v>
      </c>
      <c r="C1641" s="200">
        <v>1</v>
      </c>
      <c r="D1641" s="245">
        <v>0.75</v>
      </c>
      <c r="E1641" s="201">
        <v>0.85</v>
      </c>
      <c r="F1641" s="201">
        <v>35.25</v>
      </c>
      <c r="G1641" s="202">
        <f t="shared" si="48"/>
        <v>22.471874999999997</v>
      </c>
      <c r="H1641" s="202">
        <f t="shared" si="49"/>
        <v>86.362500000000011</v>
      </c>
      <c r="I1641" s="82"/>
      <c r="J1641" s="114"/>
      <c r="BB1641" s="117"/>
      <c r="BC1641" s="117"/>
      <c r="BD1641" s="117"/>
    </row>
    <row r="1642" spans="1:56" ht="15">
      <c r="A1642" s="114"/>
      <c r="B1642" s="244" t="s">
        <v>604</v>
      </c>
      <c r="C1642" s="200">
        <v>1</v>
      </c>
      <c r="D1642" s="245">
        <v>0.75</v>
      </c>
      <c r="E1642" s="201">
        <v>0.85</v>
      </c>
      <c r="F1642" s="201">
        <v>23.5</v>
      </c>
      <c r="G1642" s="202">
        <f t="shared" si="48"/>
        <v>14.981249999999999</v>
      </c>
      <c r="H1642" s="202">
        <f t="shared" si="49"/>
        <v>57.575000000000003</v>
      </c>
      <c r="I1642" s="82"/>
      <c r="J1642" s="114"/>
      <c r="BB1642" s="117"/>
      <c r="BC1642" s="117"/>
      <c r="BD1642" s="117"/>
    </row>
    <row r="1643" spans="1:56" ht="15">
      <c r="A1643" s="114"/>
      <c r="B1643" s="244" t="s">
        <v>605</v>
      </c>
      <c r="C1643" s="200">
        <v>1</v>
      </c>
      <c r="D1643" s="245">
        <v>0.75</v>
      </c>
      <c r="E1643" s="201">
        <v>0.85</v>
      </c>
      <c r="F1643" s="201">
        <v>35.25</v>
      </c>
      <c r="G1643" s="202">
        <f t="shared" ref="G1643:G1644" si="50">D1643*E1643*F1643*C1643</f>
        <v>22.471874999999997</v>
      </c>
      <c r="H1643" s="202">
        <f t="shared" ref="H1643:H1644" si="51">((E1643*2)+D1643)*F1643*C1643</f>
        <v>86.362500000000011</v>
      </c>
      <c r="I1643" s="82"/>
      <c r="J1643" s="114"/>
      <c r="BB1643" s="117"/>
      <c r="BC1643" s="117"/>
      <c r="BD1643" s="117"/>
    </row>
    <row r="1644" spans="1:56" ht="15">
      <c r="A1644" s="114"/>
      <c r="B1644" s="244" t="s">
        <v>606</v>
      </c>
      <c r="C1644" s="200">
        <v>1</v>
      </c>
      <c r="D1644" s="245">
        <v>0.75</v>
      </c>
      <c r="E1644" s="201">
        <v>0.85</v>
      </c>
      <c r="F1644" s="201">
        <v>35.25</v>
      </c>
      <c r="G1644" s="202">
        <f t="shared" si="50"/>
        <v>22.471874999999997</v>
      </c>
      <c r="H1644" s="202">
        <f t="shared" si="51"/>
        <v>86.362500000000011</v>
      </c>
      <c r="I1644" s="82"/>
      <c r="J1644" s="114"/>
      <c r="BB1644" s="117"/>
      <c r="BC1644" s="117"/>
      <c r="BD1644" s="117"/>
    </row>
    <row r="1645" spans="1:56" ht="15">
      <c r="A1645" s="114"/>
      <c r="B1645" s="244" t="s">
        <v>627</v>
      </c>
      <c r="C1645" s="200">
        <v>1</v>
      </c>
      <c r="D1645" s="245">
        <v>0.3</v>
      </c>
      <c r="E1645" s="201">
        <v>1.3</v>
      </c>
      <c r="F1645" s="201">
        <v>24.6</v>
      </c>
      <c r="G1645" s="202">
        <f t="shared" ref="G1645:G1647" si="52">D1645*E1645*F1645*C1645</f>
        <v>9.5940000000000012</v>
      </c>
      <c r="H1645" s="202">
        <f t="shared" ref="H1645:H1647" si="53">((E1645*2)+D1645)*F1645*C1645</f>
        <v>71.34</v>
      </c>
      <c r="I1645" s="82"/>
      <c r="J1645" s="114"/>
      <c r="BB1645" s="117"/>
      <c r="BC1645" s="117"/>
      <c r="BD1645" s="117"/>
    </row>
    <row r="1646" spans="1:56" ht="15">
      <c r="A1646" s="114"/>
      <c r="B1646" s="244" t="s">
        <v>628</v>
      </c>
      <c r="C1646" s="200">
        <v>1</v>
      </c>
      <c r="D1646" s="245">
        <v>0.3</v>
      </c>
      <c r="E1646" s="201">
        <v>1.3</v>
      </c>
      <c r="F1646" s="201">
        <v>37.479999999999997</v>
      </c>
      <c r="G1646" s="202">
        <f t="shared" si="52"/>
        <v>14.617199999999999</v>
      </c>
      <c r="H1646" s="202">
        <f t="shared" si="53"/>
        <v>108.69199999999999</v>
      </c>
      <c r="I1646" s="82"/>
      <c r="J1646" s="114"/>
      <c r="BB1646" s="117"/>
      <c r="BC1646" s="117"/>
      <c r="BD1646" s="117"/>
    </row>
    <row r="1647" spans="1:56" ht="15">
      <c r="A1647" s="114"/>
      <c r="B1647" s="244" t="s">
        <v>629</v>
      </c>
      <c r="C1647" s="200">
        <v>1</v>
      </c>
      <c r="D1647" s="245">
        <v>0.3</v>
      </c>
      <c r="E1647" s="201">
        <v>1.3</v>
      </c>
      <c r="F1647" s="201">
        <v>37.479999999999997</v>
      </c>
      <c r="G1647" s="202">
        <f t="shared" si="52"/>
        <v>14.617199999999999</v>
      </c>
      <c r="H1647" s="202">
        <f t="shared" si="53"/>
        <v>108.69199999999999</v>
      </c>
      <c r="I1647" s="82"/>
      <c r="J1647" s="114"/>
      <c r="BB1647" s="117"/>
      <c r="BC1647" s="117"/>
      <c r="BD1647" s="117"/>
    </row>
    <row r="1648" spans="1:56" ht="15">
      <c r="A1648" s="114"/>
      <c r="B1648" s="244" t="s">
        <v>607</v>
      </c>
      <c r="C1648" s="200">
        <v>1</v>
      </c>
      <c r="D1648" s="245">
        <v>0.75</v>
      </c>
      <c r="E1648" s="201">
        <v>2</v>
      </c>
      <c r="F1648" s="201">
        <v>16.98</v>
      </c>
      <c r="G1648" s="202">
        <f t="shared" si="48"/>
        <v>25.47</v>
      </c>
      <c r="H1648" s="202">
        <f t="shared" si="49"/>
        <v>80.655000000000001</v>
      </c>
      <c r="I1648" s="82"/>
      <c r="J1648" s="114"/>
      <c r="BB1648" s="117"/>
      <c r="BC1648" s="117"/>
      <c r="BD1648" s="117"/>
    </row>
    <row r="1649" spans="1:56" ht="15">
      <c r="A1649" s="114"/>
      <c r="B1649" s="244" t="s">
        <v>608</v>
      </c>
      <c r="C1649" s="200">
        <v>1</v>
      </c>
      <c r="D1649" s="245">
        <v>0.75</v>
      </c>
      <c r="E1649" s="201">
        <v>2</v>
      </c>
      <c r="F1649" s="201">
        <v>22.52</v>
      </c>
      <c r="G1649" s="202">
        <f t="shared" si="48"/>
        <v>33.78</v>
      </c>
      <c r="H1649" s="202">
        <f t="shared" si="49"/>
        <v>106.97</v>
      </c>
      <c r="I1649" s="82"/>
      <c r="J1649" s="114"/>
      <c r="BB1649" s="117"/>
      <c r="BC1649" s="117"/>
      <c r="BD1649" s="117"/>
    </row>
    <row r="1650" spans="1:56" ht="15">
      <c r="A1650" s="114"/>
      <c r="B1650" s="244" t="s">
        <v>1433</v>
      </c>
      <c r="C1650" s="200">
        <v>1</v>
      </c>
      <c r="D1650" s="245">
        <v>0.75</v>
      </c>
      <c r="E1650" s="201">
        <v>1.35</v>
      </c>
      <c r="F1650" s="201">
        <v>4.5</v>
      </c>
      <c r="G1650" s="202">
        <f t="shared" ref="G1650" si="54">D1650*E1650*F1650*C1650</f>
        <v>4.5562500000000004</v>
      </c>
      <c r="H1650" s="202">
        <f t="shared" ref="H1650" si="55">((E1650*2)+D1650)*F1650*C1650</f>
        <v>15.525</v>
      </c>
      <c r="I1650" s="82"/>
      <c r="J1650" s="114"/>
      <c r="BB1650" s="117"/>
      <c r="BC1650" s="117"/>
      <c r="BD1650" s="117"/>
    </row>
    <row r="1651" spans="1:56" ht="15">
      <c r="A1651" s="114"/>
      <c r="B1651" s="244" t="s">
        <v>1434</v>
      </c>
      <c r="C1651" s="200">
        <v>1</v>
      </c>
      <c r="D1651" s="245">
        <v>1</v>
      </c>
      <c r="E1651" s="201">
        <v>0.85</v>
      </c>
      <c r="F1651" s="201">
        <v>4.625</v>
      </c>
      <c r="G1651" s="202">
        <f t="shared" si="48"/>
        <v>3.9312499999999999</v>
      </c>
      <c r="H1651" s="202">
        <f t="shared" si="49"/>
        <v>12.487500000000001</v>
      </c>
      <c r="I1651" s="82"/>
      <c r="J1651" s="114"/>
      <c r="BB1651" s="117"/>
      <c r="BC1651" s="117"/>
      <c r="BD1651" s="117"/>
    </row>
    <row r="1652" spans="1:56" ht="15">
      <c r="A1652" s="114"/>
      <c r="B1652" s="244" t="s">
        <v>1434</v>
      </c>
      <c r="C1652" s="200">
        <v>1</v>
      </c>
      <c r="D1652" s="245">
        <v>1</v>
      </c>
      <c r="E1652" s="201">
        <v>0.85</v>
      </c>
      <c r="F1652" s="201">
        <f>4.725+4.425</f>
        <v>9.1499999999999986</v>
      </c>
      <c r="G1652" s="202">
        <f t="shared" ref="G1652" si="56">D1652*E1652*F1652*C1652</f>
        <v>7.777499999999999</v>
      </c>
      <c r="H1652" s="202">
        <f t="shared" ref="H1652" si="57">((E1652*2)+D1652)*F1652*C1652</f>
        <v>24.704999999999998</v>
      </c>
      <c r="I1652" s="82"/>
      <c r="J1652" s="114"/>
      <c r="BB1652" s="117"/>
      <c r="BC1652" s="117"/>
      <c r="BD1652" s="117"/>
    </row>
    <row r="1653" spans="1:56" ht="15">
      <c r="A1653" s="114"/>
      <c r="B1653" s="244" t="s">
        <v>1436</v>
      </c>
      <c r="C1653" s="200">
        <v>1</v>
      </c>
      <c r="D1653" s="245">
        <v>1</v>
      </c>
      <c r="E1653" s="201">
        <v>0.77500000000000002</v>
      </c>
      <c r="F1653" s="201">
        <v>4.3250000000000002</v>
      </c>
      <c r="G1653" s="202">
        <f t="shared" ref="G1653" si="58">D1653*E1653*F1653*C1653</f>
        <v>3.3518750000000002</v>
      </c>
      <c r="H1653" s="202">
        <f t="shared" ref="H1653" si="59">((E1653*2)+D1653)*F1653*C1653</f>
        <v>11.02875</v>
      </c>
      <c r="I1653" s="82"/>
      <c r="J1653" s="114"/>
      <c r="BB1653" s="117"/>
      <c r="BC1653" s="117"/>
      <c r="BD1653" s="117"/>
    </row>
    <row r="1654" spans="1:56" ht="15">
      <c r="A1654" s="114"/>
      <c r="B1654" s="244" t="s">
        <v>609</v>
      </c>
      <c r="C1654" s="200">
        <v>2</v>
      </c>
      <c r="D1654" s="245">
        <v>0.88</v>
      </c>
      <c r="E1654" s="201">
        <v>2</v>
      </c>
      <c r="F1654" s="201">
        <v>1</v>
      </c>
      <c r="G1654" s="202">
        <f t="shared" si="48"/>
        <v>3.52</v>
      </c>
      <c r="H1654" s="202">
        <f t="shared" si="49"/>
        <v>9.76</v>
      </c>
      <c r="I1654" s="82"/>
      <c r="J1654" s="114"/>
      <c r="BB1654" s="117"/>
      <c r="BC1654" s="117"/>
      <c r="BD1654" s="117"/>
    </row>
    <row r="1655" spans="1:56" ht="15">
      <c r="A1655" s="114"/>
      <c r="B1655" s="244" t="s">
        <v>1435</v>
      </c>
      <c r="C1655" s="200">
        <v>1</v>
      </c>
      <c r="D1655" s="245">
        <v>0.75</v>
      </c>
      <c r="E1655" s="201">
        <v>0.85</v>
      </c>
      <c r="F1655" s="201">
        <v>25.6</v>
      </c>
      <c r="G1655" s="202">
        <f t="shared" ref="G1655" si="60">D1655*E1655*F1655*C1655</f>
        <v>16.32</v>
      </c>
      <c r="H1655" s="202">
        <f t="shared" ref="H1655" si="61">((E1655*2)+D1655)*F1655*C1655</f>
        <v>62.720000000000006</v>
      </c>
      <c r="I1655" s="82"/>
      <c r="J1655" s="114"/>
      <c r="BB1655" s="117"/>
      <c r="BC1655" s="117"/>
      <c r="BD1655" s="117"/>
    </row>
    <row r="1656" spans="1:56" ht="15">
      <c r="A1656" s="114"/>
      <c r="B1656" s="244" t="s">
        <v>610</v>
      </c>
      <c r="C1656" s="200">
        <v>1</v>
      </c>
      <c r="D1656" s="245">
        <v>0.36499999999999999</v>
      </c>
      <c r="E1656" s="201">
        <v>0.85</v>
      </c>
      <c r="F1656" s="201">
        <v>41.37</v>
      </c>
      <c r="G1656" s="202">
        <f t="shared" si="48"/>
        <v>12.835042499999998</v>
      </c>
      <c r="H1656" s="202">
        <f t="shared" si="49"/>
        <v>85.429049999999989</v>
      </c>
      <c r="I1656" s="82"/>
      <c r="J1656" s="114"/>
      <c r="BB1656" s="117"/>
      <c r="BC1656" s="117"/>
      <c r="BD1656" s="117"/>
    </row>
    <row r="1657" spans="1:56" ht="15">
      <c r="A1657" s="114"/>
      <c r="B1657" s="244" t="s">
        <v>1437</v>
      </c>
      <c r="C1657" s="200">
        <v>1</v>
      </c>
      <c r="D1657" s="245">
        <v>0.36499999999999999</v>
      </c>
      <c r="E1657" s="201">
        <v>0.77500000000000002</v>
      </c>
      <c r="F1657" s="201">
        <v>4.63</v>
      </c>
      <c r="G1657" s="202">
        <f t="shared" ref="G1657" si="62">D1657*E1657*F1657*C1657</f>
        <v>1.3097112499999999</v>
      </c>
      <c r="H1657" s="202">
        <f t="shared" ref="H1657" si="63">((E1657*2)+D1657)*F1657*C1657</f>
        <v>8.8664500000000004</v>
      </c>
      <c r="I1657" s="82"/>
      <c r="J1657" s="114"/>
      <c r="BB1657" s="117"/>
      <c r="BC1657" s="117"/>
      <c r="BD1657" s="117"/>
    </row>
    <row r="1658" spans="1:56" ht="15">
      <c r="A1658" s="114"/>
      <c r="B1658" s="244" t="s">
        <v>611</v>
      </c>
      <c r="C1658" s="200">
        <v>1</v>
      </c>
      <c r="D1658" s="245">
        <v>0.36499999999999999</v>
      </c>
      <c r="E1658" s="201">
        <v>0.85</v>
      </c>
      <c r="F1658" s="201">
        <v>41.37</v>
      </c>
      <c r="G1658" s="202">
        <f t="shared" si="48"/>
        <v>12.835042499999998</v>
      </c>
      <c r="H1658" s="202">
        <f t="shared" si="49"/>
        <v>85.429049999999989</v>
      </c>
      <c r="I1658" s="82"/>
      <c r="J1658" s="114"/>
      <c r="BB1658" s="117"/>
      <c r="BC1658" s="117"/>
      <c r="BD1658" s="117"/>
    </row>
    <row r="1659" spans="1:56" ht="15">
      <c r="A1659" s="114"/>
      <c r="B1659" s="244" t="s">
        <v>1438</v>
      </c>
      <c r="C1659" s="200">
        <v>1</v>
      </c>
      <c r="D1659" s="245">
        <v>0.36499999999999999</v>
      </c>
      <c r="E1659" s="201">
        <v>0.77500000000000002</v>
      </c>
      <c r="F1659" s="201">
        <v>4.63</v>
      </c>
      <c r="G1659" s="202">
        <f t="shared" si="48"/>
        <v>1.3097112499999999</v>
      </c>
      <c r="H1659" s="202">
        <f t="shared" si="49"/>
        <v>8.8664500000000004</v>
      </c>
      <c r="I1659" s="82"/>
      <c r="J1659" s="114"/>
      <c r="BB1659" s="117"/>
      <c r="BC1659" s="117"/>
      <c r="BD1659" s="117"/>
    </row>
    <row r="1660" spans="1:56" ht="15">
      <c r="A1660" s="114"/>
      <c r="B1660" s="244" t="s">
        <v>612</v>
      </c>
      <c r="C1660" s="200">
        <v>1</v>
      </c>
      <c r="D1660" s="245">
        <v>0.75</v>
      </c>
      <c r="E1660" s="201">
        <v>0.85</v>
      </c>
      <c r="F1660" s="201">
        <v>41.37</v>
      </c>
      <c r="G1660" s="202">
        <f t="shared" si="48"/>
        <v>26.373374999999996</v>
      </c>
      <c r="H1660" s="202">
        <f t="shared" si="49"/>
        <v>101.3565</v>
      </c>
      <c r="I1660" s="82"/>
      <c r="J1660" s="114"/>
      <c r="BB1660" s="117"/>
      <c r="BC1660" s="117"/>
      <c r="BD1660" s="117"/>
    </row>
    <row r="1661" spans="1:56" ht="15">
      <c r="A1661" s="114"/>
      <c r="B1661" s="244" t="s">
        <v>1439</v>
      </c>
      <c r="C1661" s="200">
        <v>1</v>
      </c>
      <c r="D1661" s="245">
        <v>0.75</v>
      </c>
      <c r="E1661" s="201">
        <v>0.85</v>
      </c>
      <c r="F1661" s="201">
        <v>4.3250000000000002</v>
      </c>
      <c r="G1661" s="202">
        <f t="shared" ref="G1661" si="64">D1661*E1661*F1661*C1661</f>
        <v>2.7571875000000001</v>
      </c>
      <c r="H1661" s="202">
        <f t="shared" ref="H1661" si="65">((E1661*2)+D1661)*F1661*C1661</f>
        <v>10.596250000000001</v>
      </c>
      <c r="I1661" s="82"/>
      <c r="J1661" s="114"/>
      <c r="BB1661" s="117"/>
      <c r="BC1661" s="117"/>
      <c r="BD1661" s="117"/>
    </row>
    <row r="1662" spans="1:56" ht="15">
      <c r="A1662" s="114"/>
      <c r="B1662" s="244" t="s">
        <v>613</v>
      </c>
      <c r="C1662" s="200">
        <v>1</v>
      </c>
      <c r="D1662" s="245">
        <v>0.75</v>
      </c>
      <c r="E1662" s="201">
        <v>0.85</v>
      </c>
      <c r="F1662" s="201">
        <v>41.37</v>
      </c>
      <c r="G1662" s="202">
        <f t="shared" si="48"/>
        <v>26.373374999999996</v>
      </c>
      <c r="H1662" s="202">
        <f t="shared" si="49"/>
        <v>101.3565</v>
      </c>
      <c r="I1662" s="82"/>
      <c r="J1662" s="114"/>
      <c r="BB1662" s="117"/>
      <c r="BC1662" s="117"/>
      <c r="BD1662" s="117"/>
    </row>
    <row r="1663" spans="1:56" ht="15">
      <c r="A1663" s="114"/>
      <c r="B1663" s="244" t="s">
        <v>1440</v>
      </c>
      <c r="C1663" s="200">
        <v>1</v>
      </c>
      <c r="D1663" s="245">
        <v>0.75</v>
      </c>
      <c r="E1663" s="201">
        <v>0.85</v>
      </c>
      <c r="F1663" s="201">
        <v>4.3250000000000002</v>
      </c>
      <c r="G1663" s="202">
        <f t="shared" si="48"/>
        <v>2.7571875000000001</v>
      </c>
      <c r="H1663" s="202">
        <f t="shared" si="49"/>
        <v>10.596250000000001</v>
      </c>
      <c r="I1663" s="82"/>
      <c r="J1663" s="114"/>
      <c r="BB1663" s="117"/>
      <c r="BC1663" s="117"/>
      <c r="BD1663" s="117"/>
    </row>
    <row r="1664" spans="1:56" ht="15">
      <c r="A1664" s="114"/>
      <c r="B1664" s="244" t="s">
        <v>614</v>
      </c>
      <c r="C1664" s="200">
        <v>1</v>
      </c>
      <c r="D1664" s="245">
        <v>0.36499999999999999</v>
      </c>
      <c r="E1664" s="201">
        <v>0.85</v>
      </c>
      <c r="F1664" s="201">
        <v>41.37</v>
      </c>
      <c r="G1664" s="202">
        <f t="shared" si="48"/>
        <v>12.835042499999998</v>
      </c>
      <c r="H1664" s="202">
        <f t="shared" si="49"/>
        <v>85.429049999999989</v>
      </c>
      <c r="I1664" s="82"/>
      <c r="J1664" s="114"/>
      <c r="BB1664" s="117"/>
      <c r="BC1664" s="117"/>
      <c r="BD1664" s="117"/>
    </row>
    <row r="1665" spans="1:56" ht="15">
      <c r="A1665" s="114"/>
      <c r="B1665" s="244" t="s">
        <v>1441</v>
      </c>
      <c r="C1665" s="200">
        <v>1</v>
      </c>
      <c r="D1665" s="245">
        <v>0.36499999999999999</v>
      </c>
      <c r="E1665" s="201">
        <v>0.77500000000000002</v>
      </c>
      <c r="F1665" s="201">
        <v>4.63</v>
      </c>
      <c r="G1665" s="202">
        <f t="shared" si="48"/>
        <v>1.3097112499999999</v>
      </c>
      <c r="H1665" s="202">
        <f t="shared" si="49"/>
        <v>8.8664500000000004</v>
      </c>
      <c r="I1665" s="82"/>
      <c r="J1665" s="114"/>
      <c r="BB1665" s="117"/>
      <c r="BC1665" s="117"/>
      <c r="BD1665" s="117"/>
    </row>
    <row r="1666" spans="1:56" ht="15">
      <c r="A1666" s="114"/>
      <c r="B1666" s="244" t="s">
        <v>615</v>
      </c>
      <c r="C1666" s="200">
        <v>1</v>
      </c>
      <c r="D1666" s="245">
        <v>0.36499999999999999</v>
      </c>
      <c r="E1666" s="201">
        <v>0.85</v>
      </c>
      <c r="F1666" s="201">
        <v>41.37</v>
      </c>
      <c r="G1666" s="202">
        <f t="shared" si="48"/>
        <v>12.835042499999998</v>
      </c>
      <c r="H1666" s="202">
        <f t="shared" si="49"/>
        <v>85.429049999999989</v>
      </c>
      <c r="I1666" s="82"/>
      <c r="J1666" s="114"/>
      <c r="BB1666" s="117"/>
      <c r="BC1666" s="117"/>
      <c r="BD1666" s="117"/>
    </row>
    <row r="1667" spans="1:56" ht="15">
      <c r="A1667" s="114"/>
      <c r="B1667" s="244" t="s">
        <v>1442</v>
      </c>
      <c r="C1667" s="200">
        <v>1</v>
      </c>
      <c r="D1667" s="245">
        <v>0.36499999999999999</v>
      </c>
      <c r="E1667" s="201">
        <v>0.77500000000000002</v>
      </c>
      <c r="F1667" s="201">
        <v>4.63</v>
      </c>
      <c r="G1667" s="202">
        <f t="shared" ref="G1667" si="66">D1667*E1667*F1667*C1667</f>
        <v>1.3097112499999999</v>
      </c>
      <c r="H1667" s="202">
        <f t="shared" ref="H1667" si="67">((E1667*2)+D1667)*F1667*C1667</f>
        <v>8.8664500000000004</v>
      </c>
      <c r="I1667" s="82"/>
      <c r="J1667" s="114"/>
      <c r="BB1667" s="117"/>
      <c r="BC1667" s="117"/>
      <c r="BD1667" s="117"/>
    </row>
    <row r="1668" spans="1:56" ht="15">
      <c r="A1668" s="114"/>
      <c r="B1668" s="244" t="s">
        <v>616</v>
      </c>
      <c r="C1668" s="200">
        <v>1</v>
      </c>
      <c r="D1668" s="245">
        <v>0.75</v>
      </c>
      <c r="E1668" s="201">
        <v>0.85</v>
      </c>
      <c r="F1668" s="201">
        <v>41.37</v>
      </c>
      <c r="G1668" s="202">
        <f t="shared" si="48"/>
        <v>26.373374999999996</v>
      </c>
      <c r="H1668" s="202">
        <f t="shared" si="49"/>
        <v>101.3565</v>
      </c>
      <c r="I1668" s="82"/>
      <c r="J1668" s="114"/>
      <c r="BB1668" s="117"/>
      <c r="BC1668" s="117"/>
      <c r="BD1668" s="117"/>
    </row>
    <row r="1669" spans="1:56" ht="15">
      <c r="A1669" s="114"/>
      <c r="B1669" s="244" t="s">
        <v>1443</v>
      </c>
      <c r="C1669" s="200">
        <v>1</v>
      </c>
      <c r="D1669" s="245">
        <v>0.75</v>
      </c>
      <c r="E1669" s="201">
        <v>0.85</v>
      </c>
      <c r="F1669" s="201">
        <v>4.3250000000000002</v>
      </c>
      <c r="G1669" s="202">
        <f t="shared" ref="G1669" si="68">D1669*E1669*F1669*C1669</f>
        <v>2.7571875000000001</v>
      </c>
      <c r="H1669" s="202">
        <f t="shared" ref="H1669" si="69">((E1669*2)+D1669)*F1669*C1669</f>
        <v>10.596250000000001</v>
      </c>
      <c r="I1669" s="82"/>
      <c r="J1669" s="114"/>
      <c r="BB1669" s="117"/>
      <c r="BC1669" s="117"/>
      <c r="BD1669" s="117"/>
    </row>
    <row r="1670" spans="1:56" ht="15">
      <c r="A1670" s="114"/>
      <c r="B1670" s="244" t="s">
        <v>1444</v>
      </c>
      <c r="C1670" s="200">
        <v>1</v>
      </c>
      <c r="D1670" s="245">
        <v>1.2</v>
      </c>
      <c r="E1670" s="201">
        <v>0.85</v>
      </c>
      <c r="F1670" s="201">
        <v>16.68</v>
      </c>
      <c r="G1670" s="202">
        <f t="shared" si="48"/>
        <v>17.0136</v>
      </c>
      <c r="H1670" s="202">
        <f t="shared" si="49"/>
        <v>48.372</v>
      </c>
      <c r="I1670" s="82"/>
      <c r="J1670" s="114"/>
      <c r="BB1670" s="117"/>
      <c r="BC1670" s="117"/>
      <c r="BD1670" s="117"/>
    </row>
    <row r="1671" spans="1:56" ht="15">
      <c r="A1671" s="114"/>
      <c r="B1671" s="244" t="s">
        <v>1445</v>
      </c>
      <c r="C1671" s="200">
        <v>1</v>
      </c>
      <c r="D1671" s="245">
        <v>0.75</v>
      </c>
      <c r="E1671" s="201">
        <v>0.85</v>
      </c>
      <c r="F1671" s="201">
        <v>24.7</v>
      </c>
      <c r="G1671" s="202">
        <f t="shared" ref="G1671" si="70">D1671*E1671*F1671*C1671</f>
        <v>15.746249999999998</v>
      </c>
      <c r="H1671" s="202">
        <f t="shared" ref="H1671" si="71">((E1671*2)+D1671)*F1671*C1671</f>
        <v>60.515000000000001</v>
      </c>
      <c r="I1671" s="82"/>
      <c r="J1671" s="114"/>
      <c r="BB1671" s="117"/>
      <c r="BC1671" s="117"/>
      <c r="BD1671" s="117"/>
    </row>
    <row r="1672" spans="1:56" ht="15">
      <c r="A1672" s="114"/>
      <c r="B1672" s="244" t="s">
        <v>1446</v>
      </c>
      <c r="C1672" s="200">
        <v>1</v>
      </c>
      <c r="D1672" s="245">
        <v>0.75</v>
      </c>
      <c r="E1672" s="201">
        <v>0.78</v>
      </c>
      <c r="F1672" s="201">
        <v>4.3250000000000002</v>
      </c>
      <c r="G1672" s="202">
        <f t="shared" ref="G1672" si="72">D1672*E1672*F1672*C1672</f>
        <v>2.530125</v>
      </c>
      <c r="H1672" s="202">
        <f t="shared" ref="H1672" si="73">((E1672*2)+D1672)*F1672*C1672</f>
        <v>9.9907500000000002</v>
      </c>
      <c r="I1672" s="82"/>
      <c r="J1672" s="114"/>
      <c r="BB1672" s="117"/>
      <c r="BC1672" s="117"/>
      <c r="BD1672" s="117"/>
    </row>
    <row r="1673" spans="1:56" ht="15">
      <c r="A1673" s="114"/>
      <c r="B1673" s="244" t="s">
        <v>617</v>
      </c>
      <c r="C1673" s="200">
        <v>1</v>
      </c>
      <c r="D1673" s="245">
        <v>0.36499999999999999</v>
      </c>
      <c r="E1673" s="201">
        <v>0.85</v>
      </c>
      <c r="F1673" s="201">
        <v>41.37</v>
      </c>
      <c r="G1673" s="202">
        <f t="shared" si="48"/>
        <v>12.835042499999998</v>
      </c>
      <c r="H1673" s="202">
        <f t="shared" si="49"/>
        <v>85.429049999999989</v>
      </c>
      <c r="I1673" s="82"/>
      <c r="J1673" s="114"/>
      <c r="BB1673" s="117"/>
      <c r="BC1673" s="117"/>
      <c r="BD1673" s="117"/>
    </row>
    <row r="1674" spans="1:56" ht="15">
      <c r="A1674" s="114"/>
      <c r="B1674" s="244" t="s">
        <v>1447</v>
      </c>
      <c r="C1674" s="200">
        <v>1</v>
      </c>
      <c r="D1674" s="245">
        <v>0.36499999999999999</v>
      </c>
      <c r="E1674" s="201">
        <v>0.78</v>
      </c>
      <c r="F1674" s="201">
        <v>4.3250000000000002</v>
      </c>
      <c r="G1674" s="202">
        <f t="shared" ref="G1674" si="74">D1674*E1674*F1674*C1674</f>
        <v>1.2313275000000001</v>
      </c>
      <c r="H1674" s="202">
        <f t="shared" ref="H1674" si="75">((E1674*2)+D1674)*F1674*C1674</f>
        <v>8.3256250000000005</v>
      </c>
      <c r="I1674" s="82"/>
      <c r="J1674" s="114"/>
      <c r="BB1674" s="117"/>
      <c r="BC1674" s="117"/>
      <c r="BD1674" s="117"/>
    </row>
    <row r="1675" spans="1:56" ht="15">
      <c r="A1675" s="114"/>
      <c r="B1675" s="244" t="s">
        <v>618</v>
      </c>
      <c r="C1675" s="200">
        <v>1</v>
      </c>
      <c r="D1675" s="245">
        <v>1.35</v>
      </c>
      <c r="E1675" s="201">
        <v>0.85</v>
      </c>
      <c r="F1675" s="201">
        <v>13.25</v>
      </c>
      <c r="G1675" s="202">
        <f t="shared" si="48"/>
        <v>15.204374999999999</v>
      </c>
      <c r="H1675" s="202">
        <f t="shared" si="49"/>
        <v>40.412499999999994</v>
      </c>
      <c r="I1675" s="82"/>
      <c r="J1675" s="114"/>
      <c r="BB1675" s="117"/>
      <c r="BC1675" s="117"/>
      <c r="BD1675" s="117"/>
    </row>
    <row r="1676" spans="1:56" ht="15">
      <c r="A1676" s="114"/>
      <c r="B1676" s="244" t="s">
        <v>619</v>
      </c>
      <c r="C1676" s="200">
        <v>1</v>
      </c>
      <c r="D1676" s="245">
        <v>1</v>
      </c>
      <c r="E1676" s="201">
        <v>0.85</v>
      </c>
      <c r="F1676" s="201">
        <v>13.25</v>
      </c>
      <c r="G1676" s="202">
        <f t="shared" si="48"/>
        <v>11.262499999999999</v>
      </c>
      <c r="H1676" s="202">
        <f t="shared" si="49"/>
        <v>35.775000000000006</v>
      </c>
      <c r="I1676" s="82"/>
      <c r="J1676" s="114"/>
      <c r="BB1676" s="117"/>
      <c r="BC1676" s="117"/>
      <c r="BD1676" s="117"/>
    </row>
    <row r="1677" spans="1:56" ht="15">
      <c r="A1677" s="114"/>
      <c r="B1677" s="244" t="s">
        <v>620</v>
      </c>
      <c r="C1677" s="200">
        <v>1</v>
      </c>
      <c r="D1677" s="245">
        <v>1</v>
      </c>
      <c r="E1677" s="201">
        <v>0.85</v>
      </c>
      <c r="F1677" s="201">
        <v>13.25</v>
      </c>
      <c r="G1677" s="202">
        <f t="shared" si="48"/>
        <v>11.262499999999999</v>
      </c>
      <c r="H1677" s="202">
        <f t="shared" si="49"/>
        <v>35.775000000000006</v>
      </c>
      <c r="I1677" s="82"/>
      <c r="J1677" s="114"/>
      <c r="BB1677" s="117"/>
      <c r="BC1677" s="117"/>
      <c r="BD1677" s="117"/>
    </row>
    <row r="1678" spans="1:56" ht="15">
      <c r="A1678" s="114"/>
      <c r="B1678" s="244" t="s">
        <v>621</v>
      </c>
      <c r="C1678" s="200">
        <v>1</v>
      </c>
      <c r="D1678" s="245">
        <v>1</v>
      </c>
      <c r="E1678" s="201">
        <v>0.85</v>
      </c>
      <c r="F1678" s="201">
        <v>13.25</v>
      </c>
      <c r="G1678" s="202">
        <f t="shared" si="48"/>
        <v>11.262499999999999</v>
      </c>
      <c r="H1678" s="202">
        <f t="shared" si="49"/>
        <v>35.775000000000006</v>
      </c>
      <c r="I1678" s="82"/>
      <c r="J1678" s="114"/>
      <c r="BB1678" s="117"/>
      <c r="BC1678" s="117"/>
      <c r="BD1678" s="117"/>
    </row>
    <row r="1679" spans="1:56" ht="15">
      <c r="A1679" s="114"/>
      <c r="B1679" s="244" t="s">
        <v>622</v>
      </c>
      <c r="C1679" s="200">
        <v>1</v>
      </c>
      <c r="D1679" s="245">
        <v>1</v>
      </c>
      <c r="E1679" s="201">
        <v>0.85</v>
      </c>
      <c r="F1679" s="201">
        <v>13.25</v>
      </c>
      <c r="G1679" s="202">
        <f t="shared" si="48"/>
        <v>11.262499999999999</v>
      </c>
      <c r="H1679" s="202">
        <f t="shared" si="49"/>
        <v>35.775000000000006</v>
      </c>
      <c r="I1679" s="82"/>
      <c r="J1679" s="114"/>
      <c r="BB1679" s="117"/>
      <c r="BC1679" s="117"/>
      <c r="BD1679" s="117"/>
    </row>
    <row r="1680" spans="1:56" ht="15">
      <c r="A1680" s="114"/>
      <c r="B1680" s="244" t="s">
        <v>623</v>
      </c>
      <c r="C1680" s="200">
        <v>1</v>
      </c>
      <c r="D1680" s="245">
        <v>1</v>
      </c>
      <c r="E1680" s="201">
        <v>0.85</v>
      </c>
      <c r="F1680" s="201">
        <v>13.25</v>
      </c>
      <c r="G1680" s="202">
        <f t="shared" si="48"/>
        <v>11.262499999999999</v>
      </c>
      <c r="H1680" s="202">
        <f t="shared" si="49"/>
        <v>35.775000000000006</v>
      </c>
      <c r="I1680" s="82"/>
      <c r="J1680" s="114"/>
      <c r="BB1680" s="117"/>
      <c r="BC1680" s="117"/>
      <c r="BD1680" s="117"/>
    </row>
    <row r="1681" spans="1:56" ht="15">
      <c r="A1681" s="114"/>
      <c r="B1681" s="244" t="s">
        <v>624</v>
      </c>
      <c r="C1681" s="200">
        <v>1</v>
      </c>
      <c r="D1681" s="245">
        <v>1</v>
      </c>
      <c r="E1681" s="201">
        <v>0.85</v>
      </c>
      <c r="F1681" s="201">
        <v>13.25</v>
      </c>
      <c r="G1681" s="202">
        <f t="shared" si="48"/>
        <v>11.262499999999999</v>
      </c>
      <c r="H1681" s="202">
        <f t="shared" si="49"/>
        <v>35.775000000000006</v>
      </c>
      <c r="I1681" s="82"/>
      <c r="J1681" s="114"/>
      <c r="BB1681" s="117"/>
      <c r="BC1681" s="117"/>
      <c r="BD1681" s="117"/>
    </row>
    <row r="1682" spans="1:56" ht="15">
      <c r="A1682" s="114"/>
      <c r="B1682" s="244" t="s">
        <v>625</v>
      </c>
      <c r="C1682" s="200">
        <v>1</v>
      </c>
      <c r="D1682" s="245">
        <v>1</v>
      </c>
      <c r="E1682" s="201">
        <v>0.85</v>
      </c>
      <c r="F1682" s="201">
        <v>13.25</v>
      </c>
      <c r="G1682" s="202">
        <f t="shared" si="48"/>
        <v>11.262499999999999</v>
      </c>
      <c r="H1682" s="202">
        <f t="shared" si="49"/>
        <v>35.775000000000006</v>
      </c>
      <c r="I1682" s="82"/>
      <c r="J1682" s="114"/>
      <c r="BB1682" s="117"/>
      <c r="BC1682" s="117"/>
      <c r="BD1682" s="117"/>
    </row>
    <row r="1683" spans="1:56" ht="15">
      <c r="A1683" s="114"/>
      <c r="B1683" s="244" t="s">
        <v>626</v>
      </c>
      <c r="C1683" s="200">
        <v>1</v>
      </c>
      <c r="D1683" s="245">
        <v>0.4</v>
      </c>
      <c r="E1683" s="201">
        <v>0.7</v>
      </c>
      <c r="F1683" s="201">
        <v>7.5250000000000004</v>
      </c>
      <c r="G1683" s="202">
        <f t="shared" si="48"/>
        <v>2.1069999999999998</v>
      </c>
      <c r="H1683" s="202">
        <f t="shared" si="49"/>
        <v>13.545</v>
      </c>
      <c r="I1683" s="82"/>
      <c r="J1683" s="114"/>
      <c r="BB1683" s="117"/>
      <c r="BC1683" s="117"/>
      <c r="BD1683" s="117"/>
    </row>
    <row r="1684" spans="1:56" ht="15">
      <c r="A1684" s="114"/>
      <c r="B1684" s="244" t="s">
        <v>630</v>
      </c>
      <c r="C1684" s="200">
        <v>1</v>
      </c>
      <c r="D1684" s="245">
        <v>0.3</v>
      </c>
      <c r="E1684" s="201">
        <v>0.63</v>
      </c>
      <c r="F1684" s="201">
        <v>9.09</v>
      </c>
      <c r="G1684" s="202">
        <f t="shared" si="48"/>
        <v>1.71801</v>
      </c>
      <c r="H1684" s="202">
        <f t="shared" si="49"/>
        <v>14.180400000000001</v>
      </c>
      <c r="I1684" s="82"/>
      <c r="J1684" s="114"/>
      <c r="BB1684" s="117"/>
      <c r="BC1684" s="117"/>
      <c r="BD1684" s="117"/>
    </row>
    <row r="1685" spans="1:56" ht="15">
      <c r="A1685" s="114"/>
      <c r="B1685" s="244" t="s">
        <v>631</v>
      </c>
      <c r="C1685" s="200">
        <v>1</v>
      </c>
      <c r="D1685" s="245">
        <v>0.25</v>
      </c>
      <c r="E1685" s="201">
        <v>2</v>
      </c>
      <c r="F1685" s="201">
        <v>3.95</v>
      </c>
      <c r="G1685" s="202">
        <f t="shared" si="48"/>
        <v>1.9750000000000001</v>
      </c>
      <c r="H1685" s="202">
        <f t="shared" si="49"/>
        <v>16.787500000000001</v>
      </c>
      <c r="I1685" s="82"/>
      <c r="J1685" s="114"/>
      <c r="BB1685" s="117"/>
      <c r="BC1685" s="117"/>
      <c r="BD1685" s="117"/>
    </row>
    <row r="1686" spans="1:56" ht="15">
      <c r="A1686" s="114"/>
      <c r="B1686" s="244" t="s">
        <v>632</v>
      </c>
      <c r="C1686" s="200">
        <v>1</v>
      </c>
      <c r="D1686" s="245">
        <v>0.2</v>
      </c>
      <c r="E1686" s="201">
        <v>0.3</v>
      </c>
      <c r="F1686" s="201">
        <v>1.5249999999999999</v>
      </c>
      <c r="G1686" s="202">
        <f t="shared" si="48"/>
        <v>9.1499999999999998E-2</v>
      </c>
      <c r="H1686" s="202">
        <f t="shared" si="49"/>
        <v>1.22</v>
      </c>
      <c r="I1686" s="82"/>
      <c r="J1686" s="114"/>
      <c r="BB1686" s="117"/>
      <c r="BC1686" s="117"/>
      <c r="BD1686" s="117"/>
    </row>
    <row r="1687" spans="1:56" ht="15">
      <c r="A1687" s="114"/>
      <c r="B1687" s="244" t="s">
        <v>633</v>
      </c>
      <c r="C1687" s="200">
        <v>1</v>
      </c>
      <c r="D1687" s="245">
        <v>0.25</v>
      </c>
      <c r="E1687" s="201">
        <v>0.7</v>
      </c>
      <c r="F1687" s="201">
        <v>2.4</v>
      </c>
      <c r="G1687" s="202">
        <f t="shared" si="48"/>
        <v>0.42</v>
      </c>
      <c r="H1687" s="202">
        <f t="shared" si="49"/>
        <v>3.9599999999999995</v>
      </c>
      <c r="I1687" s="82"/>
      <c r="J1687" s="114"/>
      <c r="BB1687" s="117"/>
      <c r="BC1687" s="117"/>
      <c r="BD1687" s="117"/>
    </row>
    <row r="1688" spans="1:56" ht="15">
      <c r="A1688" s="114"/>
      <c r="B1688" s="244" t="s">
        <v>634</v>
      </c>
      <c r="C1688" s="200">
        <v>1</v>
      </c>
      <c r="D1688" s="245">
        <v>0.25</v>
      </c>
      <c r="E1688" s="201">
        <v>0.7</v>
      </c>
      <c r="F1688" s="201">
        <v>2.4</v>
      </c>
      <c r="G1688" s="202">
        <f t="shared" si="48"/>
        <v>0.42</v>
      </c>
      <c r="H1688" s="202">
        <f t="shared" si="49"/>
        <v>3.9599999999999995</v>
      </c>
      <c r="I1688" s="82"/>
      <c r="J1688" s="114"/>
      <c r="BB1688" s="117"/>
      <c r="BC1688" s="117"/>
      <c r="BD1688" s="117"/>
    </row>
    <row r="1689" spans="1:56" ht="15">
      <c r="A1689" s="114"/>
      <c r="B1689" s="244" t="s">
        <v>635</v>
      </c>
      <c r="C1689" s="200">
        <v>1</v>
      </c>
      <c r="D1689" s="245">
        <v>0.25</v>
      </c>
      <c r="E1689" s="201">
        <v>0.7</v>
      </c>
      <c r="F1689" s="201">
        <v>2.4</v>
      </c>
      <c r="G1689" s="202">
        <f t="shared" si="48"/>
        <v>0.42</v>
      </c>
      <c r="H1689" s="202">
        <f t="shared" si="49"/>
        <v>3.9599999999999995</v>
      </c>
      <c r="I1689" s="82"/>
      <c r="J1689" s="114"/>
      <c r="BB1689" s="117"/>
      <c r="BC1689" s="117"/>
      <c r="BD1689" s="117"/>
    </row>
    <row r="1690" spans="1:56" ht="15">
      <c r="A1690" s="114"/>
      <c r="B1690" s="244" t="s">
        <v>636</v>
      </c>
      <c r="C1690" s="200">
        <v>1</v>
      </c>
      <c r="D1690" s="245">
        <v>0.2</v>
      </c>
      <c r="E1690" s="201">
        <v>0.4</v>
      </c>
      <c r="F1690" s="201">
        <v>6.5750000000000002</v>
      </c>
      <c r="G1690" s="202">
        <f t="shared" si="48"/>
        <v>0.52600000000000013</v>
      </c>
      <c r="H1690" s="202">
        <f t="shared" si="49"/>
        <v>6.5750000000000002</v>
      </c>
      <c r="I1690" s="82"/>
      <c r="J1690" s="114"/>
      <c r="BB1690" s="117"/>
      <c r="BC1690" s="117"/>
      <c r="BD1690" s="117"/>
    </row>
    <row r="1691" spans="1:56" ht="15">
      <c r="A1691" s="114"/>
      <c r="B1691" s="244" t="s">
        <v>637</v>
      </c>
      <c r="C1691" s="200">
        <v>1</v>
      </c>
      <c r="D1691" s="245">
        <v>0.4</v>
      </c>
      <c r="E1691" s="201">
        <v>0.85</v>
      </c>
      <c r="F1691" s="201">
        <v>11.75</v>
      </c>
      <c r="G1691" s="202">
        <f t="shared" si="48"/>
        <v>3.9950000000000001</v>
      </c>
      <c r="H1691" s="202">
        <f t="shared" si="49"/>
        <v>24.675000000000001</v>
      </c>
      <c r="I1691" s="82"/>
      <c r="J1691" s="114"/>
      <c r="BB1691" s="117"/>
      <c r="BC1691" s="117"/>
      <c r="BD1691" s="117"/>
    </row>
    <row r="1692" spans="1:56" ht="15">
      <c r="A1692" s="114"/>
      <c r="B1692" s="244" t="s">
        <v>626</v>
      </c>
      <c r="C1692" s="200">
        <v>1</v>
      </c>
      <c r="D1692" s="245">
        <v>0.4</v>
      </c>
      <c r="E1692" s="201">
        <v>0.7</v>
      </c>
      <c r="F1692" s="201">
        <v>7.5250000000000004</v>
      </c>
      <c r="G1692" s="202">
        <f t="shared" si="48"/>
        <v>2.1069999999999998</v>
      </c>
      <c r="H1692" s="202">
        <f t="shared" si="49"/>
        <v>13.545</v>
      </c>
      <c r="I1692" s="82"/>
      <c r="J1692" s="114"/>
      <c r="BB1692" s="117"/>
      <c r="BC1692" s="117"/>
      <c r="BD1692" s="117"/>
    </row>
    <row r="1693" spans="1:56" ht="15">
      <c r="A1693" s="114"/>
      <c r="B1693" s="244" t="s">
        <v>638</v>
      </c>
      <c r="C1693" s="200">
        <v>1</v>
      </c>
      <c r="D1693" s="245">
        <v>0.5</v>
      </c>
      <c r="E1693" s="201">
        <v>0.85</v>
      </c>
      <c r="F1693" s="201">
        <v>11.45</v>
      </c>
      <c r="G1693" s="202">
        <f t="shared" si="48"/>
        <v>4.86625</v>
      </c>
      <c r="H1693" s="202">
        <f t="shared" si="49"/>
        <v>25.19</v>
      </c>
      <c r="I1693" s="82"/>
      <c r="J1693" s="114"/>
      <c r="BB1693" s="117"/>
      <c r="BC1693" s="117"/>
      <c r="BD1693" s="117"/>
    </row>
    <row r="1694" spans="1:56" ht="15">
      <c r="A1694" s="114"/>
      <c r="B1694" s="244" t="s">
        <v>639</v>
      </c>
      <c r="C1694" s="200">
        <v>1</v>
      </c>
      <c r="D1694" s="245">
        <v>0.4</v>
      </c>
      <c r="E1694" s="201">
        <v>0.85</v>
      </c>
      <c r="F1694" s="201">
        <v>11.75</v>
      </c>
      <c r="G1694" s="202">
        <f t="shared" si="48"/>
        <v>3.9950000000000001</v>
      </c>
      <c r="H1694" s="202">
        <f t="shared" si="49"/>
        <v>24.675000000000001</v>
      </c>
      <c r="I1694" s="82"/>
      <c r="J1694" s="114"/>
      <c r="BB1694" s="117"/>
      <c r="BC1694" s="117"/>
      <c r="BD1694" s="117"/>
    </row>
    <row r="1695" spans="1:56" ht="15">
      <c r="A1695" s="114"/>
      <c r="B1695" s="244" t="s">
        <v>640</v>
      </c>
      <c r="C1695" s="200">
        <v>1</v>
      </c>
      <c r="D1695" s="245">
        <v>0.3</v>
      </c>
      <c r="E1695" s="201">
        <v>0.75</v>
      </c>
      <c r="F1695" s="201">
        <v>1.375</v>
      </c>
      <c r="G1695" s="202">
        <f t="shared" si="48"/>
        <v>0.30937499999999996</v>
      </c>
      <c r="H1695" s="202">
        <f t="shared" si="49"/>
        <v>2.4750000000000001</v>
      </c>
      <c r="I1695" s="82"/>
      <c r="J1695" s="114"/>
      <c r="BB1695" s="117"/>
      <c r="BC1695" s="117"/>
      <c r="BD1695" s="117"/>
    </row>
    <row r="1696" spans="1:56" ht="15">
      <c r="A1696" s="114"/>
      <c r="B1696" s="244" t="s">
        <v>641</v>
      </c>
      <c r="C1696" s="200">
        <v>1</v>
      </c>
      <c r="D1696" s="245">
        <v>0.4</v>
      </c>
      <c r="E1696" s="201">
        <v>0.85</v>
      </c>
      <c r="F1696" s="201">
        <v>11.525</v>
      </c>
      <c r="G1696" s="202">
        <f t="shared" si="48"/>
        <v>3.9185000000000003</v>
      </c>
      <c r="H1696" s="202">
        <f t="shared" si="49"/>
        <v>24.202500000000001</v>
      </c>
      <c r="I1696" s="82"/>
      <c r="J1696" s="114"/>
      <c r="BB1696" s="117"/>
      <c r="BC1696" s="117"/>
      <c r="BD1696" s="117"/>
    </row>
    <row r="1697" spans="1:56" ht="15">
      <c r="A1697" s="114"/>
      <c r="B1697" s="244" t="s">
        <v>642</v>
      </c>
      <c r="C1697" s="200">
        <v>1</v>
      </c>
      <c r="D1697" s="245">
        <v>0.2</v>
      </c>
      <c r="E1697" s="201">
        <v>0.65</v>
      </c>
      <c r="F1697" s="201">
        <v>5.6</v>
      </c>
      <c r="G1697" s="202">
        <f t="shared" si="48"/>
        <v>0.72799999999999998</v>
      </c>
      <c r="H1697" s="202">
        <f t="shared" si="49"/>
        <v>8.3999999999999986</v>
      </c>
      <c r="I1697" s="82"/>
      <c r="J1697" s="114"/>
      <c r="BB1697" s="117"/>
      <c r="BC1697" s="117"/>
      <c r="BD1697" s="117"/>
    </row>
    <row r="1698" spans="1:56" ht="15">
      <c r="A1698" s="114"/>
      <c r="B1698" s="244" t="s">
        <v>643</v>
      </c>
      <c r="C1698" s="200">
        <v>1</v>
      </c>
      <c r="D1698" s="245">
        <v>0.2</v>
      </c>
      <c r="E1698" s="201">
        <v>0.65</v>
      </c>
      <c r="F1698" s="201">
        <v>1.6</v>
      </c>
      <c r="G1698" s="202">
        <f t="shared" si="48"/>
        <v>0.20800000000000002</v>
      </c>
      <c r="H1698" s="202">
        <f t="shared" si="49"/>
        <v>2.4000000000000004</v>
      </c>
      <c r="I1698" s="82"/>
      <c r="J1698" s="114"/>
      <c r="BB1698" s="117"/>
      <c r="BC1698" s="117"/>
      <c r="BD1698" s="117"/>
    </row>
    <row r="1699" spans="1:56" ht="15">
      <c r="A1699" s="114"/>
      <c r="B1699" s="244" t="s">
        <v>2232</v>
      </c>
      <c r="C1699" s="200">
        <v>1</v>
      </c>
      <c r="D1699" s="245">
        <v>0.2</v>
      </c>
      <c r="E1699" s="201">
        <v>0.82899999999999996</v>
      </c>
      <c r="F1699" s="201">
        <v>1.75</v>
      </c>
      <c r="G1699" s="202">
        <f t="shared" ref="G1699" si="76">D1699*E1699*F1699*C1699</f>
        <v>0.29015000000000002</v>
      </c>
      <c r="H1699" s="202">
        <f t="shared" ref="H1699" si="77">((E1699*2)+D1699)*F1699*C1699</f>
        <v>3.2514999999999996</v>
      </c>
      <c r="I1699" s="82"/>
      <c r="J1699" s="114"/>
      <c r="BB1699" s="117"/>
      <c r="BC1699" s="117"/>
      <c r="BD1699" s="117"/>
    </row>
    <row r="1700" spans="1:56" ht="15">
      <c r="A1700" s="114"/>
      <c r="B1700" s="244" t="s">
        <v>644</v>
      </c>
      <c r="C1700" s="200">
        <v>1</v>
      </c>
      <c r="D1700" s="245">
        <v>0.4</v>
      </c>
      <c r="E1700" s="201">
        <v>0.85</v>
      </c>
      <c r="F1700" s="201">
        <v>11.75</v>
      </c>
      <c r="G1700" s="202">
        <f t="shared" si="48"/>
        <v>3.9950000000000001</v>
      </c>
      <c r="H1700" s="202">
        <f t="shared" si="49"/>
        <v>24.675000000000001</v>
      </c>
      <c r="I1700" s="82"/>
      <c r="J1700" s="114"/>
      <c r="BB1700" s="117"/>
      <c r="BC1700" s="117"/>
      <c r="BD1700" s="117"/>
    </row>
    <row r="1701" spans="1:56" ht="15">
      <c r="A1701" s="114"/>
      <c r="B1701" s="244" t="s">
        <v>645</v>
      </c>
      <c r="C1701" s="200">
        <v>1</v>
      </c>
      <c r="D1701" s="245">
        <v>0.25</v>
      </c>
      <c r="E1701" s="201">
        <v>0.75</v>
      </c>
      <c r="F1701" s="201">
        <v>2</v>
      </c>
      <c r="G1701" s="202">
        <f t="shared" si="48"/>
        <v>0.375</v>
      </c>
      <c r="H1701" s="202">
        <f t="shared" si="49"/>
        <v>3.5</v>
      </c>
      <c r="I1701" s="82"/>
      <c r="J1701" s="114"/>
      <c r="BB1701" s="117"/>
      <c r="BC1701" s="117"/>
      <c r="BD1701" s="117"/>
    </row>
    <row r="1702" spans="1:56" ht="15">
      <c r="A1702" s="114"/>
      <c r="B1702" s="244" t="s">
        <v>646</v>
      </c>
      <c r="C1702" s="200">
        <v>1</v>
      </c>
      <c r="D1702" s="245">
        <v>0.3</v>
      </c>
      <c r="E1702" s="201">
        <v>0.75</v>
      </c>
      <c r="F1702" s="201">
        <v>2</v>
      </c>
      <c r="G1702" s="202">
        <f t="shared" si="48"/>
        <v>0.44999999999999996</v>
      </c>
      <c r="H1702" s="202">
        <f t="shared" si="49"/>
        <v>3.6</v>
      </c>
      <c r="I1702" s="82"/>
      <c r="J1702" s="114"/>
      <c r="BB1702" s="117"/>
      <c r="BC1702" s="117"/>
      <c r="BD1702" s="117"/>
    </row>
    <row r="1703" spans="1:56" ht="15">
      <c r="A1703" s="114"/>
      <c r="B1703" s="244" t="s">
        <v>1448</v>
      </c>
      <c r="C1703" s="200">
        <v>1</v>
      </c>
      <c r="D1703" s="245">
        <v>0.5</v>
      </c>
      <c r="E1703" s="201">
        <v>0.85</v>
      </c>
      <c r="F1703" s="201">
        <v>7.5250000000000004</v>
      </c>
      <c r="G1703" s="202">
        <f t="shared" ref="G1703" si="78">D1703*E1703*F1703*C1703</f>
        <v>3.1981250000000001</v>
      </c>
      <c r="H1703" s="202">
        <f t="shared" ref="H1703" si="79">((E1703*2)+D1703)*F1703*C1703</f>
        <v>16.555000000000003</v>
      </c>
      <c r="I1703" s="82"/>
      <c r="J1703" s="114"/>
      <c r="BB1703" s="117"/>
      <c r="BC1703" s="117"/>
      <c r="BD1703" s="117"/>
    </row>
    <row r="1704" spans="1:56" ht="15">
      <c r="A1704" s="114"/>
      <c r="B1704" s="244" t="s">
        <v>1449</v>
      </c>
      <c r="C1704" s="200">
        <v>1</v>
      </c>
      <c r="D1704" s="245">
        <v>0.2</v>
      </c>
      <c r="E1704" s="201">
        <v>0.4</v>
      </c>
      <c r="F1704" s="201">
        <v>2.15</v>
      </c>
      <c r="G1704" s="202">
        <f t="shared" ref="G1704" si="80">D1704*E1704*F1704*C1704</f>
        <v>0.17200000000000001</v>
      </c>
      <c r="H1704" s="202">
        <f t="shared" ref="H1704" si="81">((E1704*2)+D1704)*F1704*C1704</f>
        <v>2.15</v>
      </c>
      <c r="I1704" s="82"/>
      <c r="J1704" s="114"/>
      <c r="BB1704" s="117"/>
      <c r="BC1704" s="117"/>
      <c r="BD1704" s="117"/>
    </row>
    <row r="1705" spans="1:56" ht="15">
      <c r="A1705" s="114"/>
      <c r="B1705" s="114"/>
      <c r="C1705" s="114"/>
      <c r="D1705" s="114"/>
      <c r="E1705" s="114"/>
      <c r="F1705" s="254" t="s">
        <v>76</v>
      </c>
      <c r="G1705" s="258">
        <f>SUM(G1628:G1704)</f>
        <v>808.03910750000011</v>
      </c>
      <c r="H1705" s="258">
        <f>SUM(H1628:H1704)</f>
        <v>3387.2573250000005</v>
      </c>
      <c r="I1705" s="82"/>
      <c r="J1705" s="114"/>
      <c r="BB1705" s="117"/>
      <c r="BC1705" s="117"/>
      <c r="BD1705" s="117"/>
    </row>
    <row r="1706" spans="1:56" ht="15">
      <c r="A1706" s="114"/>
      <c r="B1706" s="114"/>
      <c r="C1706" s="114"/>
      <c r="D1706" s="114"/>
      <c r="E1706" s="114"/>
      <c r="F1706" s="114"/>
      <c r="G1706" s="114"/>
      <c r="H1706" s="114"/>
      <c r="I1706" s="82"/>
      <c r="J1706" s="114"/>
      <c r="BB1706" s="117"/>
      <c r="BC1706" s="117"/>
      <c r="BD1706" s="117"/>
    </row>
    <row r="1707" spans="1:56">
      <c r="A1707" s="114"/>
      <c r="B1707" s="242" t="s">
        <v>93</v>
      </c>
      <c r="C1707" s="199" t="s">
        <v>61</v>
      </c>
      <c r="D1707" s="199" t="s">
        <v>82</v>
      </c>
      <c r="E1707" s="199" t="s">
        <v>768</v>
      </c>
      <c r="F1707" s="243" t="s">
        <v>99</v>
      </c>
      <c r="G1707" s="243" t="s">
        <v>68</v>
      </c>
      <c r="H1707" s="115"/>
      <c r="I1707" s="82"/>
      <c r="J1707" s="114"/>
      <c r="BB1707" s="117"/>
      <c r="BC1707" s="117"/>
      <c r="BD1707" s="117"/>
    </row>
    <row r="1708" spans="1:56">
      <c r="A1708" s="114"/>
      <c r="B1708" s="244" t="s">
        <v>1510</v>
      </c>
      <c r="C1708" s="200">
        <v>1</v>
      </c>
      <c r="D1708" s="245">
        <v>0.12</v>
      </c>
      <c r="E1708" s="245">
        <f>15.189+2.156+2.59+4.93+6.247+10.257+5.833+2.399+11.3499</f>
        <v>60.950899999999997</v>
      </c>
      <c r="F1708" s="202">
        <f t="shared" ref="F1708" si="82">D1708*E1708</f>
        <v>7.3141079999999992</v>
      </c>
      <c r="G1708" s="202">
        <f t="shared" ref="G1708" si="83">E1708</f>
        <v>60.950899999999997</v>
      </c>
      <c r="H1708" s="115"/>
      <c r="I1708" s="82"/>
      <c r="J1708" s="114"/>
      <c r="BB1708" s="117"/>
      <c r="BC1708" s="117"/>
      <c r="BD1708" s="117"/>
    </row>
    <row r="1709" spans="1:56">
      <c r="A1709" s="114"/>
      <c r="B1709" s="244" t="s">
        <v>1514</v>
      </c>
      <c r="C1709" s="200">
        <v>1</v>
      </c>
      <c r="D1709" s="245">
        <v>0.42499999999999999</v>
      </c>
      <c r="E1709" s="245">
        <f>5.1167+8.8+1.62+1.665+0.66+1.0194+1.62+1.62</f>
        <v>22.121100000000002</v>
      </c>
      <c r="F1709" s="202">
        <f t="shared" ref="F1709" si="84">D1709*E1709</f>
        <v>9.4014675000000008</v>
      </c>
      <c r="G1709" s="202">
        <f t="shared" ref="G1709" si="85">E1709</f>
        <v>22.121100000000002</v>
      </c>
      <c r="H1709" s="115"/>
      <c r="I1709" s="82"/>
      <c r="J1709" s="114"/>
      <c r="BB1709" s="117"/>
      <c r="BC1709" s="117"/>
      <c r="BD1709" s="117"/>
    </row>
    <row r="1710" spans="1:56">
      <c r="A1710" s="114"/>
      <c r="B1710" s="114"/>
      <c r="C1710" s="114"/>
      <c r="D1710" s="114"/>
      <c r="E1710" s="254" t="s">
        <v>767</v>
      </c>
      <c r="F1710" s="258">
        <f>SUM(F1708:F1709)</f>
        <v>16.7155755</v>
      </c>
      <c r="G1710" s="258">
        <f>SUM(G1708:G1709)</f>
        <v>83.072000000000003</v>
      </c>
      <c r="H1710" s="115"/>
      <c r="I1710" s="82"/>
      <c r="J1710" s="114"/>
      <c r="BB1710" s="117"/>
      <c r="BC1710" s="117"/>
      <c r="BD1710" s="117"/>
    </row>
    <row r="1711" spans="1:56" s="259" customFormat="1" ht="15">
      <c r="A1711" s="114"/>
      <c r="B1711" s="293"/>
      <c r="C1711" s="81"/>
      <c r="D1711" s="81"/>
      <c r="E1711" s="81"/>
      <c r="F1711" s="349"/>
      <c r="G1711" s="81"/>
      <c r="H1711" s="82"/>
      <c r="I1711" s="82"/>
      <c r="J1711" s="114"/>
      <c r="K1711" s="114"/>
      <c r="L1711" s="114"/>
      <c r="M1711" s="114"/>
      <c r="N1711" s="114"/>
      <c r="O1711" s="114"/>
      <c r="P1711" s="114"/>
      <c r="Q1711" s="114"/>
      <c r="R1711" s="114"/>
      <c r="S1711" s="114"/>
      <c r="T1711" s="114"/>
      <c r="U1711" s="114"/>
      <c r="V1711" s="114"/>
      <c r="W1711" s="114"/>
      <c r="X1711" s="114"/>
      <c r="Y1711" s="114"/>
      <c r="Z1711" s="114"/>
      <c r="AA1711" s="114"/>
      <c r="AB1711" s="114"/>
      <c r="AC1711" s="114"/>
      <c r="AD1711" s="114"/>
      <c r="AE1711" s="114"/>
      <c r="AF1711" s="114"/>
      <c r="AG1711" s="114"/>
      <c r="AH1711" s="114"/>
      <c r="AI1711" s="114"/>
      <c r="AJ1711" s="114"/>
      <c r="AK1711" s="114"/>
      <c r="AL1711" s="114"/>
      <c r="AM1711" s="114"/>
      <c r="AN1711" s="114"/>
      <c r="AO1711" s="114"/>
      <c r="AP1711" s="114"/>
      <c r="AQ1711" s="114"/>
      <c r="AR1711" s="114"/>
      <c r="AS1711" s="114"/>
      <c r="AT1711" s="114"/>
      <c r="AU1711" s="114"/>
      <c r="AV1711" s="114"/>
      <c r="AW1711" s="114"/>
      <c r="AX1711" s="114"/>
      <c r="AY1711" s="114"/>
      <c r="AZ1711" s="114"/>
      <c r="BA1711" s="114"/>
    </row>
    <row r="1712" spans="1:56">
      <c r="A1712" s="114"/>
      <c r="B1712" s="242" t="s">
        <v>1512</v>
      </c>
      <c r="C1712" s="199" t="s">
        <v>61</v>
      </c>
      <c r="D1712" s="199" t="s">
        <v>768</v>
      </c>
      <c r="E1712" s="199" t="s">
        <v>769</v>
      </c>
      <c r="F1712" s="199" t="s">
        <v>1511</v>
      </c>
      <c r="G1712" s="243" t="s">
        <v>63</v>
      </c>
      <c r="H1712" s="243" t="s">
        <v>1674</v>
      </c>
      <c r="I1712" s="243" t="s">
        <v>1513</v>
      </c>
      <c r="J1712" s="115"/>
      <c r="K1712" s="115"/>
      <c r="L1712" s="82"/>
    </row>
    <row r="1713" spans="1:56">
      <c r="A1713" s="114"/>
      <c r="B1713" s="244" t="s">
        <v>770</v>
      </c>
      <c r="C1713" s="200">
        <v>1</v>
      </c>
      <c r="D1713" s="245">
        <f>49.97+50.28+50.82+50.82+50.82+49.8+50.82+50.82+37.45+18.72+12.15+104.34+104.34+38.09+38.09+104.34+104.34+38.09+34.98+104.34+104.34+38.09+38.09+104.34+112.17+101.637+40.31+42.65+134.5375+101.5942+134.54+134.54+106.3375+143.2843+143.2843+143.9375+143.9375+143.9375+143.9375+141.18+47.6+72.03+51.44+51.44+51.99+51.99+51.99+51.99+50.998+50.998-1.62-1.62</f>
        <v>3869.3207999999991</v>
      </c>
      <c r="E1713" s="245">
        <v>0.81</v>
      </c>
      <c r="F1713" s="245">
        <v>0.223</v>
      </c>
      <c r="G1713" s="350">
        <f>F1713*D1713</f>
        <v>862.85853839999982</v>
      </c>
      <c r="H1713" s="350">
        <f>D1713</f>
        <v>3869.3207999999991</v>
      </c>
      <c r="I1713" s="350">
        <f>D1713/E1713</f>
        <v>4776.9392592592576</v>
      </c>
      <c r="J1713" s="115"/>
      <c r="K1713" s="115"/>
      <c r="L1713" s="82"/>
    </row>
    <row r="1714" spans="1:56">
      <c r="A1714" s="114"/>
      <c r="B1714" s="114"/>
      <c r="C1714" s="114"/>
      <c r="D1714"/>
      <c r="E1714" s="114"/>
      <c r="F1714" s="254" t="s">
        <v>767</v>
      </c>
      <c r="G1714" s="650">
        <f>G1713</f>
        <v>862.85853839999982</v>
      </c>
      <c r="H1714" s="650">
        <f>H1713</f>
        <v>3869.3207999999991</v>
      </c>
      <c r="I1714" s="650">
        <f>I1713</f>
        <v>4776.9392592592576</v>
      </c>
      <c r="J1714" s="115"/>
      <c r="K1714" s="82"/>
      <c r="BD1714" s="117"/>
    </row>
    <row r="1715" spans="1:56" s="259" customFormat="1" ht="15">
      <c r="A1715" s="114"/>
      <c r="B1715" s="293"/>
      <c r="C1715" s="81"/>
      <c r="D1715" s="81"/>
      <c r="E1715" s="81"/>
      <c r="F1715" s="349"/>
      <c r="G1715" s="81"/>
      <c r="H1715" s="82"/>
      <c r="I1715" s="82"/>
      <c r="J1715" s="114"/>
      <c r="K1715" s="114"/>
      <c r="L1715" s="114"/>
      <c r="M1715" s="114"/>
      <c r="N1715" s="114"/>
      <c r="O1715" s="114"/>
      <c r="P1715" s="114"/>
      <c r="Q1715" s="114"/>
      <c r="R1715" s="114"/>
      <c r="S1715" s="114"/>
      <c r="T1715" s="114"/>
      <c r="U1715" s="114"/>
      <c r="V1715" s="114"/>
      <c r="W1715" s="114"/>
      <c r="X1715" s="114"/>
      <c r="Y1715" s="114"/>
      <c r="Z1715" s="114"/>
      <c r="AA1715" s="114"/>
      <c r="AB1715" s="114"/>
      <c r="AC1715" s="114"/>
      <c r="AD1715" s="114"/>
      <c r="AE1715" s="114"/>
      <c r="AF1715" s="114"/>
      <c r="AG1715" s="114"/>
      <c r="AH1715" s="114"/>
      <c r="AI1715" s="114"/>
      <c r="AJ1715" s="114"/>
      <c r="AK1715" s="114"/>
      <c r="AL1715" s="114"/>
      <c r="AM1715" s="114"/>
      <c r="AN1715" s="114"/>
      <c r="AO1715" s="114"/>
      <c r="AP1715" s="114"/>
      <c r="AQ1715" s="114"/>
      <c r="AR1715" s="114"/>
      <c r="AS1715" s="114"/>
      <c r="AT1715" s="114"/>
      <c r="AU1715" s="114"/>
      <c r="AV1715" s="114"/>
      <c r="AW1715" s="114"/>
      <c r="AX1715" s="114"/>
      <c r="AY1715" s="114"/>
      <c r="AZ1715" s="114"/>
      <c r="BA1715" s="114"/>
    </row>
    <row r="1716" spans="1:56" s="114" customFormat="1" ht="15">
      <c r="C1716" s="81"/>
      <c r="D1716" s="81"/>
      <c r="E1716" s="81"/>
      <c r="F1716" s="81"/>
      <c r="G1716" s="81"/>
      <c r="H1716" s="82"/>
      <c r="I1716" s="82"/>
    </row>
    <row r="1717" spans="1:56" s="266" customFormat="1" ht="15">
      <c r="A1717" s="114"/>
      <c r="B1717" s="622" t="s">
        <v>2312</v>
      </c>
      <c r="C1717" s="623"/>
      <c r="D1717" s="623"/>
      <c r="E1717" s="623"/>
      <c r="F1717" s="626"/>
      <c r="G1717" s="623"/>
      <c r="H1717" s="624"/>
      <c r="I1717" s="624"/>
      <c r="J1717" s="625"/>
      <c r="K1717" s="114"/>
      <c r="L1717" s="114"/>
      <c r="M1717" s="114"/>
      <c r="N1717" s="114"/>
      <c r="O1717" s="114"/>
      <c r="P1717" s="114"/>
      <c r="Q1717" s="114"/>
      <c r="R1717" s="114"/>
      <c r="S1717" s="114"/>
      <c r="T1717" s="114"/>
      <c r="U1717" s="114"/>
      <c r="V1717" s="114"/>
      <c r="W1717" s="114"/>
      <c r="X1717" s="114"/>
      <c r="Y1717" s="114"/>
      <c r="Z1717" s="114"/>
      <c r="AA1717" s="114"/>
      <c r="AB1717" s="114"/>
      <c r="AC1717" s="114"/>
      <c r="AD1717" s="114"/>
      <c r="AE1717" s="114"/>
      <c r="AF1717" s="114"/>
      <c r="AG1717" s="114"/>
      <c r="AH1717" s="114"/>
      <c r="AI1717" s="114"/>
      <c r="AJ1717" s="114"/>
      <c r="AK1717" s="114"/>
      <c r="AL1717" s="114"/>
      <c r="AM1717" s="114"/>
      <c r="AN1717" s="114"/>
      <c r="AO1717" s="114"/>
      <c r="AP1717" s="114"/>
      <c r="AQ1717" s="114"/>
      <c r="AR1717" s="114"/>
      <c r="AS1717" s="114"/>
      <c r="AT1717" s="114"/>
      <c r="AU1717" s="114"/>
      <c r="AV1717" s="114"/>
      <c r="AW1717" s="114"/>
      <c r="AX1717" s="114"/>
      <c r="AY1717" s="114"/>
      <c r="AZ1717" s="114"/>
      <c r="BA1717" s="114"/>
    </row>
    <row r="1718" spans="1:56" s="114" customFormat="1" ht="15">
      <c r="C1718" s="81"/>
      <c r="D1718" s="81"/>
      <c r="E1718" s="81"/>
      <c r="F1718" s="81"/>
      <c r="G1718" s="81"/>
      <c r="H1718" s="82"/>
      <c r="I1718" s="82"/>
    </row>
    <row r="1719" spans="1:56" ht="15">
      <c r="A1719" s="114"/>
      <c r="B1719" s="242" t="s">
        <v>97</v>
      </c>
      <c r="C1719" s="199" t="s">
        <v>61</v>
      </c>
      <c r="D1719" s="199" t="s">
        <v>82</v>
      </c>
      <c r="E1719" s="199" t="s">
        <v>66</v>
      </c>
      <c r="F1719" s="199" t="s">
        <v>62</v>
      </c>
      <c r="G1719" s="243" t="s">
        <v>99</v>
      </c>
      <c r="H1719" s="243" t="s">
        <v>68</v>
      </c>
      <c r="I1719" s="82"/>
      <c r="J1719" s="114"/>
      <c r="BB1719" s="117"/>
      <c r="BC1719" s="117"/>
      <c r="BD1719" s="117"/>
    </row>
    <row r="1720" spans="1:56" ht="15">
      <c r="A1720" s="114"/>
      <c r="B1720" s="244" t="s">
        <v>698</v>
      </c>
      <c r="C1720" s="200">
        <v>1</v>
      </c>
      <c r="D1720" s="245">
        <v>0.75</v>
      </c>
      <c r="E1720" s="201">
        <v>0.98</v>
      </c>
      <c r="F1720" s="201">
        <v>23.5</v>
      </c>
      <c r="G1720" s="202">
        <f t="shared" ref="G1720:G1740" si="86">D1720*E1720*F1720*C1720</f>
        <v>17.272500000000001</v>
      </c>
      <c r="H1720" s="202">
        <f t="shared" ref="H1720:H1740" si="87">((E1720*2)+D1720)*F1720*C1720</f>
        <v>63.685000000000002</v>
      </c>
      <c r="I1720" s="82"/>
      <c r="J1720" s="114"/>
      <c r="BB1720" s="117"/>
      <c r="BC1720" s="117"/>
      <c r="BD1720" s="117"/>
    </row>
    <row r="1721" spans="1:56" ht="15">
      <c r="A1721" s="114"/>
      <c r="B1721" s="244" t="s">
        <v>699</v>
      </c>
      <c r="C1721" s="200">
        <v>1</v>
      </c>
      <c r="D1721" s="245">
        <v>0.75</v>
      </c>
      <c r="E1721" s="201">
        <v>0.98</v>
      </c>
      <c r="F1721" s="201">
        <v>35.25</v>
      </c>
      <c r="G1721" s="202">
        <f t="shared" si="86"/>
        <v>25.908750000000001</v>
      </c>
      <c r="H1721" s="202">
        <f t="shared" si="87"/>
        <v>95.527500000000003</v>
      </c>
      <c r="I1721" s="82"/>
      <c r="J1721" s="114"/>
      <c r="BB1721" s="117"/>
      <c r="BC1721" s="117"/>
      <c r="BD1721" s="117"/>
    </row>
    <row r="1722" spans="1:56" ht="15">
      <c r="A1722" s="114"/>
      <c r="B1722" s="244" t="s">
        <v>700</v>
      </c>
      <c r="C1722" s="200">
        <v>1</v>
      </c>
      <c r="D1722" s="245">
        <v>0.75</v>
      </c>
      <c r="E1722" s="201">
        <v>0.98</v>
      </c>
      <c r="F1722" s="201">
        <v>35.25</v>
      </c>
      <c r="G1722" s="202">
        <f t="shared" si="86"/>
        <v>25.908750000000001</v>
      </c>
      <c r="H1722" s="202">
        <f t="shared" si="87"/>
        <v>95.527500000000003</v>
      </c>
      <c r="I1722" s="82"/>
      <c r="J1722" s="114"/>
      <c r="BB1722" s="117"/>
      <c r="BC1722" s="117"/>
      <c r="BD1722" s="117"/>
    </row>
    <row r="1723" spans="1:56" ht="15">
      <c r="A1723" s="114"/>
      <c r="B1723" s="244" t="s">
        <v>701</v>
      </c>
      <c r="C1723" s="200">
        <v>1</v>
      </c>
      <c r="D1723" s="245">
        <v>0.75</v>
      </c>
      <c r="E1723" s="201">
        <v>0.98</v>
      </c>
      <c r="F1723" s="201">
        <v>23.5</v>
      </c>
      <c r="G1723" s="202">
        <f t="shared" si="86"/>
        <v>17.272500000000001</v>
      </c>
      <c r="H1723" s="202">
        <f t="shared" si="87"/>
        <v>63.685000000000002</v>
      </c>
      <c r="I1723" s="82"/>
      <c r="J1723" s="114"/>
      <c r="BB1723" s="117"/>
      <c r="BC1723" s="117"/>
      <c r="BD1723" s="117"/>
    </row>
    <row r="1724" spans="1:56" ht="15">
      <c r="A1724" s="114"/>
      <c r="B1724" s="244" t="s">
        <v>702</v>
      </c>
      <c r="C1724" s="200">
        <v>1</v>
      </c>
      <c r="D1724" s="245">
        <v>0.75</v>
      </c>
      <c r="E1724" s="201">
        <v>0.98</v>
      </c>
      <c r="F1724" s="201">
        <v>35.25</v>
      </c>
      <c r="G1724" s="202">
        <f t="shared" si="86"/>
        <v>25.908750000000001</v>
      </c>
      <c r="H1724" s="202">
        <f t="shared" si="87"/>
        <v>95.527500000000003</v>
      </c>
      <c r="I1724" s="82"/>
      <c r="J1724" s="114"/>
      <c r="BB1724" s="117"/>
      <c r="BC1724" s="117"/>
      <c r="BD1724" s="117"/>
    </row>
    <row r="1725" spans="1:56" ht="15">
      <c r="A1725" s="114"/>
      <c r="B1725" s="244" t="s">
        <v>703</v>
      </c>
      <c r="C1725" s="200">
        <v>1</v>
      </c>
      <c r="D1725" s="245">
        <v>0.75</v>
      </c>
      <c r="E1725" s="201">
        <v>0.98</v>
      </c>
      <c r="F1725" s="201">
        <v>35.25</v>
      </c>
      <c r="G1725" s="202">
        <f t="shared" si="86"/>
        <v>25.908750000000001</v>
      </c>
      <c r="H1725" s="202">
        <f t="shared" si="87"/>
        <v>95.527500000000003</v>
      </c>
      <c r="I1725" s="82"/>
      <c r="J1725" s="114"/>
      <c r="BB1725" s="117"/>
      <c r="BC1725" s="117"/>
      <c r="BD1725" s="117"/>
    </row>
    <row r="1726" spans="1:56" ht="15">
      <c r="A1726" s="114"/>
      <c r="B1726" s="244" t="s">
        <v>704</v>
      </c>
      <c r="C1726" s="200">
        <v>1</v>
      </c>
      <c r="D1726" s="245">
        <v>0.25</v>
      </c>
      <c r="E1726" s="201">
        <v>0.65</v>
      </c>
      <c r="F1726" s="201">
        <v>4.4000000000000004</v>
      </c>
      <c r="G1726" s="202">
        <f t="shared" si="86"/>
        <v>0.71500000000000008</v>
      </c>
      <c r="H1726" s="202">
        <f t="shared" si="87"/>
        <v>6.8200000000000012</v>
      </c>
      <c r="I1726" s="82"/>
      <c r="J1726" s="114"/>
      <c r="BB1726" s="117"/>
      <c r="BC1726" s="117"/>
      <c r="BD1726" s="117"/>
    </row>
    <row r="1727" spans="1:56" ht="15">
      <c r="A1727" s="114"/>
      <c r="B1727" s="244" t="s">
        <v>705</v>
      </c>
      <c r="C1727" s="200">
        <v>1</v>
      </c>
      <c r="D1727" s="245">
        <v>0.2</v>
      </c>
      <c r="E1727" s="201">
        <v>0.4</v>
      </c>
      <c r="F1727" s="201">
        <v>2.15</v>
      </c>
      <c r="G1727" s="202">
        <f t="shared" si="86"/>
        <v>0.17200000000000001</v>
      </c>
      <c r="H1727" s="202">
        <f t="shared" si="87"/>
        <v>2.15</v>
      </c>
      <c r="I1727" s="82"/>
      <c r="J1727" s="114"/>
      <c r="BB1727" s="117"/>
      <c r="BC1727" s="117"/>
      <c r="BD1727" s="117"/>
    </row>
    <row r="1728" spans="1:56" ht="15">
      <c r="A1728" s="114"/>
      <c r="B1728" s="244" t="s">
        <v>706</v>
      </c>
      <c r="C1728" s="200">
        <v>1</v>
      </c>
      <c r="D1728" s="245">
        <v>0.85</v>
      </c>
      <c r="E1728" s="201">
        <v>0.45</v>
      </c>
      <c r="F1728" s="201">
        <v>8.4</v>
      </c>
      <c r="G1728" s="202">
        <f t="shared" si="86"/>
        <v>3.2130000000000001</v>
      </c>
      <c r="H1728" s="202">
        <f t="shared" si="87"/>
        <v>14.700000000000001</v>
      </c>
      <c r="I1728" s="82"/>
      <c r="J1728" s="114"/>
      <c r="BB1728" s="117"/>
      <c r="BC1728" s="117"/>
      <c r="BD1728" s="117"/>
    </row>
    <row r="1729" spans="1:56" ht="15">
      <c r="A1729" s="114"/>
      <c r="B1729" s="244" t="s">
        <v>707</v>
      </c>
      <c r="C1729" s="200">
        <v>1</v>
      </c>
      <c r="D1729" s="245">
        <v>0.85</v>
      </c>
      <c r="E1729" s="201">
        <v>0.45</v>
      </c>
      <c r="F1729" s="201">
        <v>13.15</v>
      </c>
      <c r="G1729" s="202">
        <f t="shared" si="86"/>
        <v>5.0298750000000005</v>
      </c>
      <c r="H1729" s="202">
        <f t="shared" si="87"/>
        <v>23.012499999999999</v>
      </c>
      <c r="I1729" s="82"/>
      <c r="J1729" s="114"/>
      <c r="BB1729" s="117"/>
      <c r="BC1729" s="117"/>
      <c r="BD1729" s="117"/>
    </row>
    <row r="1730" spans="1:56" ht="15">
      <c r="A1730" s="114"/>
      <c r="B1730" s="244" t="s">
        <v>708</v>
      </c>
      <c r="C1730" s="200">
        <v>1</v>
      </c>
      <c r="D1730" s="245">
        <v>0.7</v>
      </c>
      <c r="E1730" s="201">
        <v>0.45</v>
      </c>
      <c r="F1730" s="201">
        <v>13.15</v>
      </c>
      <c r="G1730" s="202">
        <f t="shared" si="86"/>
        <v>4.1422499999999998</v>
      </c>
      <c r="H1730" s="202">
        <f t="shared" si="87"/>
        <v>21.040000000000003</v>
      </c>
      <c r="I1730" s="82"/>
      <c r="J1730" s="114"/>
      <c r="BB1730" s="117"/>
      <c r="BC1730" s="117"/>
      <c r="BD1730" s="117"/>
    </row>
    <row r="1731" spans="1:56" ht="15">
      <c r="A1731" s="114"/>
      <c r="B1731" s="244" t="s">
        <v>709</v>
      </c>
      <c r="C1731" s="200">
        <v>1</v>
      </c>
      <c r="D1731" s="245">
        <v>0.7</v>
      </c>
      <c r="E1731" s="201">
        <v>0.45</v>
      </c>
      <c r="F1731" s="201">
        <v>13.15</v>
      </c>
      <c r="G1731" s="202">
        <f t="shared" si="86"/>
        <v>4.1422499999999998</v>
      </c>
      <c r="H1731" s="202">
        <f t="shared" si="87"/>
        <v>21.040000000000003</v>
      </c>
      <c r="I1731" s="82"/>
      <c r="J1731" s="114"/>
      <c r="BB1731" s="117"/>
      <c r="BC1731" s="117"/>
      <c r="BD1731" s="117"/>
    </row>
    <row r="1732" spans="1:56" ht="15">
      <c r="A1732" s="114"/>
      <c r="B1732" s="244" t="s">
        <v>710</v>
      </c>
      <c r="C1732" s="200">
        <v>1</v>
      </c>
      <c r="D1732" s="245">
        <v>0.85</v>
      </c>
      <c r="E1732" s="201">
        <v>0.45</v>
      </c>
      <c r="F1732" s="201">
        <v>13.15</v>
      </c>
      <c r="G1732" s="202">
        <f t="shared" si="86"/>
        <v>5.0298750000000005</v>
      </c>
      <c r="H1732" s="202">
        <f t="shared" si="87"/>
        <v>23.012499999999999</v>
      </c>
      <c r="I1732" s="82"/>
      <c r="J1732" s="114"/>
      <c r="BB1732" s="117"/>
      <c r="BC1732" s="117"/>
      <c r="BD1732" s="117"/>
    </row>
    <row r="1733" spans="1:56" ht="15">
      <c r="A1733" s="114"/>
      <c r="B1733" s="244" t="s">
        <v>711</v>
      </c>
      <c r="C1733" s="200">
        <v>1</v>
      </c>
      <c r="D1733" s="245">
        <v>0.85</v>
      </c>
      <c r="E1733" s="201">
        <v>0.45</v>
      </c>
      <c r="F1733" s="201">
        <v>13.15</v>
      </c>
      <c r="G1733" s="202">
        <f t="shared" si="86"/>
        <v>5.0298750000000005</v>
      </c>
      <c r="H1733" s="202">
        <f t="shared" si="87"/>
        <v>23.012499999999999</v>
      </c>
      <c r="I1733" s="82"/>
      <c r="J1733" s="114"/>
      <c r="BB1733" s="117"/>
      <c r="BC1733" s="117"/>
      <c r="BD1733" s="117"/>
    </row>
    <row r="1734" spans="1:56" ht="15">
      <c r="A1734" s="114"/>
      <c r="B1734" s="244" t="s">
        <v>712</v>
      </c>
      <c r="C1734" s="200">
        <v>1</v>
      </c>
      <c r="D1734" s="245">
        <v>0.7</v>
      </c>
      <c r="E1734" s="201">
        <v>0.45</v>
      </c>
      <c r="F1734" s="201">
        <v>13.15</v>
      </c>
      <c r="G1734" s="202">
        <f t="shared" si="86"/>
        <v>4.1422499999999998</v>
      </c>
      <c r="H1734" s="202">
        <f t="shared" si="87"/>
        <v>21.040000000000003</v>
      </c>
      <c r="I1734" s="82"/>
      <c r="J1734" s="114"/>
      <c r="BB1734" s="117"/>
      <c r="BC1734" s="117"/>
      <c r="BD1734" s="117"/>
    </row>
    <row r="1735" spans="1:56" ht="15">
      <c r="A1735" s="114"/>
      <c r="B1735" s="244" t="s">
        <v>713</v>
      </c>
      <c r="C1735" s="200">
        <v>1</v>
      </c>
      <c r="D1735" s="245">
        <v>0.7</v>
      </c>
      <c r="E1735" s="201">
        <v>0.45</v>
      </c>
      <c r="F1735" s="201">
        <v>13.15</v>
      </c>
      <c r="G1735" s="202">
        <f t="shared" si="86"/>
        <v>4.1422499999999998</v>
      </c>
      <c r="H1735" s="202">
        <f t="shared" si="87"/>
        <v>21.040000000000003</v>
      </c>
      <c r="I1735" s="82"/>
      <c r="J1735" s="114"/>
      <c r="BB1735" s="117"/>
      <c r="BC1735" s="117"/>
      <c r="BD1735" s="117"/>
    </row>
    <row r="1736" spans="1:56" ht="15">
      <c r="A1736" s="114"/>
      <c r="B1736" s="244" t="s">
        <v>714</v>
      </c>
      <c r="C1736" s="200">
        <v>1</v>
      </c>
      <c r="D1736" s="245">
        <v>0.85</v>
      </c>
      <c r="E1736" s="201">
        <v>0.45</v>
      </c>
      <c r="F1736" s="201">
        <v>13.15</v>
      </c>
      <c r="G1736" s="202">
        <f t="shared" si="86"/>
        <v>5.0298750000000005</v>
      </c>
      <c r="H1736" s="202">
        <f t="shared" si="87"/>
        <v>23.012499999999999</v>
      </c>
      <c r="I1736" s="82"/>
      <c r="J1736" s="114"/>
      <c r="BB1736" s="117"/>
      <c r="BC1736" s="117"/>
      <c r="BD1736" s="117"/>
    </row>
    <row r="1737" spans="1:56" ht="15">
      <c r="A1737" s="114"/>
      <c r="B1737" s="244" t="s">
        <v>715</v>
      </c>
      <c r="C1737" s="200">
        <v>1</v>
      </c>
      <c r="D1737" s="245">
        <v>0.85</v>
      </c>
      <c r="E1737" s="201">
        <v>0.45</v>
      </c>
      <c r="F1737" s="201">
        <v>11.45</v>
      </c>
      <c r="G1737" s="202">
        <f t="shared" si="86"/>
        <v>4.3796249999999999</v>
      </c>
      <c r="H1737" s="202">
        <f t="shared" si="87"/>
        <v>20.037499999999998</v>
      </c>
      <c r="I1737" s="82"/>
      <c r="J1737" s="114"/>
      <c r="BB1737" s="117"/>
      <c r="BC1737" s="117"/>
      <c r="BD1737" s="117"/>
    </row>
    <row r="1738" spans="1:56" ht="15">
      <c r="A1738" s="114"/>
      <c r="B1738" s="244" t="s">
        <v>2233</v>
      </c>
      <c r="C1738" s="200">
        <v>2</v>
      </c>
      <c r="D1738" s="245">
        <v>0.2</v>
      </c>
      <c r="E1738" s="201">
        <v>0.6</v>
      </c>
      <c r="F1738" s="201">
        <v>5.57</v>
      </c>
      <c r="G1738" s="202">
        <f t="shared" si="86"/>
        <v>1.3368</v>
      </c>
      <c r="H1738" s="202">
        <f t="shared" si="87"/>
        <v>15.596</v>
      </c>
      <c r="I1738" s="82"/>
      <c r="J1738" s="114"/>
      <c r="BB1738" s="117"/>
      <c r="BC1738" s="117"/>
      <c r="BD1738" s="117"/>
    </row>
    <row r="1739" spans="1:56" ht="15">
      <c r="A1739" s="114"/>
      <c r="B1739" s="244" t="s">
        <v>1024</v>
      </c>
      <c r="C1739" s="200">
        <v>1</v>
      </c>
      <c r="D1739" s="245">
        <v>0.2</v>
      </c>
      <c r="E1739" s="201">
        <v>0.35</v>
      </c>
      <c r="F1739" s="201">
        <v>5.57</v>
      </c>
      <c r="G1739" s="202">
        <f t="shared" ref="G1739" si="88">D1739*E1739*F1739*C1739</f>
        <v>0.38989999999999997</v>
      </c>
      <c r="H1739" s="202">
        <f t="shared" ref="H1739" si="89">((E1739*2)+D1739)*F1739*C1739</f>
        <v>5.0129999999999999</v>
      </c>
      <c r="I1739" s="82"/>
      <c r="J1739" s="114"/>
      <c r="BB1739" s="117"/>
      <c r="BC1739" s="117"/>
      <c r="BD1739" s="117"/>
    </row>
    <row r="1740" spans="1:56" ht="15">
      <c r="A1740" s="114"/>
      <c r="B1740" s="244" t="s">
        <v>716</v>
      </c>
      <c r="C1740" s="200">
        <v>1</v>
      </c>
      <c r="D1740" s="245">
        <v>0.7</v>
      </c>
      <c r="E1740" s="201">
        <v>0.45</v>
      </c>
      <c r="F1740" s="201">
        <v>13.15</v>
      </c>
      <c r="G1740" s="202">
        <f t="shared" si="86"/>
        <v>4.1422499999999998</v>
      </c>
      <c r="H1740" s="202">
        <f t="shared" si="87"/>
        <v>21.040000000000003</v>
      </c>
      <c r="I1740" s="82"/>
      <c r="J1740" s="114"/>
      <c r="BB1740" s="117"/>
      <c r="BC1740" s="117"/>
      <c r="BD1740" s="117"/>
    </row>
    <row r="1741" spans="1:56" ht="15">
      <c r="A1741" s="114"/>
      <c r="B1741" s="114"/>
      <c r="C1741" s="114"/>
      <c r="D1741" s="114"/>
      <c r="E1741" s="114"/>
      <c r="F1741" s="254" t="s">
        <v>76</v>
      </c>
      <c r="G1741" s="258">
        <f>SUM(G1720:G1740)</f>
        <v>189.21707499999999</v>
      </c>
      <c r="H1741" s="258">
        <f>SUM(H1720:H1740)</f>
        <v>771.04650000000015</v>
      </c>
      <c r="I1741" s="82"/>
      <c r="J1741" s="114"/>
      <c r="BB1741" s="117"/>
      <c r="BC1741" s="117"/>
      <c r="BD1741" s="117"/>
    </row>
    <row r="1742" spans="1:56" ht="15">
      <c r="A1742" s="114"/>
      <c r="B1742" s="114"/>
      <c r="C1742" s="114"/>
      <c r="D1742" s="114"/>
      <c r="E1742" s="114"/>
      <c r="F1742" s="114"/>
      <c r="G1742" s="114"/>
      <c r="H1742" s="114"/>
      <c r="I1742" s="82"/>
      <c r="J1742" s="114"/>
      <c r="BB1742" s="117"/>
      <c r="BC1742" s="117"/>
      <c r="BD1742" s="117"/>
    </row>
    <row r="1743" spans="1:56">
      <c r="A1743" s="114"/>
      <c r="B1743" s="242" t="s">
        <v>1536</v>
      </c>
      <c r="C1743" s="199" t="s">
        <v>61</v>
      </c>
      <c r="D1743" s="199" t="s">
        <v>155</v>
      </c>
      <c r="E1743" s="199" t="s">
        <v>82</v>
      </c>
      <c r="F1743" s="199" t="s">
        <v>62</v>
      </c>
      <c r="G1743" s="243" t="s">
        <v>99</v>
      </c>
      <c r="H1743" s="243" t="s">
        <v>68</v>
      </c>
      <c r="I1743" s="115"/>
      <c r="J1743" s="82"/>
      <c r="BC1743" s="117"/>
      <c r="BD1743" s="117"/>
    </row>
    <row r="1744" spans="1:56">
      <c r="A1744" s="114"/>
      <c r="B1744" s="244" t="s">
        <v>1534</v>
      </c>
      <c r="C1744" s="200">
        <v>1</v>
      </c>
      <c r="D1744" s="245">
        <v>0.25</v>
      </c>
      <c r="E1744" s="245">
        <v>0.45</v>
      </c>
      <c r="F1744" s="245">
        <f>3.22+34.6+3.675+8.4+8.4+11.45+11.45+68.7+7.7+13.05+11.36+145.6+11.365+18.85+11.75+145.6+11.65+18.85+11.365+97.2+37.7+7.65+13.05+11.365+145.6+11.365+18.85+11.365+145.6+11.365+18.85+11.365+98.55+35.8+5.64+10.15</f>
        <v>1248.5000000000002</v>
      </c>
      <c r="G1744" s="202">
        <f t="shared" ref="G1744:G1745" si="90">D1744*E1744*F1744*C1744</f>
        <v>140.45625000000004</v>
      </c>
      <c r="H1744" s="202">
        <f t="shared" ref="H1744:H1745" si="91">((E1744*2)+D1744)*F1744*C1744</f>
        <v>1435.7750000000001</v>
      </c>
      <c r="I1744" s="115"/>
      <c r="J1744" s="82"/>
      <c r="BC1744" s="117"/>
      <c r="BD1744" s="117"/>
    </row>
    <row r="1745" spans="1:56">
      <c r="A1745" s="114"/>
      <c r="B1745" s="244" t="s">
        <v>1535</v>
      </c>
      <c r="C1745" s="200">
        <v>1</v>
      </c>
      <c r="D1745" s="245">
        <v>0.4</v>
      </c>
      <c r="E1745" s="245">
        <v>0.45</v>
      </c>
      <c r="F1745" s="245">
        <f>58.5+31.95+1.4+2.75+3.265+16.5+22.73+11.365</f>
        <v>148.46</v>
      </c>
      <c r="G1745" s="202">
        <f t="shared" si="90"/>
        <v>26.722800000000003</v>
      </c>
      <c r="H1745" s="202">
        <f t="shared" si="91"/>
        <v>192.99800000000002</v>
      </c>
      <c r="I1745" s="115"/>
      <c r="J1745" s="82"/>
      <c r="BC1745" s="117"/>
      <c r="BD1745" s="117"/>
    </row>
    <row r="1746" spans="1:56" ht="15">
      <c r="A1746" s="114"/>
      <c r="B1746" s="114"/>
      <c r="C1746" s="114"/>
      <c r="D1746" s="114"/>
      <c r="E1746" s="117"/>
      <c r="F1746" s="254" t="s">
        <v>767</v>
      </c>
      <c r="G1746" s="258">
        <f>SUM(G1744:G1745)</f>
        <v>167.17905000000005</v>
      </c>
      <c r="H1746" s="258">
        <f>SUM(H1744:H1745)</f>
        <v>1628.7730000000001</v>
      </c>
      <c r="I1746" s="82"/>
      <c r="J1746" s="114"/>
      <c r="BB1746" s="117"/>
      <c r="BC1746" s="117"/>
      <c r="BD1746" s="117"/>
    </row>
    <row r="1747" spans="1:56" ht="15">
      <c r="A1747" s="114"/>
      <c r="B1747" s="114"/>
      <c r="C1747" s="114"/>
      <c r="D1747" s="114"/>
      <c r="E1747" s="114"/>
      <c r="F1747" s="114"/>
      <c r="G1747" s="114"/>
      <c r="H1747" s="114"/>
      <c r="I1747" s="82"/>
      <c r="J1747" s="114"/>
      <c r="BB1747" s="117"/>
      <c r="BC1747" s="117"/>
      <c r="BD1747" s="117"/>
    </row>
    <row r="1748" spans="1:56">
      <c r="A1748" s="114"/>
      <c r="B1748" s="242" t="s">
        <v>93</v>
      </c>
      <c r="C1748" s="199" t="s">
        <v>61</v>
      </c>
      <c r="D1748" s="199" t="s">
        <v>82</v>
      </c>
      <c r="E1748" s="199" t="s">
        <v>768</v>
      </c>
      <c r="F1748" s="243" t="s">
        <v>99</v>
      </c>
      <c r="G1748" s="243" t="s">
        <v>68</v>
      </c>
      <c r="H1748" s="115"/>
      <c r="I1748" s="82"/>
      <c r="J1748" s="114"/>
      <c r="BB1748" s="117"/>
      <c r="BC1748" s="117"/>
      <c r="BD1748" s="117"/>
    </row>
    <row r="1749" spans="1:56">
      <c r="A1749" s="114"/>
      <c r="B1749" s="244" t="s">
        <v>1519</v>
      </c>
      <c r="C1749" s="200">
        <v>1</v>
      </c>
      <c r="D1749" s="245">
        <v>0.1</v>
      </c>
      <c r="E1749" s="245">
        <f>1125.39-(D1744*F1744+D1745*F1745)</f>
        <v>753.88100000000009</v>
      </c>
      <c r="F1749" s="202">
        <f t="shared" ref="F1749:F1751" si="92">D1749*E1749</f>
        <v>75.388100000000009</v>
      </c>
      <c r="G1749" s="202">
        <f t="shared" ref="G1749:G1751" si="93">E1749</f>
        <v>753.88100000000009</v>
      </c>
      <c r="H1749" s="115"/>
      <c r="I1749" s="82"/>
      <c r="J1749" s="114"/>
      <c r="BB1749" s="117"/>
      <c r="BC1749" s="117"/>
      <c r="BD1749" s="117"/>
    </row>
    <row r="1750" spans="1:56">
      <c r="A1750" s="114"/>
      <c r="B1750" s="244" t="s">
        <v>1533</v>
      </c>
      <c r="C1750" s="200">
        <v>1</v>
      </c>
      <c r="D1750" s="245">
        <v>0.18</v>
      </c>
      <c r="E1750" s="245">
        <f>19.32+6.3155+4.2925</f>
        <v>29.928000000000001</v>
      </c>
      <c r="F1750" s="202">
        <f t="shared" si="92"/>
        <v>5.3870399999999998</v>
      </c>
      <c r="G1750" s="202">
        <f t="shared" si="93"/>
        <v>29.928000000000001</v>
      </c>
      <c r="H1750" s="115"/>
      <c r="I1750" s="82"/>
      <c r="J1750" s="114"/>
      <c r="BB1750" s="117"/>
      <c r="BC1750" s="117"/>
      <c r="BD1750" s="117"/>
    </row>
    <row r="1751" spans="1:56">
      <c r="A1751" s="114"/>
      <c r="B1751" s="244" t="s">
        <v>1532</v>
      </c>
      <c r="C1751" s="200">
        <v>1</v>
      </c>
      <c r="D1751" s="245">
        <v>0.2</v>
      </c>
      <c r="E1751" s="245">
        <v>8.516</v>
      </c>
      <c r="F1751" s="202">
        <f t="shared" si="92"/>
        <v>1.7032</v>
      </c>
      <c r="G1751" s="202">
        <f t="shared" si="93"/>
        <v>8.516</v>
      </c>
      <c r="H1751" s="115"/>
      <c r="I1751" s="82"/>
      <c r="J1751" s="114"/>
      <c r="BB1751" s="117"/>
      <c r="BC1751" s="117"/>
      <c r="BD1751" s="117"/>
    </row>
    <row r="1752" spans="1:56">
      <c r="A1752" s="114"/>
      <c r="B1752" s="114"/>
      <c r="C1752" s="114"/>
      <c r="D1752" s="114"/>
      <c r="E1752" s="254" t="s">
        <v>767</v>
      </c>
      <c r="F1752" s="258">
        <f>SUM(F1749:F1751)</f>
        <v>82.478340000000003</v>
      </c>
      <c r="G1752" s="258">
        <f>SUM(G1749:G1751)</f>
        <v>792.32500000000005</v>
      </c>
      <c r="H1752" s="115"/>
      <c r="I1752" s="82"/>
      <c r="J1752" s="114"/>
      <c r="BB1752" s="117"/>
      <c r="BC1752" s="117"/>
      <c r="BD1752" s="117"/>
    </row>
    <row r="1753" spans="1:56" s="259" customFormat="1" ht="15">
      <c r="A1753" s="114"/>
      <c r="B1753" s="293"/>
      <c r="C1753" s="81"/>
      <c r="D1753" s="81"/>
      <c r="E1753" s="81"/>
      <c r="F1753" s="349"/>
      <c r="G1753" s="81"/>
      <c r="H1753" s="82"/>
      <c r="I1753" s="82"/>
      <c r="J1753" s="114"/>
      <c r="K1753" s="114"/>
      <c r="L1753" s="114"/>
      <c r="M1753" s="114"/>
      <c r="N1753" s="114"/>
      <c r="O1753" s="114"/>
      <c r="P1753" s="114"/>
      <c r="Q1753" s="114"/>
      <c r="R1753" s="114"/>
      <c r="S1753" s="114"/>
      <c r="T1753" s="114"/>
      <c r="U1753" s="114"/>
      <c r="V1753" s="114"/>
      <c r="W1753" s="114"/>
      <c r="X1753" s="114"/>
      <c r="Y1753" s="114"/>
      <c r="Z1753" s="114"/>
      <c r="AA1753" s="114"/>
      <c r="AB1753" s="114"/>
      <c r="AC1753" s="114"/>
      <c r="AD1753" s="114"/>
      <c r="AE1753" s="114"/>
      <c r="AF1753" s="114"/>
      <c r="AG1753" s="114"/>
      <c r="AH1753" s="114"/>
      <c r="AI1753" s="114"/>
      <c r="AJ1753" s="114"/>
      <c r="AK1753" s="114"/>
      <c r="AL1753" s="114"/>
      <c r="AM1753" s="114"/>
      <c r="AN1753" s="114"/>
      <c r="AO1753" s="114"/>
      <c r="AP1753" s="114"/>
      <c r="AQ1753" s="114"/>
      <c r="AR1753" s="114"/>
      <c r="AS1753" s="114"/>
      <c r="AT1753" s="114"/>
      <c r="AU1753" s="114"/>
      <c r="AV1753" s="114"/>
      <c r="AW1753" s="114"/>
      <c r="AX1753" s="114"/>
      <c r="AY1753" s="114"/>
      <c r="AZ1753" s="114"/>
      <c r="BA1753" s="114"/>
    </row>
    <row r="1754" spans="1:56">
      <c r="A1754" s="114"/>
      <c r="B1754" s="242" t="s">
        <v>2349</v>
      </c>
      <c r="C1754" s="199" t="s">
        <v>61</v>
      </c>
      <c r="D1754" s="199" t="s">
        <v>82</v>
      </c>
      <c r="E1754" s="199" t="s">
        <v>768</v>
      </c>
      <c r="F1754" s="243" t="s">
        <v>1645</v>
      </c>
      <c r="G1754" s="115"/>
      <c r="H1754" s="82"/>
      <c r="I1754" s="114"/>
      <c r="J1754" s="114"/>
      <c r="BA1754" s="117"/>
      <c r="BB1754" s="117"/>
      <c r="BC1754" s="117"/>
      <c r="BD1754" s="117"/>
    </row>
    <row r="1755" spans="1:56">
      <c r="A1755" s="114"/>
      <c r="B1755" s="244" t="s">
        <v>1646</v>
      </c>
      <c r="C1755" s="200">
        <v>1</v>
      </c>
      <c r="D1755" s="245">
        <v>0.1</v>
      </c>
      <c r="E1755" s="245">
        <v>162.31</v>
      </c>
      <c r="F1755" s="202">
        <f t="shared" ref="F1755" si="94">D1755*E1755</f>
        <v>16.231000000000002</v>
      </c>
      <c r="G1755" s="711"/>
      <c r="H1755" s="82"/>
      <c r="I1755" s="114"/>
      <c r="J1755" s="114"/>
      <c r="BA1755" s="117"/>
      <c r="BB1755" s="117"/>
      <c r="BC1755" s="117"/>
      <c r="BD1755" s="117"/>
    </row>
    <row r="1756" spans="1:56">
      <c r="A1756" s="114"/>
      <c r="B1756" s="114"/>
      <c r="C1756" s="114"/>
      <c r="D1756" s="114"/>
      <c r="E1756" s="254" t="s">
        <v>767</v>
      </c>
      <c r="F1756" s="258">
        <f>F1755</f>
        <v>16.231000000000002</v>
      </c>
      <c r="G1756" s="115"/>
      <c r="H1756" s="82"/>
      <c r="I1756" s="114"/>
      <c r="J1756" s="114"/>
      <c r="BA1756" s="117"/>
      <c r="BB1756" s="117"/>
      <c r="BC1756" s="117"/>
      <c r="BD1756" s="117"/>
    </row>
    <row r="1757" spans="1:56" s="259" customFormat="1" ht="15">
      <c r="A1757" s="114"/>
      <c r="B1757" s="293"/>
      <c r="C1757" s="81"/>
      <c r="D1757" s="81"/>
      <c r="E1757" s="81"/>
      <c r="F1757" s="349"/>
      <c r="G1757" s="81"/>
      <c r="H1757" s="82"/>
      <c r="I1757" s="82"/>
      <c r="J1757" s="114"/>
      <c r="K1757" s="114"/>
      <c r="L1757" s="114"/>
      <c r="M1757" s="114"/>
      <c r="N1757" s="114"/>
      <c r="O1757" s="114"/>
      <c r="P1757" s="114"/>
      <c r="Q1757" s="114"/>
      <c r="R1757" s="114"/>
      <c r="S1757" s="114"/>
      <c r="T1757" s="114"/>
      <c r="U1757" s="114"/>
      <c r="V1757" s="114"/>
      <c r="W1757" s="114"/>
      <c r="X1757" s="114"/>
      <c r="Y1757" s="114"/>
      <c r="Z1757" s="114"/>
      <c r="AA1757" s="114"/>
      <c r="AB1757" s="114"/>
      <c r="AC1757" s="114"/>
      <c r="AD1757" s="114"/>
      <c r="AE1757" s="114"/>
      <c r="AF1757" s="114"/>
      <c r="AG1757" s="114"/>
      <c r="AH1757" s="114"/>
      <c r="AI1757" s="114"/>
      <c r="AJ1757" s="114"/>
      <c r="AK1757" s="114"/>
      <c r="AL1757" s="114"/>
      <c r="AM1757" s="114"/>
      <c r="AN1757" s="114"/>
      <c r="AO1757" s="114"/>
      <c r="AP1757" s="114"/>
      <c r="AQ1757" s="114"/>
      <c r="AR1757" s="114"/>
      <c r="AS1757" s="114"/>
      <c r="AT1757" s="114"/>
      <c r="AU1757" s="114"/>
      <c r="AV1757" s="114"/>
      <c r="AW1757" s="114"/>
      <c r="AX1757" s="114"/>
      <c r="AY1757" s="114"/>
      <c r="AZ1757" s="114"/>
      <c r="BA1757" s="114"/>
    </row>
    <row r="1758" spans="1:56" ht="15">
      <c r="A1758" s="114"/>
      <c r="B1758" s="114"/>
      <c r="C1758" s="81"/>
      <c r="D1758" s="81"/>
      <c r="E1758" s="81"/>
      <c r="F1758" s="81"/>
      <c r="G1758" s="81"/>
      <c r="H1758" s="82"/>
      <c r="I1758" s="82"/>
      <c r="J1758" s="114"/>
      <c r="BB1758" s="117"/>
      <c r="BC1758" s="117"/>
      <c r="BD1758" s="117"/>
    </row>
    <row r="1759" spans="1:56" ht="15">
      <c r="A1759" s="114"/>
      <c r="B1759" s="627" t="s">
        <v>2313</v>
      </c>
      <c r="C1759" s="623"/>
      <c r="D1759" s="623"/>
      <c r="E1759" s="623"/>
      <c r="F1759" s="626"/>
      <c r="G1759" s="623"/>
      <c r="H1759" s="624"/>
      <c r="I1759" s="624"/>
      <c r="J1759" s="625"/>
      <c r="BB1759" s="117"/>
      <c r="BC1759" s="117"/>
      <c r="BD1759" s="117"/>
    </row>
    <row r="1760" spans="1:56" ht="15">
      <c r="A1760" s="114"/>
      <c r="B1760" s="117"/>
      <c r="C1760" s="81"/>
      <c r="D1760" s="81"/>
      <c r="E1760" s="81"/>
      <c r="F1760" s="81"/>
      <c r="G1760" s="81"/>
      <c r="H1760" s="82"/>
      <c r="I1760" s="82"/>
      <c r="J1760" s="114"/>
      <c r="BB1760" s="117"/>
      <c r="BC1760" s="117"/>
      <c r="BD1760" s="117"/>
    </row>
    <row r="1761" spans="1:56" ht="15">
      <c r="A1761" s="114"/>
      <c r="B1761" s="242" t="s">
        <v>97</v>
      </c>
      <c r="C1761" s="199" t="s">
        <v>61</v>
      </c>
      <c r="D1761" s="199" t="s">
        <v>82</v>
      </c>
      <c r="E1761" s="199" t="s">
        <v>66</v>
      </c>
      <c r="F1761" s="199" t="s">
        <v>62</v>
      </c>
      <c r="G1761" s="243" t="s">
        <v>99</v>
      </c>
      <c r="H1761" s="243" t="s">
        <v>68</v>
      </c>
      <c r="I1761" s="82"/>
      <c r="J1761" s="114"/>
      <c r="BB1761" s="117"/>
      <c r="BC1761" s="117"/>
      <c r="BD1761" s="117"/>
    </row>
    <row r="1762" spans="1:56" ht="15">
      <c r="A1762" s="114"/>
      <c r="B1762" s="244" t="s">
        <v>718</v>
      </c>
      <c r="C1762" s="200">
        <v>1</v>
      </c>
      <c r="D1762" s="245">
        <v>0.2</v>
      </c>
      <c r="E1762" s="201">
        <v>0.5</v>
      </c>
      <c r="F1762" s="201">
        <v>5.5750000000000002</v>
      </c>
      <c r="G1762" s="202">
        <f t="shared" ref="G1762:G1810" si="95">D1762*E1762*F1762*C1762</f>
        <v>0.5575</v>
      </c>
      <c r="H1762" s="202">
        <f t="shared" ref="H1762:H1810" si="96">((E1762*2)+D1762)*F1762*C1762</f>
        <v>6.69</v>
      </c>
      <c r="I1762" s="82"/>
      <c r="J1762" s="114"/>
      <c r="BB1762" s="117"/>
      <c r="BC1762" s="117"/>
      <c r="BD1762" s="117"/>
    </row>
    <row r="1763" spans="1:56" ht="15">
      <c r="A1763" s="114"/>
      <c r="B1763" s="244" t="s">
        <v>719</v>
      </c>
      <c r="C1763" s="200">
        <v>1</v>
      </c>
      <c r="D1763" s="245">
        <v>0.2</v>
      </c>
      <c r="E1763" s="201">
        <v>0.5</v>
      </c>
      <c r="F1763" s="201">
        <v>5.5750000000000002</v>
      </c>
      <c r="G1763" s="202">
        <f t="shared" si="95"/>
        <v>0.5575</v>
      </c>
      <c r="H1763" s="202">
        <f t="shared" si="96"/>
        <v>6.69</v>
      </c>
      <c r="I1763" s="82"/>
      <c r="J1763" s="114"/>
      <c r="BB1763" s="117"/>
      <c r="BC1763" s="117"/>
      <c r="BD1763" s="117"/>
    </row>
    <row r="1764" spans="1:56" ht="15">
      <c r="A1764" s="114"/>
      <c r="B1764" s="244" t="s">
        <v>720</v>
      </c>
      <c r="C1764" s="200">
        <v>1</v>
      </c>
      <c r="D1764" s="245">
        <v>0.2</v>
      </c>
      <c r="E1764" s="201">
        <v>0.35</v>
      </c>
      <c r="F1764" s="201">
        <v>3.35</v>
      </c>
      <c r="G1764" s="202">
        <f t="shared" si="95"/>
        <v>0.23449999999999999</v>
      </c>
      <c r="H1764" s="202">
        <f t="shared" si="96"/>
        <v>3.0149999999999997</v>
      </c>
      <c r="I1764" s="82"/>
      <c r="J1764" s="114"/>
      <c r="BB1764" s="117"/>
      <c r="BC1764" s="117"/>
      <c r="BD1764" s="117"/>
    </row>
    <row r="1765" spans="1:56" ht="15">
      <c r="A1765" s="114"/>
      <c r="B1765" s="244" t="s">
        <v>721</v>
      </c>
      <c r="C1765" s="200">
        <v>1</v>
      </c>
      <c r="D1765" s="245">
        <v>0.85</v>
      </c>
      <c r="E1765" s="201">
        <v>0.45</v>
      </c>
      <c r="F1765" s="201">
        <v>11.45</v>
      </c>
      <c r="G1765" s="202">
        <f t="shared" si="95"/>
        <v>4.3796249999999999</v>
      </c>
      <c r="H1765" s="202">
        <f t="shared" si="96"/>
        <v>20.037499999999998</v>
      </c>
      <c r="I1765" s="82"/>
      <c r="J1765" s="114"/>
      <c r="BB1765" s="117"/>
      <c r="BC1765" s="117"/>
      <c r="BD1765" s="117"/>
    </row>
    <row r="1766" spans="1:56" ht="15">
      <c r="A1766" s="114"/>
      <c r="B1766" s="244" t="s">
        <v>722</v>
      </c>
      <c r="C1766" s="200">
        <v>1</v>
      </c>
      <c r="D1766" s="245">
        <v>0.85</v>
      </c>
      <c r="E1766" s="201">
        <v>0.45</v>
      </c>
      <c r="F1766" s="201">
        <v>11.45</v>
      </c>
      <c r="G1766" s="202">
        <f t="shared" si="95"/>
        <v>4.3796249999999999</v>
      </c>
      <c r="H1766" s="202">
        <f t="shared" si="96"/>
        <v>20.037499999999998</v>
      </c>
      <c r="I1766" s="82"/>
      <c r="J1766" s="114"/>
      <c r="BB1766" s="117"/>
      <c r="BC1766" s="117"/>
      <c r="BD1766" s="117"/>
    </row>
    <row r="1767" spans="1:56" ht="15">
      <c r="A1767" s="114"/>
      <c r="B1767" s="244" t="s">
        <v>723</v>
      </c>
      <c r="C1767" s="200">
        <v>1</v>
      </c>
      <c r="D1767" s="245">
        <v>0.7</v>
      </c>
      <c r="E1767" s="201">
        <v>0.45</v>
      </c>
      <c r="F1767" s="201">
        <v>11.45</v>
      </c>
      <c r="G1767" s="202">
        <f t="shared" si="95"/>
        <v>3.6067499999999999</v>
      </c>
      <c r="H1767" s="202">
        <f t="shared" si="96"/>
        <v>18.32</v>
      </c>
      <c r="I1767" s="82"/>
      <c r="J1767" s="114"/>
      <c r="BB1767" s="117"/>
      <c r="BC1767" s="117"/>
      <c r="BD1767" s="117"/>
    </row>
    <row r="1768" spans="1:56" ht="15">
      <c r="A1768" s="114"/>
      <c r="B1768" s="244" t="s">
        <v>725</v>
      </c>
      <c r="C1768" s="200">
        <v>1</v>
      </c>
      <c r="D1768" s="245">
        <v>0.75</v>
      </c>
      <c r="E1768" s="245">
        <v>2</v>
      </c>
      <c r="F1768" s="201">
        <v>24.875</v>
      </c>
      <c r="G1768" s="202">
        <f t="shared" si="95"/>
        <v>37.3125</v>
      </c>
      <c r="H1768" s="202">
        <f t="shared" si="96"/>
        <v>118.15625</v>
      </c>
      <c r="I1768" s="82"/>
      <c r="J1768" s="114"/>
      <c r="BB1768" s="117"/>
      <c r="BC1768" s="117"/>
      <c r="BD1768" s="117"/>
    </row>
    <row r="1769" spans="1:56" ht="15">
      <c r="A1769" s="114"/>
      <c r="B1769" s="244" t="s">
        <v>726</v>
      </c>
      <c r="C1769" s="200">
        <v>1</v>
      </c>
      <c r="D1769" s="245">
        <v>0.75</v>
      </c>
      <c r="E1769" s="245">
        <v>2</v>
      </c>
      <c r="F1769" s="201">
        <v>35.25</v>
      </c>
      <c r="G1769" s="202">
        <f t="shared" si="95"/>
        <v>52.875</v>
      </c>
      <c r="H1769" s="202">
        <f t="shared" si="96"/>
        <v>167.4375</v>
      </c>
      <c r="I1769" s="82"/>
      <c r="J1769" s="114"/>
      <c r="BB1769" s="117"/>
      <c r="BC1769" s="117"/>
      <c r="BD1769" s="117"/>
    </row>
    <row r="1770" spans="1:56" ht="15">
      <c r="A1770" s="114"/>
      <c r="B1770" s="244" t="s">
        <v>727</v>
      </c>
      <c r="C1770" s="200">
        <v>1</v>
      </c>
      <c r="D1770" s="245">
        <v>0.75</v>
      </c>
      <c r="E1770" s="201">
        <v>3.88</v>
      </c>
      <c r="F1770" s="201">
        <v>23.5</v>
      </c>
      <c r="G1770" s="202">
        <f t="shared" si="95"/>
        <v>68.385000000000005</v>
      </c>
      <c r="H1770" s="202">
        <f t="shared" si="96"/>
        <v>199.98499999999999</v>
      </c>
      <c r="I1770" s="82"/>
      <c r="J1770" s="114"/>
      <c r="BB1770" s="117"/>
      <c r="BC1770" s="117"/>
      <c r="BD1770" s="117"/>
    </row>
    <row r="1771" spans="1:56" ht="15">
      <c r="A1771" s="114"/>
      <c r="B1771" s="244" t="s">
        <v>728</v>
      </c>
      <c r="C1771" s="200">
        <v>1</v>
      </c>
      <c r="D1771" s="245">
        <v>0.75</v>
      </c>
      <c r="E1771" s="201">
        <v>2</v>
      </c>
      <c r="F1771" s="201">
        <v>11.75</v>
      </c>
      <c r="G1771" s="202">
        <f t="shared" ref="G1771" si="97">D1771*E1771*F1771*C1771</f>
        <v>17.625</v>
      </c>
      <c r="H1771" s="202">
        <f t="shared" ref="H1771" si="98">((E1771*2)+D1771)*F1771*C1771</f>
        <v>55.8125</v>
      </c>
      <c r="I1771" s="82"/>
      <c r="J1771" s="114"/>
      <c r="BB1771" s="117"/>
      <c r="BC1771" s="117"/>
      <c r="BD1771" s="117"/>
    </row>
    <row r="1772" spans="1:56" ht="15">
      <c r="A1772" s="114"/>
      <c r="B1772" s="244" t="s">
        <v>729</v>
      </c>
      <c r="C1772" s="200">
        <v>1</v>
      </c>
      <c r="D1772" s="245">
        <v>1.6</v>
      </c>
      <c r="E1772" s="201">
        <v>0.55000000000000004</v>
      </c>
      <c r="F1772" s="201">
        <v>11.824999999999999</v>
      </c>
      <c r="G1772" s="202">
        <f t="shared" si="95"/>
        <v>10.406000000000001</v>
      </c>
      <c r="H1772" s="202">
        <f t="shared" si="96"/>
        <v>31.927499999999998</v>
      </c>
      <c r="I1772" s="82"/>
      <c r="J1772" s="114"/>
      <c r="BB1772" s="117"/>
      <c r="BC1772" s="117"/>
      <c r="BD1772" s="117"/>
    </row>
    <row r="1773" spans="1:56" ht="15">
      <c r="A1773" s="114"/>
      <c r="B1773" s="244" t="s">
        <v>730</v>
      </c>
      <c r="C1773" s="200">
        <v>1</v>
      </c>
      <c r="D1773" s="245">
        <v>0.75</v>
      </c>
      <c r="E1773" s="245">
        <v>2</v>
      </c>
      <c r="F1773" s="201">
        <v>23.5</v>
      </c>
      <c r="G1773" s="202">
        <f t="shared" si="95"/>
        <v>35.25</v>
      </c>
      <c r="H1773" s="202">
        <f t="shared" si="96"/>
        <v>111.625</v>
      </c>
      <c r="I1773" s="82"/>
      <c r="J1773" s="114"/>
      <c r="BB1773" s="117"/>
      <c r="BC1773" s="117"/>
      <c r="BD1773" s="117"/>
    </row>
    <row r="1774" spans="1:56" ht="15">
      <c r="A1774" s="114"/>
      <c r="B1774" s="244" t="s">
        <v>731</v>
      </c>
      <c r="C1774" s="200">
        <v>1</v>
      </c>
      <c r="D1774" s="245">
        <v>0.75</v>
      </c>
      <c r="E1774" s="245">
        <v>2</v>
      </c>
      <c r="F1774" s="201">
        <v>35.25</v>
      </c>
      <c r="G1774" s="202">
        <f t="shared" si="95"/>
        <v>52.875</v>
      </c>
      <c r="H1774" s="202">
        <f t="shared" si="96"/>
        <v>167.4375</v>
      </c>
      <c r="I1774" s="82"/>
      <c r="J1774" s="114"/>
      <c r="BB1774" s="117"/>
      <c r="BC1774" s="117"/>
      <c r="BD1774" s="117"/>
    </row>
    <row r="1775" spans="1:56" ht="15">
      <c r="A1775" s="114"/>
      <c r="B1775" s="244" t="s">
        <v>732</v>
      </c>
      <c r="C1775" s="200">
        <v>1</v>
      </c>
      <c r="D1775" s="245">
        <v>0.75</v>
      </c>
      <c r="E1775" s="245">
        <v>2</v>
      </c>
      <c r="F1775" s="201">
        <v>11.75</v>
      </c>
      <c r="G1775" s="202">
        <f t="shared" si="95"/>
        <v>17.625</v>
      </c>
      <c r="H1775" s="202">
        <f t="shared" si="96"/>
        <v>55.8125</v>
      </c>
      <c r="I1775" s="82"/>
      <c r="J1775" s="114"/>
      <c r="BB1775" s="117"/>
      <c r="BC1775" s="117"/>
      <c r="BD1775" s="117"/>
    </row>
    <row r="1776" spans="1:56" ht="15">
      <c r="A1776" s="114"/>
      <c r="B1776" s="244" t="s">
        <v>733</v>
      </c>
      <c r="C1776" s="200">
        <v>1</v>
      </c>
      <c r="D1776" s="245">
        <v>0.75</v>
      </c>
      <c r="E1776" s="201">
        <v>3.88</v>
      </c>
      <c r="F1776" s="201">
        <v>23.5</v>
      </c>
      <c r="G1776" s="202">
        <f t="shared" si="95"/>
        <v>68.385000000000005</v>
      </c>
      <c r="H1776" s="202">
        <f t="shared" si="96"/>
        <v>199.98499999999999</v>
      </c>
      <c r="I1776" s="82"/>
      <c r="J1776" s="114"/>
      <c r="BB1776" s="117"/>
      <c r="BC1776" s="117"/>
      <c r="BD1776" s="117"/>
    </row>
    <row r="1777" spans="1:56" ht="15">
      <c r="A1777" s="114"/>
      <c r="B1777" s="244" t="s">
        <v>734</v>
      </c>
      <c r="C1777" s="200">
        <v>1</v>
      </c>
      <c r="D1777" s="245">
        <v>0.75</v>
      </c>
      <c r="E1777" s="201">
        <v>0.55000000000000004</v>
      </c>
      <c r="F1777" s="201">
        <v>11.45</v>
      </c>
      <c r="G1777" s="202">
        <f t="shared" si="95"/>
        <v>4.7231250000000005</v>
      </c>
      <c r="H1777" s="202">
        <f t="shared" si="96"/>
        <v>21.182500000000001</v>
      </c>
      <c r="I1777" s="82"/>
      <c r="J1777" s="114"/>
      <c r="BB1777" s="117"/>
      <c r="BC1777" s="117"/>
      <c r="BD1777" s="117"/>
    </row>
    <row r="1778" spans="1:56" ht="15">
      <c r="A1778" s="114"/>
      <c r="B1778" s="244" t="s">
        <v>735</v>
      </c>
      <c r="C1778" s="200">
        <v>1</v>
      </c>
      <c r="D1778" s="245">
        <v>0.75</v>
      </c>
      <c r="E1778" s="201">
        <v>0.55000000000000004</v>
      </c>
      <c r="F1778" s="201">
        <v>11.45</v>
      </c>
      <c r="G1778" s="202">
        <f t="shared" si="95"/>
        <v>4.7231250000000005</v>
      </c>
      <c r="H1778" s="202">
        <f t="shared" si="96"/>
        <v>21.182500000000001</v>
      </c>
      <c r="I1778" s="82"/>
      <c r="J1778" s="114"/>
      <c r="BB1778" s="117"/>
      <c r="BC1778" s="117"/>
      <c r="BD1778" s="117"/>
    </row>
    <row r="1779" spans="1:56" ht="15">
      <c r="A1779" s="114"/>
      <c r="B1779" s="244" t="s">
        <v>736</v>
      </c>
      <c r="C1779" s="200">
        <v>1</v>
      </c>
      <c r="D1779" s="245">
        <v>0.75</v>
      </c>
      <c r="E1779" s="201">
        <v>0.55000000000000004</v>
      </c>
      <c r="F1779" s="201">
        <v>11.45</v>
      </c>
      <c r="G1779" s="202">
        <f t="shared" si="95"/>
        <v>4.7231250000000005</v>
      </c>
      <c r="H1779" s="202">
        <f t="shared" si="96"/>
        <v>21.182500000000001</v>
      </c>
      <c r="I1779" s="82"/>
      <c r="J1779" s="114"/>
      <c r="BB1779" s="117"/>
      <c r="BC1779" s="117"/>
      <c r="BD1779" s="117"/>
    </row>
    <row r="1780" spans="1:56" ht="15">
      <c r="A1780" s="114"/>
      <c r="B1780" s="244" t="s">
        <v>737</v>
      </c>
      <c r="C1780" s="200">
        <v>1</v>
      </c>
      <c r="D1780" s="245">
        <v>0.75</v>
      </c>
      <c r="E1780" s="201">
        <v>0.55000000000000004</v>
      </c>
      <c r="F1780" s="201">
        <v>11.45</v>
      </c>
      <c r="G1780" s="202">
        <f t="shared" si="95"/>
        <v>4.7231250000000005</v>
      </c>
      <c r="H1780" s="202">
        <f t="shared" si="96"/>
        <v>21.182500000000001</v>
      </c>
      <c r="I1780" s="82"/>
      <c r="J1780" s="114"/>
      <c r="BB1780" s="117"/>
      <c r="BC1780" s="117"/>
      <c r="BD1780" s="117"/>
    </row>
    <row r="1781" spans="1:56" ht="15">
      <c r="A1781" s="114"/>
      <c r="B1781" s="244" t="s">
        <v>738</v>
      </c>
      <c r="C1781" s="200">
        <v>1</v>
      </c>
      <c r="D1781" s="245">
        <v>0.75</v>
      </c>
      <c r="E1781" s="201">
        <v>0.55000000000000004</v>
      </c>
      <c r="F1781" s="201">
        <v>11.45</v>
      </c>
      <c r="G1781" s="202">
        <f t="shared" si="95"/>
        <v>4.7231250000000005</v>
      </c>
      <c r="H1781" s="202">
        <f t="shared" si="96"/>
        <v>21.182500000000001</v>
      </c>
      <c r="I1781" s="82"/>
      <c r="J1781" s="114"/>
      <c r="BB1781" s="117"/>
      <c r="BC1781" s="117"/>
      <c r="BD1781" s="117"/>
    </row>
    <row r="1782" spans="1:56" ht="15">
      <c r="A1782" s="114"/>
      <c r="B1782" s="244" t="s">
        <v>739</v>
      </c>
      <c r="C1782" s="200">
        <v>1</v>
      </c>
      <c r="D1782" s="245">
        <v>0.79</v>
      </c>
      <c r="E1782" s="201">
        <v>0.55000000000000004</v>
      </c>
      <c r="F1782" s="201">
        <v>11.45</v>
      </c>
      <c r="G1782" s="202">
        <f t="shared" si="95"/>
        <v>4.9750250000000005</v>
      </c>
      <c r="H1782" s="202">
        <f t="shared" si="96"/>
        <v>21.640499999999999</v>
      </c>
      <c r="I1782" s="82"/>
      <c r="J1782" s="114"/>
      <c r="BB1782" s="117"/>
      <c r="BC1782" s="117"/>
      <c r="BD1782" s="117"/>
    </row>
    <row r="1783" spans="1:56" ht="15">
      <c r="A1783" s="114"/>
      <c r="B1783" s="244" t="s">
        <v>740</v>
      </c>
      <c r="C1783" s="200">
        <v>1</v>
      </c>
      <c r="D1783" s="245">
        <v>0.79</v>
      </c>
      <c r="E1783" s="201">
        <v>0.55000000000000004</v>
      </c>
      <c r="F1783" s="201">
        <v>11.45</v>
      </c>
      <c r="G1783" s="202">
        <f t="shared" si="95"/>
        <v>4.9750250000000005</v>
      </c>
      <c r="H1783" s="202">
        <f t="shared" si="96"/>
        <v>21.640499999999999</v>
      </c>
      <c r="I1783" s="82"/>
      <c r="J1783" s="114"/>
      <c r="BB1783" s="117"/>
      <c r="BC1783" s="117"/>
      <c r="BD1783" s="117"/>
    </row>
    <row r="1784" spans="1:56" ht="15">
      <c r="A1784" s="114"/>
      <c r="B1784" s="244" t="s">
        <v>741</v>
      </c>
      <c r="C1784" s="200">
        <v>1</v>
      </c>
      <c r="D1784" s="245">
        <v>0.75</v>
      </c>
      <c r="E1784" s="201">
        <v>0.55000000000000004</v>
      </c>
      <c r="F1784" s="201">
        <v>11.45</v>
      </c>
      <c r="G1784" s="202">
        <f t="shared" si="95"/>
        <v>4.7231250000000005</v>
      </c>
      <c r="H1784" s="202">
        <f t="shared" si="96"/>
        <v>21.182500000000001</v>
      </c>
      <c r="I1784" s="82"/>
      <c r="J1784" s="114"/>
      <c r="BB1784" s="117"/>
      <c r="BC1784" s="117"/>
      <c r="BD1784" s="117"/>
    </row>
    <row r="1785" spans="1:56" ht="15">
      <c r="A1785" s="114"/>
      <c r="B1785" s="244" t="s">
        <v>742</v>
      </c>
      <c r="C1785" s="200">
        <v>1</v>
      </c>
      <c r="D1785" s="245">
        <v>0.75</v>
      </c>
      <c r="E1785" s="201">
        <v>0.55000000000000004</v>
      </c>
      <c r="F1785" s="201">
        <v>11.45</v>
      </c>
      <c r="G1785" s="202">
        <f t="shared" si="95"/>
        <v>4.7231250000000005</v>
      </c>
      <c r="H1785" s="202">
        <f t="shared" si="96"/>
        <v>21.182500000000001</v>
      </c>
      <c r="I1785" s="82"/>
      <c r="J1785" s="114"/>
      <c r="BB1785" s="117"/>
      <c r="BC1785" s="117"/>
      <c r="BD1785" s="117"/>
    </row>
    <row r="1786" spans="1:56" ht="15">
      <c r="A1786" s="114"/>
      <c r="B1786" s="244" t="s">
        <v>743</v>
      </c>
      <c r="C1786" s="200">
        <v>1</v>
      </c>
      <c r="D1786" s="245">
        <v>0.75</v>
      </c>
      <c r="E1786" s="201">
        <v>0.55000000000000004</v>
      </c>
      <c r="F1786" s="201">
        <v>11.45</v>
      </c>
      <c r="G1786" s="202">
        <f t="shared" si="95"/>
        <v>4.7231250000000005</v>
      </c>
      <c r="H1786" s="202">
        <f t="shared" si="96"/>
        <v>21.182500000000001</v>
      </c>
      <c r="I1786" s="82"/>
      <c r="J1786" s="114"/>
      <c r="BB1786" s="117"/>
      <c r="BC1786" s="117"/>
      <c r="BD1786" s="117"/>
    </row>
    <row r="1787" spans="1:56" ht="15">
      <c r="A1787" s="114"/>
      <c r="B1787" s="244" t="s">
        <v>744</v>
      </c>
      <c r="C1787" s="200">
        <v>1</v>
      </c>
      <c r="D1787" s="245">
        <v>0.75</v>
      </c>
      <c r="E1787" s="201">
        <v>0.55000000000000004</v>
      </c>
      <c r="F1787" s="201">
        <v>11.45</v>
      </c>
      <c r="G1787" s="202">
        <f t="shared" si="95"/>
        <v>4.7231250000000005</v>
      </c>
      <c r="H1787" s="202">
        <f t="shared" si="96"/>
        <v>21.182500000000001</v>
      </c>
      <c r="I1787" s="82"/>
      <c r="J1787" s="114"/>
      <c r="BB1787" s="117"/>
      <c r="BC1787" s="117"/>
      <c r="BD1787" s="117"/>
    </row>
    <row r="1788" spans="1:56" ht="15">
      <c r="A1788" s="114"/>
      <c r="B1788" s="244" t="s">
        <v>745</v>
      </c>
      <c r="C1788" s="200">
        <v>1</v>
      </c>
      <c r="D1788" s="245">
        <v>0.75</v>
      </c>
      <c r="E1788" s="201">
        <v>0.55000000000000004</v>
      </c>
      <c r="F1788" s="201">
        <v>11.45</v>
      </c>
      <c r="G1788" s="202">
        <f t="shared" si="95"/>
        <v>4.7231250000000005</v>
      </c>
      <c r="H1788" s="202">
        <f t="shared" si="96"/>
        <v>21.182500000000001</v>
      </c>
      <c r="I1788" s="82"/>
      <c r="J1788" s="114"/>
      <c r="BB1788" s="117"/>
      <c r="BC1788" s="117"/>
      <c r="BD1788" s="117"/>
    </row>
    <row r="1789" spans="1:56" ht="15">
      <c r="A1789" s="114"/>
      <c r="B1789" s="244" t="s">
        <v>746</v>
      </c>
      <c r="C1789" s="200">
        <v>1</v>
      </c>
      <c r="D1789" s="245">
        <v>1.6</v>
      </c>
      <c r="E1789" s="201">
        <v>0.55000000000000004</v>
      </c>
      <c r="F1789" s="201">
        <v>11.45</v>
      </c>
      <c r="G1789" s="202">
        <f t="shared" si="95"/>
        <v>10.076000000000001</v>
      </c>
      <c r="H1789" s="202">
        <f t="shared" si="96"/>
        <v>30.914999999999999</v>
      </c>
      <c r="I1789" s="82"/>
      <c r="J1789" s="114"/>
      <c r="BB1789" s="117"/>
      <c r="BC1789" s="117"/>
      <c r="BD1789" s="117"/>
    </row>
    <row r="1790" spans="1:56" ht="15">
      <c r="A1790" s="114"/>
      <c r="B1790" s="244" t="s">
        <v>747</v>
      </c>
      <c r="C1790" s="200">
        <v>1</v>
      </c>
      <c r="D1790" s="245">
        <v>0.75</v>
      </c>
      <c r="E1790" s="201">
        <v>0.55000000000000004</v>
      </c>
      <c r="F1790" s="201">
        <v>11.45</v>
      </c>
      <c r="G1790" s="202">
        <f t="shared" si="95"/>
        <v>4.7231250000000005</v>
      </c>
      <c r="H1790" s="202">
        <f t="shared" si="96"/>
        <v>21.182500000000001</v>
      </c>
      <c r="I1790" s="82"/>
      <c r="J1790" s="114"/>
      <c r="BB1790" s="117"/>
      <c r="BC1790" s="117"/>
      <c r="BD1790" s="117"/>
    </row>
    <row r="1791" spans="1:56" ht="15">
      <c r="A1791" s="114"/>
      <c r="B1791" s="244" t="s">
        <v>748</v>
      </c>
      <c r="C1791" s="200">
        <v>1</v>
      </c>
      <c r="D1791" s="245">
        <v>0.75</v>
      </c>
      <c r="E1791" s="201">
        <v>0.55000000000000004</v>
      </c>
      <c r="F1791" s="201">
        <v>11.45</v>
      </c>
      <c r="G1791" s="202">
        <f t="shared" si="95"/>
        <v>4.7231250000000005</v>
      </c>
      <c r="H1791" s="202">
        <f t="shared" si="96"/>
        <v>21.182500000000001</v>
      </c>
      <c r="I1791" s="82"/>
      <c r="J1791" s="114"/>
      <c r="BB1791" s="117"/>
      <c r="BC1791" s="117"/>
      <c r="BD1791" s="117"/>
    </row>
    <row r="1792" spans="1:56" ht="15">
      <c r="A1792" s="114"/>
      <c r="B1792" s="244" t="s">
        <v>749</v>
      </c>
      <c r="C1792" s="200">
        <v>1</v>
      </c>
      <c r="D1792" s="245">
        <v>0.36499999999999999</v>
      </c>
      <c r="E1792" s="201">
        <v>0.55000000000000004</v>
      </c>
      <c r="F1792" s="201">
        <v>11.45</v>
      </c>
      <c r="G1792" s="202">
        <f t="shared" si="95"/>
        <v>2.2985875</v>
      </c>
      <c r="H1792" s="202">
        <f t="shared" si="96"/>
        <v>16.774249999999999</v>
      </c>
      <c r="I1792" s="82"/>
      <c r="J1792" s="114"/>
      <c r="BB1792" s="117"/>
      <c r="BC1792" s="117"/>
      <c r="BD1792" s="117"/>
    </row>
    <row r="1793" spans="1:56" ht="15">
      <c r="A1793" s="114"/>
      <c r="B1793" s="244" t="s">
        <v>750</v>
      </c>
      <c r="C1793" s="200">
        <v>1</v>
      </c>
      <c r="D1793" s="245">
        <v>0.36499999999999999</v>
      </c>
      <c r="E1793" s="201">
        <v>0.55000000000000004</v>
      </c>
      <c r="F1793" s="201">
        <v>11.45</v>
      </c>
      <c r="G1793" s="202">
        <f t="shared" si="95"/>
        <v>2.2985875</v>
      </c>
      <c r="H1793" s="202">
        <f t="shared" si="96"/>
        <v>16.774249999999999</v>
      </c>
      <c r="I1793" s="82"/>
      <c r="J1793" s="114"/>
      <c r="BB1793" s="117"/>
      <c r="BC1793" s="117"/>
      <c r="BD1793" s="117"/>
    </row>
    <row r="1794" spans="1:56" ht="15">
      <c r="A1794" s="114"/>
      <c r="B1794" s="244" t="s">
        <v>751</v>
      </c>
      <c r="C1794" s="200">
        <v>1</v>
      </c>
      <c r="D1794" s="245">
        <v>0.75</v>
      </c>
      <c r="E1794" s="201">
        <v>0.55000000000000004</v>
      </c>
      <c r="F1794" s="201">
        <v>11.45</v>
      </c>
      <c r="G1794" s="202">
        <f t="shared" si="95"/>
        <v>4.7231250000000005</v>
      </c>
      <c r="H1794" s="202">
        <f t="shared" si="96"/>
        <v>21.182500000000001</v>
      </c>
      <c r="I1794" s="82"/>
      <c r="J1794" s="114"/>
      <c r="BB1794" s="117"/>
      <c r="BC1794" s="117"/>
      <c r="BD1794" s="117"/>
    </row>
    <row r="1795" spans="1:56" ht="15">
      <c r="A1795" s="114"/>
      <c r="B1795" s="244" t="s">
        <v>752</v>
      </c>
      <c r="C1795" s="200">
        <v>1</v>
      </c>
      <c r="D1795" s="245">
        <v>0.75</v>
      </c>
      <c r="E1795" s="201">
        <v>0.55000000000000004</v>
      </c>
      <c r="F1795" s="201">
        <v>11.45</v>
      </c>
      <c r="G1795" s="202">
        <f t="shared" si="95"/>
        <v>4.7231250000000005</v>
      </c>
      <c r="H1795" s="202">
        <f t="shared" si="96"/>
        <v>21.182500000000001</v>
      </c>
      <c r="I1795" s="82"/>
      <c r="J1795" s="114"/>
      <c r="BB1795" s="117"/>
      <c r="BC1795" s="117"/>
      <c r="BD1795" s="117"/>
    </row>
    <row r="1796" spans="1:56" ht="15">
      <c r="A1796" s="114"/>
      <c r="B1796" s="244" t="s">
        <v>753</v>
      </c>
      <c r="C1796" s="200">
        <v>1</v>
      </c>
      <c r="D1796" s="245">
        <v>1.6</v>
      </c>
      <c r="E1796" s="201">
        <v>0.55000000000000004</v>
      </c>
      <c r="F1796" s="201">
        <v>11.45</v>
      </c>
      <c r="G1796" s="202">
        <f t="shared" si="95"/>
        <v>10.076000000000001</v>
      </c>
      <c r="H1796" s="202">
        <f t="shared" si="96"/>
        <v>30.914999999999999</v>
      </c>
      <c r="I1796" s="82"/>
      <c r="J1796" s="114"/>
      <c r="BB1796" s="117"/>
      <c r="BC1796" s="117"/>
      <c r="BD1796" s="117"/>
    </row>
    <row r="1797" spans="1:56" ht="15">
      <c r="A1797" s="114"/>
      <c r="B1797" s="244" t="s">
        <v>754</v>
      </c>
      <c r="C1797" s="200">
        <v>1</v>
      </c>
      <c r="D1797" s="245">
        <v>0.3</v>
      </c>
      <c r="E1797" s="201">
        <v>0.55000000000000004</v>
      </c>
      <c r="F1797" s="201">
        <v>19.149999999999999</v>
      </c>
      <c r="G1797" s="202">
        <f t="shared" si="95"/>
        <v>3.1597499999999998</v>
      </c>
      <c r="H1797" s="202">
        <f t="shared" si="96"/>
        <v>26.810000000000002</v>
      </c>
      <c r="I1797" s="82"/>
      <c r="J1797" s="114"/>
      <c r="BB1797" s="117"/>
      <c r="BC1797" s="117"/>
      <c r="BD1797" s="117"/>
    </row>
    <row r="1798" spans="1:56" ht="15">
      <c r="A1798" s="114"/>
      <c r="B1798" s="244" t="s">
        <v>755</v>
      </c>
      <c r="C1798" s="200">
        <v>1</v>
      </c>
      <c r="D1798" s="245">
        <v>0.25</v>
      </c>
      <c r="E1798" s="201">
        <v>0.55000000000000004</v>
      </c>
      <c r="F1798" s="201">
        <v>4.45</v>
      </c>
      <c r="G1798" s="202">
        <f t="shared" si="95"/>
        <v>0.61187500000000006</v>
      </c>
      <c r="H1798" s="202">
        <f t="shared" si="96"/>
        <v>6.0075000000000003</v>
      </c>
      <c r="I1798" s="82"/>
      <c r="J1798" s="114"/>
      <c r="BB1798" s="117"/>
      <c r="BC1798" s="117"/>
      <c r="BD1798" s="117"/>
    </row>
    <row r="1799" spans="1:56" ht="15">
      <c r="A1799" s="114"/>
      <c r="B1799" s="244" t="s">
        <v>756</v>
      </c>
      <c r="C1799" s="200">
        <v>1</v>
      </c>
      <c r="D1799" s="245">
        <v>0.75</v>
      </c>
      <c r="E1799" s="201">
        <v>0.55000000000000004</v>
      </c>
      <c r="F1799" s="201">
        <v>11.45</v>
      </c>
      <c r="G1799" s="202">
        <f t="shared" si="95"/>
        <v>4.7231250000000005</v>
      </c>
      <c r="H1799" s="202">
        <f t="shared" si="96"/>
        <v>21.182500000000001</v>
      </c>
      <c r="I1799" s="82"/>
      <c r="J1799" s="114"/>
      <c r="BB1799" s="117"/>
      <c r="BC1799" s="117"/>
      <c r="BD1799" s="117"/>
    </row>
    <row r="1800" spans="1:56" ht="15">
      <c r="A1800" s="114"/>
      <c r="B1800" s="244" t="s">
        <v>757</v>
      </c>
      <c r="C1800" s="200">
        <v>1</v>
      </c>
      <c r="D1800" s="245">
        <v>0.75</v>
      </c>
      <c r="E1800" s="201">
        <v>0.55000000000000004</v>
      </c>
      <c r="F1800" s="201">
        <v>11.45</v>
      </c>
      <c r="G1800" s="202">
        <f t="shared" si="95"/>
        <v>4.7231250000000005</v>
      </c>
      <c r="H1800" s="202">
        <f t="shared" si="96"/>
        <v>21.182500000000001</v>
      </c>
      <c r="I1800" s="82"/>
      <c r="J1800" s="114"/>
      <c r="BB1800" s="117"/>
      <c r="BC1800" s="117"/>
      <c r="BD1800" s="117"/>
    </row>
    <row r="1801" spans="1:56" ht="15">
      <c r="A1801" s="114"/>
      <c r="B1801" s="244" t="s">
        <v>758</v>
      </c>
      <c r="C1801" s="200">
        <v>1</v>
      </c>
      <c r="D1801" s="245">
        <v>0.75</v>
      </c>
      <c r="E1801" s="201">
        <v>0.55000000000000004</v>
      </c>
      <c r="F1801" s="201">
        <v>11.45</v>
      </c>
      <c r="G1801" s="202">
        <f t="shared" si="95"/>
        <v>4.7231250000000005</v>
      </c>
      <c r="H1801" s="202">
        <f t="shared" si="96"/>
        <v>21.182500000000001</v>
      </c>
      <c r="I1801" s="82"/>
      <c r="J1801" s="114"/>
      <c r="BB1801" s="117"/>
      <c r="BC1801" s="117"/>
      <c r="BD1801" s="117"/>
    </row>
    <row r="1802" spans="1:56" ht="15">
      <c r="A1802" s="114"/>
      <c r="B1802" s="244" t="s">
        <v>759</v>
      </c>
      <c r="C1802" s="200">
        <v>1</v>
      </c>
      <c r="D1802" s="245">
        <v>0.75</v>
      </c>
      <c r="E1802" s="201">
        <v>0.55000000000000004</v>
      </c>
      <c r="F1802" s="201">
        <v>11.45</v>
      </c>
      <c r="G1802" s="202">
        <f t="shared" si="95"/>
        <v>4.7231250000000005</v>
      </c>
      <c r="H1802" s="202">
        <f t="shared" si="96"/>
        <v>21.182500000000001</v>
      </c>
      <c r="I1802" s="82"/>
      <c r="J1802" s="114"/>
      <c r="BB1802" s="117"/>
      <c r="BC1802" s="117"/>
      <c r="BD1802" s="117"/>
    </row>
    <row r="1803" spans="1:56" ht="15">
      <c r="A1803" s="114"/>
      <c r="B1803" s="244" t="s">
        <v>760</v>
      </c>
      <c r="C1803" s="200">
        <v>1</v>
      </c>
      <c r="D1803" s="245">
        <v>0.75</v>
      </c>
      <c r="E1803" s="201">
        <v>0.55000000000000004</v>
      </c>
      <c r="F1803" s="201">
        <v>11.45</v>
      </c>
      <c r="G1803" s="202">
        <f t="shared" si="95"/>
        <v>4.7231250000000005</v>
      </c>
      <c r="H1803" s="202">
        <f t="shared" si="96"/>
        <v>21.182500000000001</v>
      </c>
      <c r="I1803" s="82"/>
      <c r="J1803" s="114"/>
      <c r="BB1803" s="117"/>
      <c r="BC1803" s="117"/>
      <c r="BD1803" s="117"/>
    </row>
    <row r="1804" spans="1:56" ht="15">
      <c r="A1804" s="114"/>
      <c r="B1804" s="244" t="s">
        <v>761</v>
      </c>
      <c r="C1804" s="200">
        <v>1</v>
      </c>
      <c r="D1804" s="245">
        <v>0.75</v>
      </c>
      <c r="E1804" s="201">
        <v>0.55000000000000004</v>
      </c>
      <c r="F1804" s="201">
        <v>11.45</v>
      </c>
      <c r="G1804" s="202">
        <f t="shared" si="95"/>
        <v>4.7231250000000005</v>
      </c>
      <c r="H1804" s="202">
        <f t="shared" si="96"/>
        <v>21.182500000000001</v>
      </c>
      <c r="I1804" s="82"/>
      <c r="J1804" s="114"/>
      <c r="BB1804" s="117"/>
      <c r="BC1804" s="117"/>
      <c r="BD1804" s="117"/>
    </row>
    <row r="1805" spans="1:56" ht="15">
      <c r="A1805" s="114"/>
      <c r="B1805" s="244" t="s">
        <v>762</v>
      </c>
      <c r="C1805" s="200">
        <v>1</v>
      </c>
      <c r="D1805" s="245">
        <v>0.75</v>
      </c>
      <c r="E1805" s="201">
        <v>0.55000000000000004</v>
      </c>
      <c r="F1805" s="201">
        <v>11.45</v>
      </c>
      <c r="G1805" s="202">
        <f t="shared" si="95"/>
        <v>4.7231250000000005</v>
      </c>
      <c r="H1805" s="202">
        <f t="shared" si="96"/>
        <v>21.182500000000001</v>
      </c>
      <c r="I1805" s="82"/>
      <c r="J1805" s="114"/>
      <c r="BB1805" s="117"/>
      <c r="BC1805" s="117"/>
      <c r="BD1805" s="117"/>
    </row>
    <row r="1806" spans="1:56" ht="15">
      <c r="A1806" s="114"/>
      <c r="B1806" s="244" t="s">
        <v>763</v>
      </c>
      <c r="C1806" s="200">
        <v>1</v>
      </c>
      <c r="D1806" s="245">
        <v>0.79</v>
      </c>
      <c r="E1806" s="201">
        <v>0.55000000000000004</v>
      </c>
      <c r="F1806" s="201">
        <v>11.45</v>
      </c>
      <c r="G1806" s="202">
        <f t="shared" si="95"/>
        <v>4.9750250000000005</v>
      </c>
      <c r="H1806" s="202">
        <f t="shared" si="96"/>
        <v>21.640499999999999</v>
      </c>
      <c r="I1806" s="82"/>
      <c r="J1806" s="114"/>
      <c r="BB1806" s="117"/>
      <c r="BC1806" s="117"/>
      <c r="BD1806" s="117"/>
    </row>
    <row r="1807" spans="1:56" ht="15">
      <c r="A1807" s="114"/>
      <c r="B1807" s="244" t="s">
        <v>765</v>
      </c>
      <c r="C1807" s="200">
        <v>1</v>
      </c>
      <c r="D1807" s="245">
        <v>0.25</v>
      </c>
      <c r="E1807" s="201">
        <v>0.55000000000000004</v>
      </c>
      <c r="F1807" s="201">
        <v>4.45</v>
      </c>
      <c r="G1807" s="202">
        <f t="shared" si="95"/>
        <v>0.61187500000000006</v>
      </c>
      <c r="H1807" s="202">
        <f t="shared" si="96"/>
        <v>6.0075000000000003</v>
      </c>
      <c r="I1807" s="82"/>
      <c r="J1807" s="114"/>
      <c r="BB1807" s="117"/>
      <c r="BC1807" s="117"/>
      <c r="BD1807" s="117"/>
    </row>
    <row r="1808" spans="1:56" ht="15">
      <c r="A1808" s="114"/>
      <c r="B1808" s="244" t="s">
        <v>759</v>
      </c>
      <c r="C1808" s="200">
        <v>1</v>
      </c>
      <c r="D1808" s="245">
        <v>0.2</v>
      </c>
      <c r="E1808" s="245">
        <v>0.5</v>
      </c>
      <c r="F1808" s="201">
        <v>5.58</v>
      </c>
      <c r="G1808" s="202">
        <f t="shared" si="95"/>
        <v>0.55800000000000005</v>
      </c>
      <c r="H1808" s="202">
        <f t="shared" si="96"/>
        <v>6.6959999999999997</v>
      </c>
      <c r="I1808" s="82"/>
      <c r="J1808" s="114"/>
      <c r="BB1808" s="117"/>
      <c r="BC1808" s="117"/>
      <c r="BD1808" s="117"/>
    </row>
    <row r="1809" spans="1:56" ht="15">
      <c r="A1809" s="114"/>
      <c r="B1809" s="244" t="s">
        <v>761</v>
      </c>
      <c r="C1809" s="200">
        <v>1</v>
      </c>
      <c r="D1809" s="245">
        <v>0.2</v>
      </c>
      <c r="E1809" s="245">
        <v>0.5</v>
      </c>
      <c r="F1809" s="201">
        <v>5.58</v>
      </c>
      <c r="G1809" s="202">
        <f t="shared" si="95"/>
        <v>0.55800000000000005</v>
      </c>
      <c r="H1809" s="202">
        <f t="shared" si="96"/>
        <v>6.6959999999999997</v>
      </c>
      <c r="I1809" s="82"/>
      <c r="J1809" s="114"/>
      <c r="BB1809" s="117"/>
      <c r="BC1809" s="117"/>
      <c r="BD1809" s="117"/>
    </row>
    <row r="1810" spans="1:56" ht="15">
      <c r="A1810" s="114"/>
      <c r="B1810" s="244" t="s">
        <v>766</v>
      </c>
      <c r="C1810" s="200">
        <v>1</v>
      </c>
      <c r="D1810" s="245">
        <v>0.2</v>
      </c>
      <c r="E1810" s="245">
        <v>0.5</v>
      </c>
      <c r="F1810" s="201">
        <v>3.35</v>
      </c>
      <c r="G1810" s="202">
        <f t="shared" si="95"/>
        <v>0.33500000000000002</v>
      </c>
      <c r="H1810" s="202">
        <f t="shared" si="96"/>
        <v>4.0199999999999996</v>
      </c>
      <c r="I1810" s="82"/>
      <c r="J1810" s="114"/>
      <c r="BB1810" s="117"/>
      <c r="BC1810" s="117"/>
      <c r="BD1810" s="117"/>
    </row>
    <row r="1811" spans="1:56" ht="15">
      <c r="A1811" s="114"/>
      <c r="B1811" s="244" t="s">
        <v>759</v>
      </c>
      <c r="C1811" s="200">
        <v>1</v>
      </c>
      <c r="D1811" s="245">
        <v>0.2</v>
      </c>
      <c r="E1811" s="201">
        <v>0.5</v>
      </c>
      <c r="F1811" s="201">
        <v>5.5750000000000002</v>
      </c>
      <c r="G1811" s="202">
        <f t="shared" ref="G1811:G1813" si="99">D1811*E1811*F1811*C1811</f>
        <v>0.5575</v>
      </c>
      <c r="H1811" s="202">
        <f t="shared" ref="H1811:H1813" si="100">((E1811*2)+D1811)*F1811*C1811</f>
        <v>6.69</v>
      </c>
      <c r="I1811" s="82"/>
      <c r="J1811" s="114"/>
      <c r="BB1811" s="117"/>
      <c r="BC1811" s="117"/>
      <c r="BD1811" s="117"/>
    </row>
    <row r="1812" spans="1:56" ht="15">
      <c r="A1812" s="114"/>
      <c r="B1812" s="244" t="s">
        <v>761</v>
      </c>
      <c r="C1812" s="200">
        <v>1</v>
      </c>
      <c r="D1812" s="245">
        <v>0.2</v>
      </c>
      <c r="E1812" s="201">
        <v>0.5</v>
      </c>
      <c r="F1812" s="201">
        <v>5.5750000000000002</v>
      </c>
      <c r="G1812" s="202">
        <f t="shared" si="99"/>
        <v>0.5575</v>
      </c>
      <c r="H1812" s="202">
        <f t="shared" si="100"/>
        <v>6.69</v>
      </c>
      <c r="I1812" s="82"/>
      <c r="J1812" s="114"/>
      <c r="BB1812" s="117"/>
      <c r="BC1812" s="117"/>
      <c r="BD1812" s="117"/>
    </row>
    <row r="1813" spans="1:56" ht="15">
      <c r="A1813" s="114"/>
      <c r="B1813" s="244" t="s">
        <v>766</v>
      </c>
      <c r="C1813" s="200">
        <v>1</v>
      </c>
      <c r="D1813" s="245">
        <v>0.2</v>
      </c>
      <c r="E1813" s="201">
        <v>0.35</v>
      </c>
      <c r="F1813" s="201">
        <v>3.35</v>
      </c>
      <c r="G1813" s="202">
        <f t="shared" si="99"/>
        <v>0.23449999999999999</v>
      </c>
      <c r="H1813" s="202">
        <f t="shared" si="100"/>
        <v>3.0149999999999997</v>
      </c>
      <c r="I1813" s="82"/>
      <c r="J1813" s="114"/>
      <c r="BB1813" s="117"/>
      <c r="BC1813" s="117"/>
      <c r="BD1813" s="117"/>
    </row>
    <row r="1814" spans="1:56" ht="15">
      <c r="A1814" s="114"/>
      <c r="B1814" s="244" t="s">
        <v>194</v>
      </c>
      <c r="C1814" s="200">
        <v>1</v>
      </c>
      <c r="D1814" s="245">
        <v>0.25</v>
      </c>
      <c r="E1814" s="201">
        <v>0.4</v>
      </c>
      <c r="F1814" s="201">
        <v>5</v>
      </c>
      <c r="G1814" s="202">
        <f t="shared" ref="G1814:G1816" si="101">D1814*E1814*F1814*C1814</f>
        <v>0.5</v>
      </c>
      <c r="H1814" s="202">
        <f t="shared" ref="H1814:H1816" si="102">((E1814*2)+D1814)*F1814*C1814</f>
        <v>5.25</v>
      </c>
      <c r="I1814" s="82"/>
      <c r="J1814" s="114"/>
      <c r="BB1814" s="117"/>
      <c r="BC1814" s="117"/>
      <c r="BD1814" s="117"/>
    </row>
    <row r="1815" spans="1:56" ht="15">
      <c r="A1815" s="114"/>
      <c r="B1815" s="244" t="s">
        <v>195</v>
      </c>
      <c r="C1815" s="200">
        <v>1</v>
      </c>
      <c r="D1815" s="245">
        <v>0.3</v>
      </c>
      <c r="E1815" s="201">
        <v>0.4</v>
      </c>
      <c r="F1815" s="201">
        <v>1.35</v>
      </c>
      <c r="G1815" s="202">
        <f t="shared" si="101"/>
        <v>0.16200000000000001</v>
      </c>
      <c r="H1815" s="202">
        <f t="shared" si="102"/>
        <v>1.4850000000000003</v>
      </c>
      <c r="I1815" s="82"/>
      <c r="J1815" s="114"/>
      <c r="BB1815" s="117"/>
      <c r="BC1815" s="117"/>
      <c r="BD1815" s="117"/>
    </row>
    <row r="1816" spans="1:56" ht="15">
      <c r="A1816" s="114"/>
      <c r="B1816" s="244" t="s">
        <v>196</v>
      </c>
      <c r="C1816" s="200">
        <v>1</v>
      </c>
      <c r="D1816" s="245">
        <v>0.3</v>
      </c>
      <c r="E1816" s="201">
        <v>0.4</v>
      </c>
      <c r="F1816" s="201">
        <v>1.35</v>
      </c>
      <c r="G1816" s="202">
        <f t="shared" si="101"/>
        <v>0.16200000000000001</v>
      </c>
      <c r="H1816" s="202">
        <f t="shared" si="102"/>
        <v>1.4850000000000003</v>
      </c>
      <c r="I1816" s="82"/>
      <c r="J1816" s="114"/>
      <c r="BB1816" s="117"/>
      <c r="BC1816" s="117"/>
      <c r="BD1816" s="117"/>
    </row>
    <row r="1817" spans="1:56" ht="15">
      <c r="A1817" s="114"/>
      <c r="B1817" s="114"/>
      <c r="C1817" s="114"/>
      <c r="D1817" s="114"/>
      <c r="E1817" s="114"/>
      <c r="F1817" s="254" t="s">
        <v>76</v>
      </c>
      <c r="G1817" s="258">
        <f>SUM(G1762:G1816)</f>
        <v>521.32187499999986</v>
      </c>
      <c r="H1817" s="258">
        <f>SUM(H1762:H1816)</f>
        <v>1868.9532499999971</v>
      </c>
      <c r="I1817" s="82"/>
      <c r="J1817" s="114"/>
      <c r="BB1817" s="117"/>
      <c r="BC1817" s="117"/>
      <c r="BD1817" s="117"/>
    </row>
    <row r="1818" spans="1:56" ht="15">
      <c r="A1818" s="114"/>
      <c r="B1818" s="114"/>
      <c r="C1818" s="114"/>
      <c r="D1818" s="114"/>
      <c r="E1818" s="114"/>
      <c r="F1818" s="114"/>
      <c r="G1818" s="114"/>
      <c r="H1818" s="114"/>
      <c r="I1818" s="82"/>
      <c r="J1818" s="114"/>
      <c r="BB1818" s="117"/>
      <c r="BC1818" s="117"/>
      <c r="BD1818" s="117"/>
    </row>
    <row r="1819" spans="1:56">
      <c r="A1819" s="114"/>
      <c r="B1819" s="242" t="s">
        <v>1647</v>
      </c>
      <c r="C1819" s="199" t="s">
        <v>61</v>
      </c>
      <c r="D1819" s="199" t="s">
        <v>82</v>
      </c>
      <c r="E1819" s="199" t="s">
        <v>768</v>
      </c>
      <c r="F1819" s="243" t="s">
        <v>99</v>
      </c>
      <c r="G1819" s="243" t="s">
        <v>68</v>
      </c>
      <c r="H1819" s="115"/>
      <c r="I1819" s="82"/>
      <c r="J1819" s="114"/>
      <c r="BB1819" s="117"/>
      <c r="BC1819" s="117"/>
      <c r="BD1819" s="117"/>
    </row>
    <row r="1820" spans="1:56">
      <c r="A1820" s="114"/>
      <c r="B1820" s="244" t="s">
        <v>727</v>
      </c>
      <c r="C1820" s="648">
        <v>-1</v>
      </c>
      <c r="D1820" s="245">
        <v>0.75</v>
      </c>
      <c r="E1820" s="245">
        <f>0.4725+0.4225</f>
        <v>0.89500000000000002</v>
      </c>
      <c r="F1820" s="202">
        <f>D1820*E1820*C1820</f>
        <v>-0.67125000000000001</v>
      </c>
      <c r="G1820" s="202">
        <f>E1820*2*C1820</f>
        <v>-1.79</v>
      </c>
      <c r="H1820" s="115"/>
      <c r="I1820" s="82"/>
      <c r="J1820" s="114"/>
      <c r="BB1820" s="117"/>
      <c r="BC1820" s="117"/>
      <c r="BD1820" s="117"/>
    </row>
    <row r="1821" spans="1:56">
      <c r="A1821" s="114"/>
      <c r="B1821" s="244" t="s">
        <v>732</v>
      </c>
      <c r="C1821" s="648">
        <v>-1</v>
      </c>
      <c r="D1821" s="245">
        <v>0.75</v>
      </c>
      <c r="E1821" s="245">
        <f>0.2625+0.6175*2+3.045+0.477</f>
        <v>5.0195000000000007</v>
      </c>
      <c r="F1821" s="202">
        <f>D1821*E1821*C1821</f>
        <v>-3.7646250000000006</v>
      </c>
      <c r="G1821" s="202">
        <f>E1821*2*C1821</f>
        <v>-10.039000000000001</v>
      </c>
      <c r="H1821" s="115"/>
      <c r="I1821" s="82"/>
      <c r="J1821" s="114"/>
      <c r="BB1821" s="117"/>
      <c r="BC1821" s="117"/>
      <c r="BD1821" s="117"/>
    </row>
    <row r="1822" spans="1:56">
      <c r="A1822" s="114"/>
      <c r="B1822" s="114"/>
      <c r="C1822" s="114"/>
      <c r="D1822" s="114"/>
      <c r="E1822" s="254" t="s">
        <v>767</v>
      </c>
      <c r="F1822" s="258">
        <f>SUM(F1820:F1821)</f>
        <v>-4.4358750000000002</v>
      </c>
      <c r="G1822" s="258">
        <f>SUM(G1820:G1821)</f>
        <v>-11.829000000000001</v>
      </c>
      <c r="H1822" s="115"/>
      <c r="I1822" s="82"/>
      <c r="J1822" s="114"/>
      <c r="BB1822" s="117"/>
      <c r="BC1822" s="117"/>
      <c r="BD1822" s="117"/>
    </row>
    <row r="1823" spans="1:56" s="259" customFormat="1" ht="15">
      <c r="A1823" s="114"/>
      <c r="B1823" s="293"/>
      <c r="C1823" s="81"/>
      <c r="D1823" s="81"/>
      <c r="E1823" s="81"/>
      <c r="F1823" s="349"/>
      <c r="G1823" s="81"/>
      <c r="H1823" s="82"/>
      <c r="I1823" s="82"/>
      <c r="J1823" s="114"/>
      <c r="K1823" s="114"/>
      <c r="L1823" s="114"/>
      <c r="M1823" s="114"/>
      <c r="N1823" s="114"/>
      <c r="O1823" s="114"/>
      <c r="P1823" s="114"/>
      <c r="Q1823" s="114"/>
      <c r="R1823" s="114"/>
      <c r="S1823" s="114"/>
      <c r="T1823" s="114"/>
      <c r="U1823" s="114"/>
      <c r="V1823" s="114"/>
      <c r="W1823" s="114"/>
      <c r="X1823" s="114"/>
      <c r="Y1823" s="114"/>
      <c r="Z1823" s="114"/>
      <c r="AA1823" s="114"/>
      <c r="AB1823" s="114"/>
      <c r="AC1823" s="114"/>
      <c r="AD1823" s="114"/>
      <c r="AE1823" s="114"/>
      <c r="AF1823" s="114"/>
      <c r="AG1823" s="114"/>
      <c r="AH1823" s="114"/>
      <c r="AI1823" s="114"/>
      <c r="AJ1823" s="114"/>
      <c r="AK1823" s="114"/>
      <c r="AL1823" s="114"/>
      <c r="AM1823" s="114"/>
      <c r="AN1823" s="114"/>
      <c r="AO1823" s="114"/>
      <c r="AP1823" s="114"/>
      <c r="AQ1823" s="114"/>
      <c r="AR1823" s="114"/>
      <c r="AS1823" s="114"/>
      <c r="AT1823" s="114"/>
      <c r="AU1823" s="114"/>
      <c r="AV1823" s="114"/>
      <c r="AW1823" s="114"/>
      <c r="AX1823" s="114"/>
      <c r="AY1823" s="114"/>
      <c r="AZ1823" s="114"/>
      <c r="BA1823" s="114"/>
    </row>
    <row r="1824" spans="1:56" ht="15">
      <c r="A1824" s="114"/>
      <c r="B1824" s="114"/>
      <c r="C1824" s="114"/>
      <c r="D1824" s="114"/>
      <c r="E1824" s="114"/>
      <c r="F1824" s="114"/>
      <c r="G1824" s="114"/>
      <c r="H1824" s="114"/>
      <c r="I1824" s="82"/>
      <c r="J1824" s="114"/>
      <c r="BB1824" s="117"/>
      <c r="BC1824" s="117"/>
      <c r="BD1824" s="117"/>
    </row>
    <row r="1825" spans="1:56">
      <c r="A1825" s="114"/>
      <c r="B1825" s="242" t="s">
        <v>1536</v>
      </c>
      <c r="C1825" s="199" t="s">
        <v>61</v>
      </c>
      <c r="D1825" s="199" t="s">
        <v>155</v>
      </c>
      <c r="E1825" s="199" t="s">
        <v>82</v>
      </c>
      <c r="F1825" s="199" t="s">
        <v>62</v>
      </c>
      <c r="G1825" s="243" t="s">
        <v>99</v>
      </c>
      <c r="H1825" s="243" t="s">
        <v>68</v>
      </c>
      <c r="I1825" s="115"/>
      <c r="J1825" s="82"/>
      <c r="BC1825" s="117"/>
      <c r="BD1825" s="117"/>
    </row>
    <row r="1826" spans="1:56">
      <c r="A1826" s="114"/>
      <c r="B1826" s="244" t="s">
        <v>1534</v>
      </c>
      <c r="C1826" s="200">
        <v>1</v>
      </c>
      <c r="D1826" s="245">
        <v>0.25</v>
      </c>
      <c r="E1826" s="245">
        <v>0.45</v>
      </c>
      <c r="F1826" s="245">
        <f>145.6+11.6+11.356+11.356+98.55+35.8</f>
        <v>314.262</v>
      </c>
      <c r="G1826" s="202">
        <f t="shared" ref="G1826" si="103">D1826*E1826*F1826*C1826</f>
        <v>35.354475000000001</v>
      </c>
      <c r="H1826" s="202">
        <f t="shared" ref="H1826" si="104">((E1826*2)+D1826)*F1826*C1826</f>
        <v>361.40129999999999</v>
      </c>
      <c r="I1826" s="115"/>
      <c r="J1826" s="82"/>
      <c r="BC1826" s="117"/>
      <c r="BD1826" s="117"/>
    </row>
    <row r="1827" spans="1:56" ht="15">
      <c r="A1827" s="114"/>
      <c r="B1827" s="114"/>
      <c r="C1827" s="114"/>
      <c r="D1827" s="114"/>
      <c r="E1827" s="117"/>
      <c r="F1827" s="254" t="s">
        <v>767</v>
      </c>
      <c r="G1827" s="258">
        <f>SUM(G1826:G1826)</f>
        <v>35.354475000000001</v>
      </c>
      <c r="H1827" s="258">
        <f>SUM(H1826:H1826)</f>
        <v>361.40129999999999</v>
      </c>
      <c r="I1827" s="82"/>
      <c r="J1827" s="114"/>
      <c r="BB1827" s="117"/>
      <c r="BC1827" s="117"/>
      <c r="BD1827" s="117"/>
    </row>
    <row r="1828" spans="1:56">
      <c r="A1828" s="114"/>
      <c r="B1828" s="115"/>
      <c r="C1828" s="115"/>
      <c r="D1828" s="115"/>
      <c r="E1828" s="115"/>
      <c r="F1828" s="115"/>
      <c r="G1828" s="115"/>
      <c r="H1828" s="115"/>
      <c r="I1828" s="115"/>
      <c r="J1828" s="114"/>
      <c r="BB1828" s="117"/>
      <c r="BC1828" s="117"/>
      <c r="BD1828" s="117"/>
    </row>
    <row r="1829" spans="1:56" ht="15">
      <c r="A1829" s="114"/>
      <c r="B1829" s="114"/>
      <c r="C1829" s="114"/>
      <c r="D1829" s="114"/>
      <c r="E1829" s="114"/>
      <c r="F1829" s="114"/>
      <c r="G1829" s="114"/>
      <c r="H1829" s="114"/>
      <c r="I1829" s="82"/>
      <c r="J1829" s="114"/>
      <c r="BB1829" s="117"/>
      <c r="BC1829" s="117"/>
      <c r="BD1829" s="117"/>
    </row>
    <row r="1830" spans="1:56">
      <c r="A1830" s="114"/>
      <c r="B1830" s="242" t="s">
        <v>93</v>
      </c>
      <c r="C1830" s="199" t="s">
        <v>61</v>
      </c>
      <c r="D1830" s="199" t="s">
        <v>82</v>
      </c>
      <c r="E1830" s="199" t="s">
        <v>768</v>
      </c>
      <c r="F1830" s="243" t="s">
        <v>99</v>
      </c>
      <c r="G1830" s="243" t="s">
        <v>68</v>
      </c>
      <c r="H1830" s="115"/>
      <c r="I1830" s="82"/>
      <c r="J1830" s="114"/>
      <c r="BB1830" s="117"/>
      <c r="BC1830" s="117"/>
      <c r="BD1830" s="117"/>
    </row>
    <row r="1831" spans="1:56">
      <c r="A1831" s="114"/>
      <c r="B1831" s="244" t="s">
        <v>1519</v>
      </c>
      <c r="C1831" s="200">
        <v>1</v>
      </c>
      <c r="D1831" s="245">
        <v>0.1</v>
      </c>
      <c r="E1831" s="245">
        <f>254.3-(D1826*F1826)</f>
        <v>175.73450000000003</v>
      </c>
      <c r="F1831" s="202">
        <f t="shared" ref="F1831:F1833" si="105">D1831*E1831</f>
        <v>17.573450000000005</v>
      </c>
      <c r="G1831" s="202">
        <f t="shared" ref="G1831:G1833" si="106">E1831</f>
        <v>175.73450000000003</v>
      </c>
      <c r="H1831" s="115"/>
      <c r="I1831" s="82"/>
      <c r="J1831" s="114"/>
      <c r="BB1831" s="117"/>
      <c r="BC1831" s="117"/>
      <c r="BD1831" s="117"/>
    </row>
    <row r="1832" spans="1:56">
      <c r="A1832" s="114"/>
      <c r="B1832" s="244" t="s">
        <v>1510</v>
      </c>
      <c r="C1832" s="200">
        <v>1</v>
      </c>
      <c r="D1832" s="245">
        <v>0.12</v>
      </c>
      <c r="E1832" s="245">
        <f>23.47+3.99+9.68+9.68+4.05+12.015+83.72+19.35</f>
        <v>165.95499999999998</v>
      </c>
      <c r="F1832" s="202">
        <f t="shared" si="105"/>
        <v>19.914599999999997</v>
      </c>
      <c r="G1832" s="202">
        <f t="shared" si="106"/>
        <v>165.95499999999998</v>
      </c>
      <c r="H1832" s="115"/>
      <c r="I1832" s="82"/>
      <c r="J1832" s="114"/>
      <c r="BB1832" s="117"/>
      <c r="BC1832" s="117"/>
      <c r="BD1832" s="117"/>
    </row>
    <row r="1833" spans="1:56">
      <c r="A1833" s="114"/>
      <c r="B1833" s="244" t="s">
        <v>1532</v>
      </c>
      <c r="C1833" s="200">
        <v>1</v>
      </c>
      <c r="D1833" s="245">
        <v>0.2</v>
      </c>
      <c r="E1833" s="245">
        <v>16.5</v>
      </c>
      <c r="F1833" s="202">
        <f t="shared" si="105"/>
        <v>3.3000000000000003</v>
      </c>
      <c r="G1833" s="202">
        <f t="shared" si="106"/>
        <v>16.5</v>
      </c>
      <c r="H1833" s="115"/>
      <c r="I1833" s="82"/>
      <c r="J1833" s="114"/>
      <c r="BB1833" s="117"/>
      <c r="BC1833" s="117"/>
      <c r="BD1833" s="117"/>
    </row>
    <row r="1834" spans="1:56">
      <c r="A1834" s="114"/>
      <c r="B1834" s="114"/>
      <c r="C1834" s="114"/>
      <c r="D1834" s="114"/>
      <c r="E1834" s="254" t="s">
        <v>767</v>
      </c>
      <c r="F1834" s="258">
        <f>SUM(F1831:F1833)</f>
        <v>40.788049999999998</v>
      </c>
      <c r="G1834" s="258">
        <f>SUM(G1831:G1833)</f>
        <v>358.18950000000001</v>
      </c>
      <c r="H1834" s="115"/>
      <c r="I1834" s="82"/>
      <c r="J1834" s="114"/>
      <c r="BB1834" s="117"/>
      <c r="BC1834" s="117"/>
      <c r="BD1834" s="117"/>
    </row>
    <row r="1835" spans="1:56" s="259" customFormat="1" ht="15">
      <c r="A1835" s="114"/>
      <c r="B1835" s="293"/>
      <c r="C1835" s="81"/>
      <c r="D1835" s="81"/>
      <c r="E1835" s="81"/>
      <c r="F1835" s="349"/>
      <c r="G1835" s="81"/>
      <c r="H1835" s="82"/>
      <c r="I1835" s="82"/>
      <c r="J1835" s="114"/>
      <c r="K1835" s="114"/>
      <c r="L1835" s="114"/>
      <c r="M1835" s="114"/>
      <c r="N1835" s="114"/>
      <c r="O1835" s="114"/>
      <c r="P1835" s="114"/>
      <c r="Q1835" s="114"/>
      <c r="R1835" s="114"/>
      <c r="S1835" s="114"/>
      <c r="T1835" s="114"/>
      <c r="U1835" s="114"/>
      <c r="V1835" s="114"/>
      <c r="W1835" s="114"/>
      <c r="X1835" s="114"/>
      <c r="Y1835" s="114"/>
      <c r="Z1835" s="114"/>
      <c r="AA1835" s="114"/>
      <c r="AB1835" s="114"/>
      <c r="AC1835" s="114"/>
      <c r="AD1835" s="114"/>
      <c r="AE1835" s="114"/>
      <c r="AF1835" s="114"/>
      <c r="AG1835" s="114"/>
      <c r="AH1835" s="114"/>
      <c r="AI1835" s="114"/>
      <c r="AJ1835" s="114"/>
      <c r="AK1835" s="114"/>
      <c r="AL1835" s="114"/>
      <c r="AM1835" s="114"/>
      <c r="AN1835" s="114"/>
      <c r="AO1835" s="114"/>
      <c r="AP1835" s="114"/>
      <c r="AQ1835" s="114"/>
      <c r="AR1835" s="114"/>
      <c r="AS1835" s="114"/>
      <c r="AT1835" s="114"/>
      <c r="AU1835" s="114"/>
      <c r="AV1835" s="114"/>
      <c r="AW1835" s="114"/>
      <c r="AX1835" s="114"/>
      <c r="AY1835" s="114"/>
      <c r="AZ1835" s="114"/>
      <c r="BA1835" s="114"/>
    </row>
    <row r="1836" spans="1:56">
      <c r="A1836" s="114"/>
      <c r="B1836" s="115"/>
      <c r="C1836" s="115"/>
      <c r="D1836" s="115"/>
      <c r="E1836" s="115"/>
      <c r="F1836" s="115"/>
      <c r="G1836" s="115"/>
      <c r="H1836" s="115"/>
      <c r="I1836" s="82"/>
      <c r="J1836" s="114"/>
      <c r="BB1836" s="117"/>
      <c r="BC1836" s="117"/>
      <c r="BD1836" s="117"/>
    </row>
    <row r="1837" spans="1:56">
      <c r="A1837" s="114"/>
      <c r="B1837" s="1310" t="s">
        <v>1092</v>
      </c>
      <c r="C1837" s="1310"/>
      <c r="D1837" s="1310"/>
      <c r="E1837" s="1310"/>
      <c r="F1837" s="1311"/>
      <c r="G1837" s="115"/>
      <c r="H1837" s="115"/>
      <c r="I1837" s="82"/>
      <c r="J1837" s="114"/>
      <c r="BB1837" s="117"/>
      <c r="BC1837" s="117"/>
      <c r="BD1837" s="117"/>
    </row>
    <row r="1838" spans="1:56">
      <c r="A1838" s="114"/>
      <c r="B1838" s="278"/>
      <c r="C1838" s="115"/>
      <c r="D1838" s="115"/>
      <c r="E1838" s="115"/>
      <c r="F1838" s="357"/>
      <c r="G1838" s="115"/>
      <c r="H1838" s="115"/>
      <c r="I1838" s="82"/>
      <c r="J1838" s="114"/>
      <c r="BB1838" s="117"/>
      <c r="BC1838" s="117"/>
      <c r="BD1838" s="117"/>
    </row>
    <row r="1839" spans="1:56">
      <c r="A1839" s="114"/>
      <c r="B1839" s="279" t="s">
        <v>315</v>
      </c>
      <c r="C1839" s="203"/>
      <c r="D1839" s="204"/>
      <c r="E1839" s="205">
        <f>G1834+H1827+G1822+H1817+G1752+H1746+H1741+G1710+H1705</f>
        <v>9239.188874999998</v>
      </c>
      <c r="F1839" s="206" t="s">
        <v>13</v>
      </c>
      <c r="G1839" s="115"/>
      <c r="H1839" s="115"/>
      <c r="I1839" s="82"/>
      <c r="J1839" s="114"/>
      <c r="BB1839" s="117"/>
      <c r="BC1839" s="117"/>
      <c r="BD1839" s="117"/>
    </row>
    <row r="1840" spans="1:56">
      <c r="A1840" s="114"/>
      <c r="B1840" s="279" t="s">
        <v>316</v>
      </c>
      <c r="C1840" s="203"/>
      <c r="D1840" s="204"/>
      <c r="E1840" s="205">
        <f>F1834+G1827+F1822+G1817+F1752+G1746+G1741+G1714+F1710+G1705</f>
        <v>2719.5162114</v>
      </c>
      <c r="F1840" s="206" t="s">
        <v>100</v>
      </c>
      <c r="G1840" s="115"/>
      <c r="H1840" s="115"/>
      <c r="I1840" s="82"/>
      <c r="J1840" s="114"/>
      <c r="BB1840" s="117"/>
      <c r="BC1840" s="117"/>
      <c r="BD1840" s="117"/>
    </row>
    <row r="1841" spans="1:56">
      <c r="A1841" s="114"/>
      <c r="B1841" s="279" t="s">
        <v>1676</v>
      </c>
      <c r="C1841" s="203"/>
      <c r="D1841" s="204"/>
      <c r="E1841" s="205">
        <f>F1756</f>
        <v>16.231000000000002</v>
      </c>
      <c r="F1841" s="206" t="s">
        <v>100</v>
      </c>
      <c r="G1841" s="331"/>
      <c r="H1841" s="115"/>
      <c r="I1841" s="82"/>
      <c r="J1841" s="114"/>
      <c r="BB1841" s="117"/>
      <c r="BC1841" s="117"/>
      <c r="BD1841" s="117"/>
    </row>
    <row r="1842" spans="1:56">
      <c r="A1842" s="114"/>
      <c r="B1842" s="279" t="s">
        <v>771</v>
      </c>
      <c r="C1842" s="684">
        <f>H1714</f>
        <v>3869.3207999999991</v>
      </c>
      <c r="D1842" s="206" t="s">
        <v>13</v>
      </c>
      <c r="E1842" s="231">
        <f>I1714</f>
        <v>4776.9392592592576</v>
      </c>
      <c r="F1842" s="206" t="s">
        <v>772</v>
      </c>
      <c r="G1842" s="115"/>
      <c r="H1842" s="115"/>
      <c r="I1842" s="82"/>
      <c r="J1842" s="114"/>
      <c r="BB1842" s="117"/>
      <c r="BC1842" s="117"/>
      <c r="BD1842" s="117"/>
    </row>
    <row r="1843" spans="1:56">
      <c r="A1843" s="114"/>
      <c r="B1843" s="237"/>
      <c r="C1843" s="237"/>
      <c r="D1843" s="237"/>
      <c r="E1843" s="237"/>
      <c r="F1843" s="237"/>
      <c r="G1843" s="115"/>
      <c r="H1843" s="115"/>
      <c r="I1843" s="82"/>
      <c r="J1843" s="114"/>
      <c r="BB1843" s="117"/>
      <c r="BC1843" s="117"/>
      <c r="BD1843" s="117"/>
    </row>
    <row r="1844" spans="1:56">
      <c r="A1844" s="114"/>
      <c r="B1844" s="115"/>
      <c r="C1844" s="115"/>
      <c r="D1844" s="115"/>
      <c r="E1844" s="115"/>
      <c r="F1844" s="115"/>
      <c r="G1844" s="115"/>
      <c r="H1844" s="115"/>
      <c r="I1844" s="115"/>
      <c r="J1844" s="114"/>
      <c r="BB1844" s="117"/>
      <c r="BC1844" s="117"/>
      <c r="BD1844" s="117"/>
    </row>
    <row r="1845" spans="1:56" s="356" customFormat="1" ht="15">
      <c r="A1845" s="353"/>
      <c r="B1845" s="354" t="s">
        <v>1650</v>
      </c>
      <c r="C1845" s="354"/>
      <c r="D1845" s="354"/>
      <c r="E1845" s="354"/>
      <c r="F1845" s="354"/>
      <c r="G1845" s="354"/>
      <c r="H1845" s="355"/>
      <c r="I1845" s="355"/>
      <c r="J1845" s="353"/>
      <c r="K1845" s="353"/>
      <c r="L1845" s="353"/>
      <c r="M1845" s="353"/>
      <c r="N1845" s="353"/>
      <c r="O1845" s="353"/>
      <c r="P1845" s="353"/>
      <c r="Q1845" s="353"/>
      <c r="R1845" s="353"/>
      <c r="S1845" s="353"/>
      <c r="T1845" s="353"/>
      <c r="U1845" s="353"/>
      <c r="V1845" s="353"/>
      <c r="W1845" s="353"/>
      <c r="X1845" s="353"/>
      <c r="Y1845" s="353"/>
      <c r="Z1845" s="353"/>
      <c r="AA1845" s="353"/>
      <c r="AB1845" s="353"/>
      <c r="AC1845" s="353"/>
      <c r="AD1845" s="353"/>
      <c r="AE1845" s="353"/>
      <c r="AF1845" s="353"/>
      <c r="AG1845" s="353"/>
      <c r="AH1845" s="353"/>
      <c r="AI1845" s="353"/>
      <c r="AJ1845" s="353"/>
      <c r="AK1845" s="353"/>
      <c r="AL1845" s="353"/>
      <c r="AM1845" s="353"/>
      <c r="AN1845" s="353"/>
      <c r="AO1845" s="353"/>
      <c r="AP1845" s="353"/>
      <c r="AQ1845" s="353"/>
      <c r="AR1845" s="353"/>
      <c r="AS1845" s="353"/>
      <c r="AT1845" s="353"/>
      <c r="AU1845" s="353"/>
      <c r="AV1845" s="353"/>
      <c r="AW1845" s="353"/>
      <c r="AX1845" s="353"/>
      <c r="AY1845" s="353"/>
      <c r="AZ1845" s="353"/>
      <c r="BA1845" s="353"/>
    </row>
    <row r="1846" spans="1:56">
      <c r="A1846" s="114"/>
      <c r="B1846" s="115"/>
      <c r="C1846" s="115"/>
      <c r="D1846" s="115"/>
      <c r="E1846" s="115"/>
      <c r="F1846" s="115"/>
      <c r="G1846" s="115"/>
      <c r="H1846" s="115"/>
      <c r="I1846" s="115"/>
      <c r="J1846" s="114"/>
      <c r="BB1846" s="117"/>
      <c r="BC1846" s="117"/>
      <c r="BD1846" s="117"/>
    </row>
    <row r="1847" spans="1:56" ht="15">
      <c r="A1847" s="114"/>
      <c r="B1847" s="627" t="s">
        <v>2267</v>
      </c>
      <c r="C1847" s="623"/>
      <c r="D1847" s="623"/>
      <c r="E1847" s="623"/>
      <c r="F1847" s="623"/>
      <c r="G1847" s="623"/>
      <c r="H1847" s="624"/>
      <c r="I1847" s="624"/>
      <c r="J1847" s="625"/>
      <c r="BB1847" s="117"/>
      <c r="BC1847" s="117"/>
      <c r="BD1847" s="117"/>
    </row>
    <row r="1848" spans="1:56" ht="15">
      <c r="A1848" s="114"/>
      <c r="B1848" s="293"/>
      <c r="C1848" s="81"/>
      <c r="D1848" s="81"/>
      <c r="E1848" s="81"/>
      <c r="F1848" s="81"/>
      <c r="G1848" s="81"/>
      <c r="H1848" s="82"/>
      <c r="I1848" s="82"/>
      <c r="J1848" s="114"/>
      <c r="BB1848" s="117"/>
      <c r="BC1848" s="117"/>
      <c r="BD1848" s="117"/>
    </row>
    <row r="1849" spans="1:56" ht="15">
      <c r="A1849" s="114"/>
      <c r="B1849" s="242" t="s">
        <v>97</v>
      </c>
      <c r="C1849" s="199" t="s">
        <v>61</v>
      </c>
      <c r="D1849" s="199" t="s">
        <v>82</v>
      </c>
      <c r="E1849" s="199" t="s">
        <v>66</v>
      </c>
      <c r="F1849" s="199" t="s">
        <v>62</v>
      </c>
      <c r="G1849" s="243" t="s">
        <v>99</v>
      </c>
      <c r="H1849" s="243" t="s">
        <v>68</v>
      </c>
      <c r="I1849" s="82"/>
      <c r="J1849" s="114"/>
      <c r="BB1849" s="117"/>
      <c r="BC1849" s="117"/>
      <c r="BD1849" s="117"/>
    </row>
    <row r="1850" spans="1:56" ht="15">
      <c r="A1850" s="114"/>
      <c r="B1850" s="244" t="s">
        <v>773</v>
      </c>
      <c r="C1850" s="200">
        <v>1</v>
      </c>
      <c r="D1850" s="245">
        <v>0.3</v>
      </c>
      <c r="E1850" s="201">
        <v>0.7</v>
      </c>
      <c r="F1850" s="201">
        <v>36.75</v>
      </c>
      <c r="G1850" s="202">
        <f t="shared" ref="G1850:G1928" si="107">D1850*E1850*F1850*C1850</f>
        <v>7.7174999999999994</v>
      </c>
      <c r="H1850" s="202">
        <f t="shared" ref="H1850:H1928" si="108">((E1850*2)+D1850)*F1850*C1850</f>
        <v>62.475000000000001</v>
      </c>
      <c r="I1850" s="82"/>
      <c r="J1850" s="114"/>
      <c r="BB1850" s="117"/>
      <c r="BC1850" s="117"/>
      <c r="BD1850" s="117"/>
    </row>
    <row r="1851" spans="1:56" ht="15">
      <c r="A1851" s="114"/>
      <c r="B1851" s="244" t="s">
        <v>774</v>
      </c>
      <c r="C1851" s="200">
        <v>1</v>
      </c>
      <c r="D1851" s="245">
        <v>0.3</v>
      </c>
      <c r="E1851" s="201">
        <v>0.7</v>
      </c>
      <c r="F1851" s="201">
        <v>36.75</v>
      </c>
      <c r="G1851" s="202">
        <f t="shared" si="107"/>
        <v>7.7174999999999994</v>
      </c>
      <c r="H1851" s="202">
        <f t="shared" si="108"/>
        <v>62.475000000000001</v>
      </c>
      <c r="I1851" s="82"/>
      <c r="J1851" s="114"/>
      <c r="BB1851" s="117"/>
      <c r="BC1851" s="117"/>
      <c r="BD1851" s="117"/>
    </row>
    <row r="1852" spans="1:56" ht="15">
      <c r="A1852" s="114"/>
      <c r="B1852" s="244" t="s">
        <v>775</v>
      </c>
      <c r="C1852" s="200">
        <v>1</v>
      </c>
      <c r="D1852" s="245">
        <v>0.3</v>
      </c>
      <c r="E1852" s="201">
        <v>0.7</v>
      </c>
      <c r="F1852" s="201">
        <v>36.75</v>
      </c>
      <c r="G1852" s="202">
        <f t="shared" si="107"/>
        <v>7.7174999999999994</v>
      </c>
      <c r="H1852" s="202">
        <f t="shared" si="108"/>
        <v>62.475000000000001</v>
      </c>
      <c r="I1852" s="82"/>
      <c r="J1852" s="114"/>
      <c r="BB1852" s="117"/>
      <c r="BC1852" s="117"/>
      <c r="BD1852" s="117"/>
    </row>
    <row r="1853" spans="1:56" ht="15">
      <c r="A1853" s="114"/>
      <c r="B1853" s="244" t="s">
        <v>776</v>
      </c>
      <c r="C1853" s="200">
        <v>1</v>
      </c>
      <c r="D1853" s="245">
        <v>0.75</v>
      </c>
      <c r="E1853" s="201">
        <v>2</v>
      </c>
      <c r="F1853" s="201">
        <v>35.25</v>
      </c>
      <c r="G1853" s="202">
        <f t="shared" si="107"/>
        <v>52.875</v>
      </c>
      <c r="H1853" s="202">
        <f t="shared" si="108"/>
        <v>167.4375</v>
      </c>
      <c r="I1853" s="82"/>
      <c r="J1853" s="114"/>
      <c r="BB1853" s="117"/>
      <c r="BC1853" s="117"/>
      <c r="BD1853" s="117"/>
    </row>
    <row r="1854" spans="1:56" ht="15">
      <c r="A1854" s="114"/>
      <c r="B1854" s="244" t="s">
        <v>777</v>
      </c>
      <c r="C1854" s="200">
        <v>1</v>
      </c>
      <c r="D1854" s="245">
        <v>0.75</v>
      </c>
      <c r="E1854" s="201">
        <v>2</v>
      </c>
      <c r="F1854" s="201">
        <v>35.25</v>
      </c>
      <c r="G1854" s="202">
        <f t="shared" si="107"/>
        <v>52.875</v>
      </c>
      <c r="H1854" s="202">
        <f t="shared" si="108"/>
        <v>167.4375</v>
      </c>
      <c r="I1854" s="82"/>
      <c r="J1854" s="114"/>
      <c r="BB1854" s="117"/>
      <c r="BC1854" s="117"/>
      <c r="BD1854" s="117"/>
    </row>
    <row r="1855" spans="1:56" ht="15">
      <c r="A1855" s="114"/>
      <c r="B1855" s="244" t="s">
        <v>778</v>
      </c>
      <c r="C1855" s="200">
        <v>1</v>
      </c>
      <c r="D1855" s="245">
        <v>0.75</v>
      </c>
      <c r="E1855" s="201">
        <v>2</v>
      </c>
      <c r="F1855" s="201">
        <v>35.25</v>
      </c>
      <c r="G1855" s="202">
        <f t="shared" si="107"/>
        <v>52.875</v>
      </c>
      <c r="H1855" s="202">
        <f t="shared" si="108"/>
        <v>167.4375</v>
      </c>
      <c r="I1855" s="82"/>
      <c r="J1855" s="114"/>
      <c r="BB1855" s="117"/>
      <c r="BC1855" s="117"/>
      <c r="BD1855" s="117"/>
    </row>
    <row r="1856" spans="1:56" ht="15">
      <c r="A1856" s="114"/>
      <c r="B1856" s="244" t="s">
        <v>779</v>
      </c>
      <c r="C1856" s="200">
        <v>1</v>
      </c>
      <c r="D1856" s="245">
        <v>0.75</v>
      </c>
      <c r="E1856" s="201">
        <v>0.85</v>
      </c>
      <c r="F1856" s="201">
        <v>35.25</v>
      </c>
      <c r="G1856" s="202">
        <f t="shared" si="107"/>
        <v>22.471874999999997</v>
      </c>
      <c r="H1856" s="202">
        <f t="shared" si="108"/>
        <v>86.362500000000011</v>
      </c>
      <c r="I1856" s="82"/>
      <c r="J1856" s="114"/>
      <c r="BB1856" s="117"/>
      <c r="BC1856" s="117"/>
      <c r="BD1856" s="117"/>
    </row>
    <row r="1857" spans="1:56" ht="15">
      <c r="A1857" s="114"/>
      <c r="B1857" s="244" t="s">
        <v>780</v>
      </c>
      <c r="C1857" s="200">
        <v>1</v>
      </c>
      <c r="D1857" s="245">
        <v>0.75</v>
      </c>
      <c r="E1857" s="201">
        <v>0.85</v>
      </c>
      <c r="F1857" s="201">
        <v>35.25</v>
      </c>
      <c r="G1857" s="202">
        <f t="shared" si="107"/>
        <v>22.471874999999997</v>
      </c>
      <c r="H1857" s="202">
        <f t="shared" si="108"/>
        <v>86.362500000000011</v>
      </c>
      <c r="I1857" s="82"/>
      <c r="J1857" s="114"/>
      <c r="BB1857" s="117"/>
      <c r="BC1857" s="117"/>
      <c r="BD1857" s="117"/>
    </row>
    <row r="1858" spans="1:56" ht="15">
      <c r="A1858" s="114"/>
      <c r="B1858" s="244" t="s">
        <v>781</v>
      </c>
      <c r="C1858" s="200">
        <v>1</v>
      </c>
      <c r="D1858" s="245">
        <v>0.75</v>
      </c>
      <c r="E1858" s="201">
        <v>0.85</v>
      </c>
      <c r="F1858" s="201">
        <v>35.25</v>
      </c>
      <c r="G1858" s="202">
        <f t="shared" si="107"/>
        <v>22.471874999999997</v>
      </c>
      <c r="H1858" s="202">
        <f t="shared" si="108"/>
        <v>86.362500000000011</v>
      </c>
      <c r="I1858" s="82"/>
      <c r="J1858" s="114"/>
      <c r="BB1858" s="117"/>
      <c r="BC1858" s="117"/>
      <c r="BD1858" s="117"/>
    </row>
    <row r="1859" spans="1:56" ht="15">
      <c r="A1859" s="114"/>
      <c r="B1859" s="244" t="s">
        <v>782</v>
      </c>
      <c r="C1859" s="200">
        <v>1</v>
      </c>
      <c r="D1859" s="245">
        <v>0.75</v>
      </c>
      <c r="E1859" s="201">
        <v>0.85</v>
      </c>
      <c r="F1859" s="201">
        <v>35.25</v>
      </c>
      <c r="G1859" s="202">
        <f t="shared" si="107"/>
        <v>22.471874999999997</v>
      </c>
      <c r="H1859" s="202">
        <f t="shared" si="108"/>
        <v>86.362500000000011</v>
      </c>
      <c r="I1859" s="82"/>
      <c r="J1859" s="114"/>
      <c r="BB1859" s="117"/>
      <c r="BC1859" s="117"/>
      <c r="BD1859" s="117"/>
    </row>
    <row r="1860" spans="1:56" ht="15">
      <c r="A1860" s="114"/>
      <c r="B1860" s="244" t="s">
        <v>783</v>
      </c>
      <c r="C1860" s="200">
        <v>1</v>
      </c>
      <c r="D1860" s="245">
        <v>0.75</v>
      </c>
      <c r="E1860" s="201">
        <v>0.85</v>
      </c>
      <c r="F1860" s="201">
        <v>35.25</v>
      </c>
      <c r="G1860" s="202">
        <f t="shared" si="107"/>
        <v>22.471874999999997</v>
      </c>
      <c r="H1860" s="202">
        <f t="shared" si="108"/>
        <v>86.362500000000011</v>
      </c>
      <c r="I1860" s="82"/>
      <c r="J1860" s="114"/>
      <c r="BB1860" s="117"/>
      <c r="BC1860" s="117"/>
      <c r="BD1860" s="117"/>
    </row>
    <row r="1861" spans="1:56" ht="15">
      <c r="A1861" s="114"/>
      <c r="B1861" s="244" t="s">
        <v>784</v>
      </c>
      <c r="C1861" s="200">
        <v>1</v>
      </c>
      <c r="D1861" s="245">
        <v>0.75</v>
      </c>
      <c r="E1861" s="201">
        <v>0.85</v>
      </c>
      <c r="F1861" s="201">
        <v>35.25</v>
      </c>
      <c r="G1861" s="202">
        <f t="shared" si="107"/>
        <v>22.471874999999997</v>
      </c>
      <c r="H1861" s="202">
        <f t="shared" si="108"/>
        <v>86.362500000000011</v>
      </c>
      <c r="I1861" s="82"/>
      <c r="J1861" s="114"/>
      <c r="BB1861" s="117"/>
      <c r="BC1861" s="117"/>
      <c r="BD1861" s="117"/>
    </row>
    <row r="1862" spans="1:56" ht="15">
      <c r="A1862" s="114"/>
      <c r="B1862" s="244" t="s">
        <v>785</v>
      </c>
      <c r="C1862" s="200">
        <v>1</v>
      </c>
      <c r="D1862" s="245">
        <v>0.75</v>
      </c>
      <c r="E1862" s="201">
        <v>0.85</v>
      </c>
      <c r="F1862" s="201">
        <v>35.25</v>
      </c>
      <c r="G1862" s="202">
        <f t="shared" si="107"/>
        <v>22.471874999999997</v>
      </c>
      <c r="H1862" s="202">
        <f t="shared" si="108"/>
        <v>86.362500000000011</v>
      </c>
      <c r="I1862" s="82"/>
      <c r="J1862" s="114"/>
      <c r="BB1862" s="117"/>
      <c r="BC1862" s="117"/>
      <c r="BD1862" s="117"/>
    </row>
    <row r="1863" spans="1:56" ht="15">
      <c r="A1863" s="114"/>
      <c r="B1863" s="244" t="s">
        <v>786</v>
      </c>
      <c r="C1863" s="200">
        <v>1</v>
      </c>
      <c r="D1863" s="245">
        <v>0.75</v>
      </c>
      <c r="E1863" s="201">
        <v>0.85</v>
      </c>
      <c r="F1863" s="201">
        <v>35.25</v>
      </c>
      <c r="G1863" s="202">
        <f t="shared" si="107"/>
        <v>22.471874999999997</v>
      </c>
      <c r="H1863" s="202">
        <f t="shared" si="108"/>
        <v>86.362500000000011</v>
      </c>
      <c r="I1863" s="82"/>
      <c r="J1863" s="114"/>
      <c r="BB1863" s="117"/>
      <c r="BC1863" s="117"/>
      <c r="BD1863" s="117"/>
    </row>
    <row r="1864" spans="1:56" ht="15">
      <c r="A1864" s="114"/>
      <c r="B1864" s="244" t="s">
        <v>787</v>
      </c>
      <c r="C1864" s="200">
        <v>1</v>
      </c>
      <c r="D1864" s="245">
        <v>0.75</v>
      </c>
      <c r="E1864" s="201">
        <v>0.85</v>
      </c>
      <c r="F1864" s="201">
        <v>35.25</v>
      </c>
      <c r="G1864" s="202">
        <f t="shared" si="107"/>
        <v>22.471874999999997</v>
      </c>
      <c r="H1864" s="202">
        <f t="shared" si="108"/>
        <v>86.362500000000011</v>
      </c>
      <c r="I1864" s="82"/>
      <c r="J1864" s="114"/>
      <c r="BB1864" s="117"/>
      <c r="BC1864" s="117"/>
      <c r="BD1864" s="117"/>
    </row>
    <row r="1865" spans="1:56" ht="15">
      <c r="A1865" s="114"/>
      <c r="B1865" s="244" t="s">
        <v>788</v>
      </c>
      <c r="C1865" s="200">
        <v>1</v>
      </c>
      <c r="D1865" s="245">
        <v>0.4</v>
      </c>
      <c r="E1865" s="201">
        <v>1.3</v>
      </c>
      <c r="F1865" s="201">
        <v>37.115000000000002</v>
      </c>
      <c r="G1865" s="202">
        <f t="shared" si="107"/>
        <v>19.299800000000001</v>
      </c>
      <c r="H1865" s="202">
        <f t="shared" si="108"/>
        <v>111.345</v>
      </c>
      <c r="I1865" s="82"/>
      <c r="J1865" s="114"/>
      <c r="BB1865" s="117"/>
      <c r="BC1865" s="117"/>
      <c r="BD1865" s="117"/>
    </row>
    <row r="1866" spans="1:56" ht="15">
      <c r="A1866" s="114"/>
      <c r="B1866" s="244" t="s">
        <v>789</v>
      </c>
      <c r="C1866" s="200">
        <v>1</v>
      </c>
      <c r="D1866" s="245">
        <v>0.3</v>
      </c>
      <c r="E1866" s="201">
        <v>1.3</v>
      </c>
      <c r="F1866" s="201">
        <v>37.840000000000003</v>
      </c>
      <c r="G1866" s="202">
        <f t="shared" si="107"/>
        <v>14.757600000000002</v>
      </c>
      <c r="H1866" s="202">
        <f t="shared" si="108"/>
        <v>109.736</v>
      </c>
      <c r="I1866" s="82"/>
      <c r="J1866" s="114"/>
      <c r="BB1866" s="117"/>
      <c r="BC1866" s="117"/>
      <c r="BD1866" s="117"/>
    </row>
    <row r="1867" spans="1:56" ht="15">
      <c r="A1867" s="114"/>
      <c r="B1867" s="244" t="s">
        <v>790</v>
      </c>
      <c r="C1867" s="200">
        <v>1</v>
      </c>
      <c r="D1867" s="245">
        <v>0.3</v>
      </c>
      <c r="E1867" s="201">
        <v>1.3</v>
      </c>
      <c r="F1867" s="201">
        <v>37.479999999999997</v>
      </c>
      <c r="G1867" s="202">
        <f t="shared" si="107"/>
        <v>14.617199999999999</v>
      </c>
      <c r="H1867" s="202">
        <f t="shared" si="108"/>
        <v>108.69199999999999</v>
      </c>
      <c r="I1867" s="82"/>
      <c r="J1867" s="114"/>
      <c r="BB1867" s="117"/>
      <c r="BC1867" s="117"/>
      <c r="BD1867" s="117"/>
    </row>
    <row r="1868" spans="1:56" ht="15">
      <c r="A1868" s="114"/>
      <c r="B1868" s="244" t="s">
        <v>617</v>
      </c>
      <c r="C1868" s="200">
        <v>1</v>
      </c>
      <c r="D1868" s="245">
        <v>0.36499999999999999</v>
      </c>
      <c r="E1868" s="201">
        <v>0.85</v>
      </c>
      <c r="F1868" s="201">
        <v>41.37</v>
      </c>
      <c r="G1868" s="202">
        <f t="shared" si="107"/>
        <v>12.835042499999998</v>
      </c>
      <c r="H1868" s="202">
        <f t="shared" si="108"/>
        <v>85.429049999999989</v>
      </c>
      <c r="I1868" s="82"/>
      <c r="J1868" s="114"/>
      <c r="BB1868" s="117"/>
      <c r="BC1868" s="117"/>
      <c r="BD1868" s="117"/>
    </row>
    <row r="1869" spans="1:56" ht="15">
      <c r="A1869" s="114"/>
      <c r="B1869" s="244" t="s">
        <v>1447</v>
      </c>
      <c r="C1869" s="200">
        <v>1</v>
      </c>
      <c r="D1869" s="245">
        <v>0.36499999999999999</v>
      </c>
      <c r="E1869" s="201">
        <v>0.78</v>
      </c>
      <c r="F1869" s="201">
        <v>4.3250000000000002</v>
      </c>
      <c r="G1869" s="202">
        <f t="shared" si="107"/>
        <v>1.2313275000000001</v>
      </c>
      <c r="H1869" s="202">
        <f t="shared" si="108"/>
        <v>8.3256250000000005</v>
      </c>
      <c r="I1869" s="82"/>
      <c r="J1869" s="114"/>
      <c r="BB1869" s="117"/>
      <c r="BC1869" s="117"/>
      <c r="BD1869" s="117"/>
    </row>
    <row r="1870" spans="1:56" ht="15">
      <c r="A1870" s="114"/>
      <c r="B1870" s="244" t="s">
        <v>1453</v>
      </c>
      <c r="C1870" s="200">
        <v>1</v>
      </c>
      <c r="D1870" s="245">
        <v>0.75</v>
      </c>
      <c r="E1870" s="201">
        <v>0.85</v>
      </c>
      <c r="F1870" s="201">
        <v>35.65</v>
      </c>
      <c r="G1870" s="202">
        <f t="shared" si="107"/>
        <v>22.726874999999996</v>
      </c>
      <c r="H1870" s="202">
        <f t="shared" si="108"/>
        <v>87.342500000000001</v>
      </c>
      <c r="I1870" s="82"/>
      <c r="J1870" s="114"/>
      <c r="BB1870" s="117"/>
      <c r="BC1870" s="117"/>
      <c r="BD1870" s="117"/>
    </row>
    <row r="1871" spans="1:56" ht="15">
      <c r="A1871" s="114"/>
      <c r="B1871" s="244" t="s">
        <v>1450</v>
      </c>
      <c r="C1871" s="200">
        <v>1</v>
      </c>
      <c r="D1871" s="245">
        <v>0.87</v>
      </c>
      <c r="E1871" s="201">
        <v>0.85</v>
      </c>
      <c r="F1871" s="201">
        <v>1</v>
      </c>
      <c r="G1871" s="202">
        <f t="shared" si="107"/>
        <v>0.73949999999999994</v>
      </c>
      <c r="H1871" s="202">
        <f t="shared" si="108"/>
        <v>2.57</v>
      </c>
      <c r="I1871" s="82"/>
      <c r="J1871" s="114"/>
      <c r="BB1871" s="117"/>
      <c r="BC1871" s="117"/>
      <c r="BD1871" s="117"/>
    </row>
    <row r="1872" spans="1:56" ht="15">
      <c r="A1872" s="114"/>
      <c r="B1872" s="244" t="s">
        <v>1451</v>
      </c>
      <c r="C1872" s="200">
        <v>1</v>
      </c>
      <c r="D1872" s="245">
        <v>1</v>
      </c>
      <c r="E1872" s="201">
        <v>0.85</v>
      </c>
      <c r="F1872" s="201">
        <v>4.625</v>
      </c>
      <c r="G1872" s="202">
        <f t="shared" si="107"/>
        <v>3.9312499999999999</v>
      </c>
      <c r="H1872" s="202">
        <f t="shared" si="108"/>
        <v>12.487500000000001</v>
      </c>
      <c r="I1872" s="82"/>
      <c r="J1872" s="114"/>
      <c r="BB1872" s="117"/>
      <c r="BC1872" s="117"/>
      <c r="BD1872" s="117"/>
    </row>
    <row r="1873" spans="1:56" ht="15">
      <c r="A1873" s="114"/>
      <c r="B1873" s="244" t="s">
        <v>1452</v>
      </c>
      <c r="C1873" s="200">
        <v>1</v>
      </c>
      <c r="D1873" s="245">
        <v>1</v>
      </c>
      <c r="E1873" s="201">
        <v>0.78</v>
      </c>
      <c r="F1873" s="201">
        <v>4.3250000000000002</v>
      </c>
      <c r="G1873" s="202">
        <f t="shared" ref="G1873" si="109">D1873*E1873*F1873*C1873</f>
        <v>3.3735000000000004</v>
      </c>
      <c r="H1873" s="202">
        <f t="shared" ref="H1873" si="110">((E1873*2)+D1873)*F1873*C1873</f>
        <v>11.072000000000001</v>
      </c>
      <c r="I1873" s="82"/>
      <c r="J1873" s="114"/>
      <c r="BB1873" s="117"/>
      <c r="BC1873" s="117"/>
      <c r="BD1873" s="117"/>
    </row>
    <row r="1874" spans="1:56" ht="15">
      <c r="A1874" s="114"/>
      <c r="B1874" s="244" t="s">
        <v>791</v>
      </c>
      <c r="C1874" s="200">
        <v>1</v>
      </c>
      <c r="D1874" s="245">
        <v>0.75</v>
      </c>
      <c r="E1874" s="201">
        <v>0.85</v>
      </c>
      <c r="F1874" s="201">
        <v>41.274999999999999</v>
      </c>
      <c r="G1874" s="202">
        <f t="shared" si="107"/>
        <v>26.312812499999996</v>
      </c>
      <c r="H1874" s="202">
        <f t="shared" si="108"/>
        <v>101.12375</v>
      </c>
      <c r="I1874" s="82"/>
      <c r="J1874" s="114"/>
      <c r="BB1874" s="117"/>
      <c r="BC1874" s="117"/>
      <c r="BD1874" s="117"/>
    </row>
    <row r="1875" spans="1:56" ht="15">
      <c r="A1875" s="114"/>
      <c r="B1875" s="244" t="s">
        <v>1454</v>
      </c>
      <c r="C1875" s="200">
        <v>1</v>
      </c>
      <c r="D1875" s="245">
        <v>0.75</v>
      </c>
      <c r="E1875" s="201">
        <v>0.78</v>
      </c>
      <c r="F1875" s="201">
        <v>4.3250000000000002</v>
      </c>
      <c r="G1875" s="202">
        <f t="shared" ref="G1875:G1877" si="111">D1875*E1875*F1875*C1875</f>
        <v>2.530125</v>
      </c>
      <c r="H1875" s="202">
        <f t="shared" ref="H1875:H1877" si="112">((E1875*2)+D1875)*F1875*C1875</f>
        <v>9.9907500000000002</v>
      </c>
      <c r="I1875" s="82"/>
      <c r="J1875" s="114"/>
      <c r="BB1875" s="117"/>
      <c r="BC1875" s="117"/>
      <c r="BD1875" s="117"/>
    </row>
    <row r="1876" spans="1:56" ht="15">
      <c r="A1876" s="114"/>
      <c r="B1876" s="244" t="s">
        <v>792</v>
      </c>
      <c r="C1876" s="200">
        <v>1</v>
      </c>
      <c r="D1876" s="245">
        <v>0.36499999999999999</v>
      </c>
      <c r="E1876" s="201">
        <v>0.85</v>
      </c>
      <c r="F1876" s="201">
        <v>41.37</v>
      </c>
      <c r="G1876" s="202">
        <f t="shared" si="111"/>
        <v>12.835042499999998</v>
      </c>
      <c r="H1876" s="202">
        <f t="shared" si="112"/>
        <v>85.429049999999989</v>
      </c>
      <c r="I1876" s="82"/>
      <c r="J1876" s="114"/>
      <c r="BB1876" s="117"/>
      <c r="BC1876" s="117"/>
      <c r="BD1876" s="117"/>
    </row>
    <row r="1877" spans="1:56" ht="15">
      <c r="A1877" s="114"/>
      <c r="B1877" s="244" t="s">
        <v>1455</v>
      </c>
      <c r="C1877" s="200">
        <v>1</v>
      </c>
      <c r="D1877" s="245">
        <v>0.36499999999999999</v>
      </c>
      <c r="E1877" s="201">
        <v>0.78</v>
      </c>
      <c r="F1877" s="201">
        <v>4.3250000000000002</v>
      </c>
      <c r="G1877" s="202">
        <f t="shared" si="111"/>
        <v>1.2313275000000001</v>
      </c>
      <c r="H1877" s="202">
        <f t="shared" si="112"/>
        <v>8.3256250000000005</v>
      </c>
      <c r="I1877" s="82"/>
      <c r="J1877" s="114"/>
      <c r="BB1877" s="117"/>
      <c r="BC1877" s="117"/>
      <c r="BD1877" s="117"/>
    </row>
    <row r="1878" spans="1:56" ht="15">
      <c r="A1878" s="114"/>
      <c r="B1878" s="244" t="s">
        <v>793</v>
      </c>
      <c r="C1878" s="200">
        <v>1</v>
      </c>
      <c r="D1878" s="245">
        <v>0.36499999999999999</v>
      </c>
      <c r="E1878" s="201">
        <v>0.85</v>
      </c>
      <c r="F1878" s="201">
        <v>41.37</v>
      </c>
      <c r="G1878" s="202">
        <f t="shared" ref="G1878:G1883" si="113">D1878*E1878*F1878*C1878</f>
        <v>12.835042499999998</v>
      </c>
      <c r="H1878" s="202">
        <f t="shared" ref="H1878:H1883" si="114">((E1878*2)+D1878)*F1878*C1878</f>
        <v>85.429049999999989</v>
      </c>
      <c r="I1878" s="82"/>
      <c r="J1878" s="114"/>
      <c r="BB1878" s="117"/>
      <c r="BC1878" s="117"/>
      <c r="BD1878" s="117"/>
    </row>
    <row r="1879" spans="1:56" ht="15">
      <c r="A1879" s="114"/>
      <c r="B1879" s="244" t="s">
        <v>1456</v>
      </c>
      <c r="C1879" s="200">
        <v>1</v>
      </c>
      <c r="D1879" s="245">
        <v>0.36499999999999999</v>
      </c>
      <c r="E1879" s="201">
        <v>0.78</v>
      </c>
      <c r="F1879" s="201">
        <v>4.3250000000000002</v>
      </c>
      <c r="G1879" s="202">
        <f t="shared" si="113"/>
        <v>1.2313275000000001</v>
      </c>
      <c r="H1879" s="202">
        <f t="shared" si="114"/>
        <v>8.3256250000000005</v>
      </c>
      <c r="I1879" s="82"/>
      <c r="J1879" s="114"/>
      <c r="BB1879" s="117"/>
      <c r="BC1879" s="117"/>
      <c r="BD1879" s="117"/>
    </row>
    <row r="1880" spans="1:56" ht="15">
      <c r="A1880" s="114"/>
      <c r="B1880" s="244" t="s">
        <v>1457</v>
      </c>
      <c r="C1880" s="200">
        <v>1</v>
      </c>
      <c r="D1880" s="245">
        <v>0.75</v>
      </c>
      <c r="E1880" s="201">
        <v>0.85</v>
      </c>
      <c r="F1880" s="201">
        <v>31.225000000000001</v>
      </c>
      <c r="G1880" s="202">
        <f t="shared" si="113"/>
        <v>19.9059375</v>
      </c>
      <c r="H1880" s="202">
        <f t="shared" si="114"/>
        <v>76.501250000000013</v>
      </c>
      <c r="I1880" s="82"/>
      <c r="J1880" s="114"/>
      <c r="BB1880" s="117"/>
      <c r="BC1880" s="117"/>
      <c r="BD1880" s="117"/>
    </row>
    <row r="1881" spans="1:56" ht="15">
      <c r="A1881" s="114"/>
      <c r="B1881" s="244" t="s">
        <v>1471</v>
      </c>
      <c r="C1881" s="200">
        <v>1</v>
      </c>
      <c r="D1881" s="245">
        <v>0.75</v>
      </c>
      <c r="E1881" s="201">
        <v>0.78</v>
      </c>
      <c r="F1881" s="201">
        <v>4.3250000000000002</v>
      </c>
      <c r="G1881" s="202">
        <f t="shared" ref="G1881" si="115">D1881*E1881*F1881*C1881</f>
        <v>2.530125</v>
      </c>
      <c r="H1881" s="202">
        <f t="shared" ref="H1881" si="116">((E1881*2)+D1881)*F1881*C1881</f>
        <v>9.9907500000000002</v>
      </c>
      <c r="I1881" s="82"/>
      <c r="J1881" s="114"/>
      <c r="BB1881" s="117"/>
      <c r="BC1881" s="117"/>
      <c r="BD1881" s="117"/>
    </row>
    <row r="1882" spans="1:56" ht="15">
      <c r="A1882" s="114"/>
      <c r="B1882" s="244" t="s">
        <v>1458</v>
      </c>
      <c r="C1882" s="200">
        <v>1</v>
      </c>
      <c r="D1882" s="245">
        <v>0.87</v>
      </c>
      <c r="E1882" s="201">
        <v>0.85</v>
      </c>
      <c r="F1882" s="201">
        <v>1</v>
      </c>
      <c r="G1882" s="202">
        <f t="shared" si="113"/>
        <v>0.73949999999999994</v>
      </c>
      <c r="H1882" s="202">
        <f t="shared" si="114"/>
        <v>2.57</v>
      </c>
      <c r="I1882" s="82"/>
      <c r="J1882" s="114"/>
      <c r="BB1882" s="117"/>
      <c r="BC1882" s="117"/>
      <c r="BD1882" s="117"/>
    </row>
    <row r="1883" spans="1:56" ht="15">
      <c r="A1883" s="114"/>
      <c r="B1883" s="244" t="s">
        <v>1459</v>
      </c>
      <c r="C1883" s="200">
        <v>1</v>
      </c>
      <c r="D1883" s="245">
        <v>1</v>
      </c>
      <c r="E1883" s="201">
        <v>0.85</v>
      </c>
      <c r="F1883" s="201">
        <v>9.15</v>
      </c>
      <c r="G1883" s="202">
        <f t="shared" si="113"/>
        <v>7.7774999999999999</v>
      </c>
      <c r="H1883" s="202">
        <f t="shared" si="114"/>
        <v>24.705000000000002</v>
      </c>
      <c r="I1883" s="82"/>
      <c r="J1883" s="114"/>
      <c r="BB1883" s="117"/>
      <c r="BC1883" s="117"/>
      <c r="BD1883" s="117"/>
    </row>
    <row r="1884" spans="1:56" ht="15">
      <c r="A1884" s="114"/>
      <c r="B1884" s="244" t="s">
        <v>794</v>
      </c>
      <c r="C1884" s="200">
        <v>1</v>
      </c>
      <c r="D1884" s="245">
        <v>0.75</v>
      </c>
      <c r="E1884" s="201">
        <v>0.85</v>
      </c>
      <c r="F1884" s="201">
        <v>16.675000000000001</v>
      </c>
      <c r="G1884" s="202">
        <f t="shared" si="107"/>
        <v>10.6303125</v>
      </c>
      <c r="H1884" s="202">
        <f t="shared" si="108"/>
        <v>40.853750000000005</v>
      </c>
      <c r="I1884" s="82"/>
      <c r="J1884" s="114"/>
      <c r="BB1884" s="117"/>
      <c r="BC1884" s="117"/>
      <c r="BD1884" s="117"/>
    </row>
    <row r="1885" spans="1:56" ht="15">
      <c r="A1885" s="114"/>
      <c r="B1885" s="244" t="s">
        <v>1460</v>
      </c>
      <c r="C1885" s="200">
        <v>1</v>
      </c>
      <c r="D1885" s="245">
        <v>0.87</v>
      </c>
      <c r="E1885" s="201">
        <v>0.85</v>
      </c>
      <c r="F1885" s="201">
        <v>1</v>
      </c>
      <c r="G1885" s="202">
        <f t="shared" si="107"/>
        <v>0.73949999999999994</v>
      </c>
      <c r="H1885" s="202">
        <f t="shared" si="108"/>
        <v>2.57</v>
      </c>
      <c r="I1885" s="82"/>
      <c r="J1885" s="114"/>
      <c r="BB1885" s="117"/>
      <c r="BC1885" s="117"/>
      <c r="BD1885" s="117"/>
    </row>
    <row r="1886" spans="1:56" ht="15">
      <c r="A1886" s="114"/>
      <c r="B1886" s="244" t="s">
        <v>1461</v>
      </c>
      <c r="C1886" s="200">
        <v>1</v>
      </c>
      <c r="D1886" s="245">
        <v>0.45</v>
      </c>
      <c r="E1886" s="201">
        <v>0.85</v>
      </c>
      <c r="F1886" s="201">
        <v>9.8000000000000007</v>
      </c>
      <c r="G1886" s="202">
        <f t="shared" si="107"/>
        <v>3.7485000000000004</v>
      </c>
      <c r="H1886" s="202">
        <f t="shared" si="108"/>
        <v>21.07</v>
      </c>
      <c r="I1886" s="82"/>
      <c r="J1886" s="114"/>
      <c r="BB1886" s="117"/>
      <c r="BC1886" s="117"/>
      <c r="BD1886" s="117"/>
    </row>
    <row r="1887" spans="1:56" ht="15">
      <c r="A1887" s="114"/>
      <c r="B1887" s="244" t="s">
        <v>1462</v>
      </c>
      <c r="C1887" s="200">
        <v>1</v>
      </c>
      <c r="D1887" s="245">
        <v>0.75</v>
      </c>
      <c r="E1887" s="201">
        <v>0.85</v>
      </c>
      <c r="F1887" s="201">
        <v>7.625</v>
      </c>
      <c r="G1887" s="202">
        <f t="shared" si="107"/>
        <v>4.8609374999999995</v>
      </c>
      <c r="H1887" s="202">
        <f t="shared" si="108"/>
        <v>18.681250000000002</v>
      </c>
      <c r="I1887" s="82"/>
      <c r="J1887" s="114"/>
      <c r="BB1887" s="117"/>
      <c r="BC1887" s="117"/>
      <c r="BD1887" s="117"/>
    </row>
    <row r="1888" spans="1:56" ht="15">
      <c r="A1888" s="114"/>
      <c r="B1888" s="244" t="s">
        <v>1463</v>
      </c>
      <c r="C1888" s="200">
        <v>1</v>
      </c>
      <c r="D1888" s="245">
        <v>1</v>
      </c>
      <c r="E1888" s="201">
        <v>0.85</v>
      </c>
      <c r="F1888" s="201">
        <v>4.625</v>
      </c>
      <c r="G1888" s="202">
        <f t="shared" ref="G1888" si="117">D1888*E1888*F1888*C1888</f>
        <v>3.9312499999999999</v>
      </c>
      <c r="H1888" s="202">
        <f t="shared" ref="H1888" si="118">((E1888*2)+D1888)*F1888*C1888</f>
        <v>12.487500000000001</v>
      </c>
      <c r="I1888" s="82"/>
      <c r="J1888" s="114"/>
      <c r="BB1888" s="117"/>
      <c r="BC1888" s="117"/>
      <c r="BD1888" s="117"/>
    </row>
    <row r="1889" spans="1:56" ht="15">
      <c r="A1889" s="114"/>
      <c r="B1889" s="244" t="s">
        <v>1466</v>
      </c>
      <c r="C1889" s="200">
        <v>1</v>
      </c>
      <c r="D1889" s="245">
        <v>1</v>
      </c>
      <c r="E1889" s="201">
        <v>0.77500000000000002</v>
      </c>
      <c r="F1889" s="201">
        <v>4.3250000000000002</v>
      </c>
      <c r="G1889" s="202">
        <f t="shared" ref="G1889:G1899" si="119">D1889*E1889*F1889*C1889</f>
        <v>3.3518750000000002</v>
      </c>
      <c r="H1889" s="202">
        <f t="shared" ref="H1889:H1899" si="120">((E1889*2)+D1889)*F1889*C1889</f>
        <v>11.02875</v>
      </c>
      <c r="I1889" s="82"/>
      <c r="J1889" s="114"/>
      <c r="BB1889" s="117"/>
      <c r="BC1889" s="117"/>
      <c r="BD1889" s="117"/>
    </row>
    <row r="1890" spans="1:56" ht="15">
      <c r="A1890" s="114"/>
      <c r="B1890" s="244" t="s">
        <v>795</v>
      </c>
      <c r="C1890" s="200">
        <v>1</v>
      </c>
      <c r="D1890" s="245">
        <v>0.36499999999999999</v>
      </c>
      <c r="E1890" s="201">
        <v>0.85</v>
      </c>
      <c r="F1890" s="201">
        <v>41.37</v>
      </c>
      <c r="G1890" s="202">
        <f t="shared" si="119"/>
        <v>12.835042499999998</v>
      </c>
      <c r="H1890" s="202">
        <f t="shared" si="120"/>
        <v>85.429049999999989</v>
      </c>
      <c r="I1890" s="82"/>
      <c r="J1890" s="114"/>
      <c r="BB1890" s="117"/>
      <c r="BC1890" s="117"/>
      <c r="BD1890" s="117"/>
    </row>
    <row r="1891" spans="1:56" ht="15">
      <c r="A1891" s="114"/>
      <c r="B1891" s="244" t="s">
        <v>1464</v>
      </c>
      <c r="C1891" s="200">
        <v>1</v>
      </c>
      <c r="D1891" s="245">
        <v>0.36499999999999999</v>
      </c>
      <c r="E1891" s="201">
        <v>0.78</v>
      </c>
      <c r="F1891" s="201">
        <v>4.3250000000000002</v>
      </c>
      <c r="G1891" s="202">
        <f t="shared" si="119"/>
        <v>1.2313275000000001</v>
      </c>
      <c r="H1891" s="202">
        <f t="shared" si="120"/>
        <v>8.3256250000000005</v>
      </c>
      <c r="I1891" s="82"/>
      <c r="J1891" s="114"/>
      <c r="BB1891" s="117"/>
      <c r="BC1891" s="117"/>
      <c r="BD1891" s="117"/>
    </row>
    <row r="1892" spans="1:56" ht="15">
      <c r="A1892" s="114"/>
      <c r="B1892" s="244" t="s">
        <v>796</v>
      </c>
      <c r="C1892" s="200">
        <v>1</v>
      </c>
      <c r="D1892" s="245">
        <v>0.36499999999999999</v>
      </c>
      <c r="E1892" s="201">
        <v>0.85</v>
      </c>
      <c r="F1892" s="201">
        <v>41.37</v>
      </c>
      <c r="G1892" s="202">
        <f t="shared" si="119"/>
        <v>12.835042499999998</v>
      </c>
      <c r="H1892" s="202">
        <f t="shared" si="120"/>
        <v>85.429049999999989</v>
      </c>
      <c r="I1892" s="82"/>
      <c r="J1892" s="114"/>
      <c r="BB1892" s="117"/>
      <c r="BC1892" s="117"/>
      <c r="BD1892" s="117"/>
    </row>
    <row r="1893" spans="1:56" ht="15">
      <c r="A1893" s="114"/>
      <c r="B1893" s="244" t="s">
        <v>1465</v>
      </c>
      <c r="C1893" s="200">
        <v>1</v>
      </c>
      <c r="D1893" s="245">
        <v>0.36499999999999999</v>
      </c>
      <c r="E1893" s="201">
        <v>0.78</v>
      </c>
      <c r="F1893" s="201">
        <v>4.3250000000000002</v>
      </c>
      <c r="G1893" s="202">
        <f t="shared" si="119"/>
        <v>1.2313275000000001</v>
      </c>
      <c r="H1893" s="202">
        <f t="shared" si="120"/>
        <v>8.3256250000000005</v>
      </c>
      <c r="I1893" s="82"/>
      <c r="J1893" s="114"/>
      <c r="BB1893" s="117"/>
      <c r="BC1893" s="117"/>
      <c r="BD1893" s="117"/>
    </row>
    <row r="1894" spans="1:56" ht="15">
      <c r="A1894" s="114"/>
      <c r="B1894" s="244" t="s">
        <v>1467</v>
      </c>
      <c r="C1894" s="200">
        <v>1</v>
      </c>
      <c r="D1894" s="245">
        <v>0.75</v>
      </c>
      <c r="E1894" s="201">
        <v>0.85</v>
      </c>
      <c r="F1894" s="201">
        <v>31.225000000000001</v>
      </c>
      <c r="G1894" s="202">
        <f t="shared" si="119"/>
        <v>19.9059375</v>
      </c>
      <c r="H1894" s="202">
        <f t="shared" si="120"/>
        <v>76.501250000000013</v>
      </c>
      <c r="I1894" s="82"/>
      <c r="J1894" s="114"/>
      <c r="BB1894" s="117"/>
      <c r="BC1894" s="117"/>
      <c r="BD1894" s="117"/>
    </row>
    <row r="1895" spans="1:56" ht="15">
      <c r="A1895" s="114"/>
      <c r="B1895" s="244" t="s">
        <v>1470</v>
      </c>
      <c r="C1895" s="200">
        <v>1</v>
      </c>
      <c r="D1895" s="245">
        <v>0.75</v>
      </c>
      <c r="E1895" s="201">
        <v>0.78</v>
      </c>
      <c r="F1895" s="201">
        <v>4.3250000000000002</v>
      </c>
      <c r="G1895" s="202">
        <f t="shared" si="119"/>
        <v>2.530125</v>
      </c>
      <c r="H1895" s="202">
        <f t="shared" si="120"/>
        <v>9.9907500000000002</v>
      </c>
      <c r="I1895" s="82"/>
      <c r="J1895" s="114"/>
      <c r="BB1895" s="117"/>
      <c r="BC1895" s="117"/>
      <c r="BD1895" s="117"/>
    </row>
    <row r="1896" spans="1:56" ht="15">
      <c r="A1896" s="114"/>
      <c r="B1896" s="244" t="s">
        <v>1468</v>
      </c>
      <c r="C1896" s="200">
        <v>1</v>
      </c>
      <c r="D1896" s="245">
        <v>0.87</v>
      </c>
      <c r="E1896" s="201">
        <v>0.85</v>
      </c>
      <c r="F1896" s="201">
        <v>1</v>
      </c>
      <c r="G1896" s="202">
        <f t="shared" si="119"/>
        <v>0.73949999999999994</v>
      </c>
      <c r="H1896" s="202">
        <f t="shared" si="120"/>
        <v>2.57</v>
      </c>
      <c r="I1896" s="82"/>
      <c r="J1896" s="114"/>
      <c r="BB1896" s="117"/>
      <c r="BC1896" s="117"/>
      <c r="BD1896" s="117"/>
    </row>
    <row r="1897" spans="1:56" ht="15">
      <c r="A1897" s="114"/>
      <c r="B1897" s="244" t="s">
        <v>1469</v>
      </c>
      <c r="C1897" s="200">
        <v>1</v>
      </c>
      <c r="D1897" s="245">
        <v>1</v>
      </c>
      <c r="E1897" s="201">
        <v>0.85</v>
      </c>
      <c r="F1897" s="201">
        <v>9.15</v>
      </c>
      <c r="G1897" s="202">
        <f t="shared" si="119"/>
        <v>7.7774999999999999</v>
      </c>
      <c r="H1897" s="202">
        <f t="shared" si="120"/>
        <v>24.705000000000002</v>
      </c>
      <c r="I1897" s="82"/>
      <c r="J1897" s="114"/>
      <c r="BB1897" s="117"/>
      <c r="BC1897" s="117"/>
      <c r="BD1897" s="117"/>
    </row>
    <row r="1898" spans="1:56" ht="15">
      <c r="A1898" s="114"/>
      <c r="B1898" s="244" t="s">
        <v>797</v>
      </c>
      <c r="C1898" s="200">
        <v>1</v>
      </c>
      <c r="D1898" s="245">
        <v>0.75</v>
      </c>
      <c r="E1898" s="201">
        <v>0.85</v>
      </c>
      <c r="F1898" s="201">
        <v>41.274999999999999</v>
      </c>
      <c r="G1898" s="202">
        <f t="shared" si="119"/>
        <v>26.312812499999996</v>
      </c>
      <c r="H1898" s="202">
        <f t="shared" si="120"/>
        <v>101.12375</v>
      </c>
      <c r="I1898" s="82"/>
      <c r="J1898" s="114"/>
      <c r="BB1898" s="117"/>
      <c r="BC1898" s="117"/>
      <c r="BD1898" s="117"/>
    </row>
    <row r="1899" spans="1:56" ht="15">
      <c r="A1899" s="114"/>
      <c r="B1899" s="244" t="s">
        <v>1472</v>
      </c>
      <c r="C1899" s="200">
        <v>1</v>
      </c>
      <c r="D1899" s="245">
        <v>0.75</v>
      </c>
      <c r="E1899" s="201">
        <v>0.78</v>
      </c>
      <c r="F1899" s="201">
        <v>4.3250000000000002</v>
      </c>
      <c r="G1899" s="202">
        <f t="shared" si="119"/>
        <v>2.530125</v>
      </c>
      <c r="H1899" s="202">
        <f t="shared" si="120"/>
        <v>9.9907500000000002</v>
      </c>
      <c r="I1899" s="82"/>
      <c r="J1899" s="114"/>
      <c r="BB1899" s="117"/>
      <c r="BC1899" s="117"/>
      <c r="BD1899" s="117"/>
    </row>
    <row r="1900" spans="1:56" ht="15">
      <c r="A1900" s="114"/>
      <c r="B1900" s="244" t="s">
        <v>975</v>
      </c>
      <c r="C1900" s="200">
        <v>1</v>
      </c>
      <c r="D1900" s="245">
        <v>0.36499999999999999</v>
      </c>
      <c r="E1900" s="201">
        <v>0.85</v>
      </c>
      <c r="F1900" s="201">
        <v>41.37</v>
      </c>
      <c r="G1900" s="202">
        <f t="shared" ref="G1900:G1901" si="121">D1900*E1900*F1900*C1900</f>
        <v>12.835042499999998</v>
      </c>
      <c r="H1900" s="202">
        <f t="shared" ref="H1900:H1901" si="122">((E1900*2)+D1900)*F1900*C1900</f>
        <v>85.429049999999989</v>
      </c>
      <c r="I1900" s="82"/>
      <c r="J1900" s="114"/>
      <c r="BB1900" s="117"/>
      <c r="BC1900" s="117"/>
      <c r="BD1900" s="117"/>
    </row>
    <row r="1901" spans="1:56" ht="15">
      <c r="A1901" s="114"/>
      <c r="B1901" s="244" t="s">
        <v>1473</v>
      </c>
      <c r="C1901" s="200">
        <v>1</v>
      </c>
      <c r="D1901" s="245">
        <v>0.36499999999999999</v>
      </c>
      <c r="E1901" s="201">
        <v>0.78</v>
      </c>
      <c r="F1901" s="201">
        <v>4.3250000000000002</v>
      </c>
      <c r="G1901" s="202">
        <f t="shared" si="121"/>
        <v>1.2313275000000001</v>
      </c>
      <c r="H1901" s="202">
        <f t="shared" si="122"/>
        <v>8.3256250000000005</v>
      </c>
      <c r="I1901" s="82"/>
      <c r="J1901" s="114"/>
      <c r="BB1901" s="117"/>
      <c r="BC1901" s="117"/>
      <c r="BD1901" s="117"/>
    </row>
    <row r="1902" spans="1:56" ht="15">
      <c r="A1902" s="114"/>
      <c r="B1902" s="244" t="s">
        <v>798</v>
      </c>
      <c r="C1902" s="200">
        <v>1</v>
      </c>
      <c r="D1902" s="245">
        <v>1</v>
      </c>
      <c r="E1902" s="201">
        <v>0.85</v>
      </c>
      <c r="F1902" s="201">
        <v>13.25</v>
      </c>
      <c r="G1902" s="202">
        <f t="shared" si="107"/>
        <v>11.262499999999999</v>
      </c>
      <c r="H1902" s="202">
        <f t="shared" si="108"/>
        <v>35.775000000000006</v>
      </c>
      <c r="I1902" s="82"/>
      <c r="J1902" s="114"/>
      <c r="BB1902" s="117"/>
      <c r="BC1902" s="117"/>
      <c r="BD1902" s="117"/>
    </row>
    <row r="1903" spans="1:56" ht="15">
      <c r="A1903" s="114"/>
      <c r="B1903" s="244" t="s">
        <v>799</v>
      </c>
      <c r="C1903" s="200">
        <v>1</v>
      </c>
      <c r="D1903" s="245">
        <v>1</v>
      </c>
      <c r="E1903" s="201">
        <v>0.85</v>
      </c>
      <c r="F1903" s="201">
        <v>13.25</v>
      </c>
      <c r="G1903" s="202">
        <f t="shared" si="107"/>
        <v>11.262499999999999</v>
      </c>
      <c r="H1903" s="202">
        <f t="shared" si="108"/>
        <v>35.775000000000006</v>
      </c>
      <c r="I1903" s="82"/>
      <c r="J1903" s="114"/>
      <c r="BB1903" s="117"/>
      <c r="BC1903" s="117"/>
      <c r="BD1903" s="117"/>
    </row>
    <row r="1904" spans="1:56" ht="15">
      <c r="A1904" s="114"/>
      <c r="B1904" s="244" t="s">
        <v>800</v>
      </c>
      <c r="C1904" s="200">
        <v>1</v>
      </c>
      <c r="D1904" s="245">
        <v>1</v>
      </c>
      <c r="E1904" s="201">
        <v>0.85</v>
      </c>
      <c r="F1904" s="201">
        <v>13.25</v>
      </c>
      <c r="G1904" s="202">
        <f t="shared" si="107"/>
        <v>11.262499999999999</v>
      </c>
      <c r="H1904" s="202">
        <f t="shared" si="108"/>
        <v>35.775000000000006</v>
      </c>
      <c r="I1904" s="82"/>
      <c r="J1904" s="114"/>
      <c r="BB1904" s="117"/>
      <c r="BC1904" s="117"/>
      <c r="BD1904" s="117"/>
    </row>
    <row r="1905" spans="1:56" ht="15">
      <c r="A1905" s="114"/>
      <c r="B1905" s="244" t="s">
        <v>801</v>
      </c>
      <c r="C1905" s="200">
        <v>1</v>
      </c>
      <c r="D1905" s="245">
        <v>1</v>
      </c>
      <c r="E1905" s="201">
        <v>0.85</v>
      </c>
      <c r="F1905" s="201">
        <v>13.25</v>
      </c>
      <c r="G1905" s="202">
        <f t="shared" si="107"/>
        <v>11.262499999999999</v>
      </c>
      <c r="H1905" s="202">
        <f t="shared" si="108"/>
        <v>35.775000000000006</v>
      </c>
      <c r="I1905" s="82"/>
      <c r="J1905" s="114"/>
      <c r="BB1905" s="117"/>
      <c r="BC1905" s="117"/>
      <c r="BD1905" s="117"/>
    </row>
    <row r="1906" spans="1:56" ht="15">
      <c r="A1906" s="114"/>
      <c r="B1906" s="244" t="s">
        <v>802</v>
      </c>
      <c r="C1906" s="200">
        <v>1</v>
      </c>
      <c r="D1906" s="245">
        <v>1</v>
      </c>
      <c r="E1906" s="201">
        <v>0.85</v>
      </c>
      <c r="F1906" s="201">
        <v>13.25</v>
      </c>
      <c r="G1906" s="202">
        <f t="shared" si="107"/>
        <v>11.262499999999999</v>
      </c>
      <c r="H1906" s="202">
        <f t="shared" si="108"/>
        <v>35.775000000000006</v>
      </c>
      <c r="I1906" s="82"/>
      <c r="J1906" s="114"/>
      <c r="BB1906" s="117"/>
      <c r="BC1906" s="117"/>
      <c r="BD1906" s="117"/>
    </row>
    <row r="1907" spans="1:56" ht="15">
      <c r="A1907" s="114"/>
      <c r="B1907" s="244" t="s">
        <v>803</v>
      </c>
      <c r="C1907" s="200">
        <v>1</v>
      </c>
      <c r="D1907" s="245">
        <v>1</v>
      </c>
      <c r="E1907" s="201">
        <v>0.85</v>
      </c>
      <c r="F1907" s="201">
        <v>13.25</v>
      </c>
      <c r="G1907" s="202">
        <f t="shared" si="107"/>
        <v>11.262499999999999</v>
      </c>
      <c r="H1907" s="202">
        <f t="shared" si="108"/>
        <v>35.775000000000006</v>
      </c>
      <c r="I1907" s="82"/>
      <c r="J1907" s="114"/>
      <c r="BB1907" s="117"/>
      <c r="BC1907" s="117"/>
      <c r="BD1907" s="117"/>
    </row>
    <row r="1908" spans="1:56" ht="15">
      <c r="A1908" s="114"/>
      <c r="B1908" s="244" t="s">
        <v>804</v>
      </c>
      <c r="C1908" s="200">
        <v>1</v>
      </c>
      <c r="D1908" s="245">
        <v>1</v>
      </c>
      <c r="E1908" s="201">
        <v>0.85</v>
      </c>
      <c r="F1908" s="201">
        <v>13.25</v>
      </c>
      <c r="G1908" s="202">
        <f t="shared" si="107"/>
        <v>11.262499999999999</v>
      </c>
      <c r="H1908" s="202">
        <f t="shared" si="108"/>
        <v>35.775000000000006</v>
      </c>
      <c r="I1908" s="82"/>
      <c r="J1908" s="114"/>
      <c r="BB1908" s="117"/>
      <c r="BC1908" s="117"/>
      <c r="BD1908" s="117"/>
    </row>
    <row r="1909" spans="1:56" ht="15">
      <c r="A1909" s="114"/>
      <c r="B1909" s="244" t="s">
        <v>805</v>
      </c>
      <c r="C1909" s="200">
        <v>1</v>
      </c>
      <c r="D1909" s="245">
        <v>1</v>
      </c>
      <c r="E1909" s="201">
        <v>0.85</v>
      </c>
      <c r="F1909" s="201">
        <v>13.25</v>
      </c>
      <c r="G1909" s="202">
        <f t="shared" si="107"/>
        <v>11.262499999999999</v>
      </c>
      <c r="H1909" s="202">
        <f t="shared" si="108"/>
        <v>35.775000000000006</v>
      </c>
      <c r="I1909" s="82"/>
      <c r="J1909" s="114"/>
      <c r="BB1909" s="117"/>
      <c r="BC1909" s="117"/>
      <c r="BD1909" s="117"/>
    </row>
    <row r="1910" spans="1:56" ht="15">
      <c r="A1910" s="114"/>
      <c r="B1910" s="244" t="s">
        <v>806</v>
      </c>
      <c r="C1910" s="200">
        <v>1</v>
      </c>
      <c r="D1910" s="245">
        <v>1</v>
      </c>
      <c r="E1910" s="201">
        <v>0.85</v>
      </c>
      <c r="F1910" s="201">
        <v>13.25</v>
      </c>
      <c r="G1910" s="202">
        <f t="shared" si="107"/>
        <v>11.262499999999999</v>
      </c>
      <c r="H1910" s="202">
        <f t="shared" si="108"/>
        <v>35.775000000000006</v>
      </c>
      <c r="I1910" s="82"/>
      <c r="J1910" s="114"/>
      <c r="BB1910" s="117"/>
      <c r="BC1910" s="117"/>
      <c r="BD1910" s="117"/>
    </row>
    <row r="1911" spans="1:56" ht="15">
      <c r="A1911" s="114"/>
      <c r="B1911" s="244" t="s">
        <v>807</v>
      </c>
      <c r="C1911" s="200">
        <v>1</v>
      </c>
      <c r="D1911" s="245">
        <v>1</v>
      </c>
      <c r="E1911" s="201">
        <v>0.85</v>
      </c>
      <c r="F1911" s="201">
        <v>13.25</v>
      </c>
      <c r="G1911" s="202">
        <f t="shared" si="107"/>
        <v>11.262499999999999</v>
      </c>
      <c r="H1911" s="202">
        <f t="shared" si="108"/>
        <v>35.775000000000006</v>
      </c>
      <c r="I1911" s="82"/>
      <c r="J1911" s="114"/>
      <c r="BB1911" s="117"/>
      <c r="BC1911" s="117"/>
      <c r="BD1911" s="117"/>
    </row>
    <row r="1912" spans="1:56" ht="15">
      <c r="A1912" s="114"/>
      <c r="B1912" s="244" t="s">
        <v>808</v>
      </c>
      <c r="C1912" s="200">
        <v>1</v>
      </c>
      <c r="D1912" s="245">
        <v>0.22</v>
      </c>
      <c r="E1912" s="201">
        <v>0.85</v>
      </c>
      <c r="F1912" s="201">
        <v>3.3</v>
      </c>
      <c r="G1912" s="202">
        <f t="shared" si="107"/>
        <v>0.61709999999999998</v>
      </c>
      <c r="H1912" s="202">
        <f t="shared" si="108"/>
        <v>6.3359999999999994</v>
      </c>
      <c r="I1912" s="82"/>
      <c r="J1912" s="114"/>
      <c r="BB1912" s="117"/>
      <c r="BC1912" s="117"/>
      <c r="BD1912" s="117"/>
    </row>
    <row r="1913" spans="1:56" ht="15">
      <c r="A1913" s="114"/>
      <c r="B1913" s="244" t="s">
        <v>809</v>
      </c>
      <c r="C1913" s="200">
        <v>1</v>
      </c>
      <c r="D1913" s="245">
        <v>0.28000000000000003</v>
      </c>
      <c r="E1913" s="201">
        <v>0.6</v>
      </c>
      <c r="F1913" s="201">
        <v>3.3</v>
      </c>
      <c r="G1913" s="202">
        <f t="shared" si="107"/>
        <v>0.5544</v>
      </c>
      <c r="H1913" s="202">
        <f t="shared" si="108"/>
        <v>4.8839999999999995</v>
      </c>
      <c r="I1913" s="82"/>
      <c r="J1913" s="114"/>
      <c r="BB1913" s="117"/>
      <c r="BC1913" s="117"/>
      <c r="BD1913" s="117"/>
    </row>
    <row r="1914" spans="1:56" ht="15">
      <c r="A1914" s="114"/>
      <c r="B1914" s="244" t="s">
        <v>810</v>
      </c>
      <c r="C1914" s="200">
        <v>1</v>
      </c>
      <c r="D1914" s="245">
        <v>0.5</v>
      </c>
      <c r="E1914" s="201">
        <v>0.85</v>
      </c>
      <c r="F1914" s="201">
        <v>3.17</v>
      </c>
      <c r="G1914" s="202">
        <f t="shared" si="107"/>
        <v>1.3472499999999998</v>
      </c>
      <c r="H1914" s="202">
        <f t="shared" si="108"/>
        <v>6.9740000000000002</v>
      </c>
      <c r="I1914" s="82"/>
      <c r="J1914" s="114"/>
      <c r="BB1914" s="117"/>
      <c r="BC1914" s="117"/>
      <c r="BD1914" s="117"/>
    </row>
    <row r="1915" spans="1:56" ht="15">
      <c r="A1915" s="114"/>
      <c r="B1915" s="244" t="s">
        <v>811</v>
      </c>
      <c r="C1915" s="200">
        <v>1</v>
      </c>
      <c r="D1915" s="245">
        <v>0.3</v>
      </c>
      <c r="E1915" s="201">
        <v>0.7</v>
      </c>
      <c r="F1915" s="201">
        <v>6.4749999999999996</v>
      </c>
      <c r="G1915" s="202">
        <f t="shared" si="107"/>
        <v>1.3597499999999998</v>
      </c>
      <c r="H1915" s="202">
        <f t="shared" si="108"/>
        <v>11.007499999999999</v>
      </c>
      <c r="I1915" s="82"/>
      <c r="J1915" s="114"/>
      <c r="BB1915" s="117"/>
      <c r="BC1915" s="117"/>
      <c r="BD1915" s="117"/>
    </row>
    <row r="1916" spans="1:56" ht="15">
      <c r="A1916" s="114"/>
      <c r="B1916" s="244" t="s">
        <v>1474</v>
      </c>
      <c r="C1916" s="200">
        <v>1</v>
      </c>
      <c r="D1916" s="245">
        <v>0.4</v>
      </c>
      <c r="E1916" s="201">
        <v>0.85</v>
      </c>
      <c r="F1916" s="201">
        <v>13.25</v>
      </c>
      <c r="G1916" s="202">
        <f t="shared" si="107"/>
        <v>4.5049999999999999</v>
      </c>
      <c r="H1916" s="202">
        <f t="shared" si="108"/>
        <v>27.825000000000003</v>
      </c>
      <c r="I1916" s="82"/>
      <c r="J1916" s="114"/>
      <c r="BB1916" s="117"/>
      <c r="BC1916" s="117"/>
      <c r="BD1916" s="117"/>
    </row>
    <row r="1917" spans="1:56" ht="15">
      <c r="A1917" s="114"/>
      <c r="B1917" s="244" t="s">
        <v>812</v>
      </c>
      <c r="C1917" s="200">
        <v>1</v>
      </c>
      <c r="D1917" s="245">
        <v>0.4</v>
      </c>
      <c r="E1917" s="201">
        <v>0.85</v>
      </c>
      <c r="F1917" s="201">
        <v>7.875</v>
      </c>
      <c r="G1917" s="202">
        <f t="shared" si="107"/>
        <v>2.6775000000000002</v>
      </c>
      <c r="H1917" s="202">
        <f t="shared" si="108"/>
        <v>16.537500000000001</v>
      </c>
      <c r="I1917" s="82"/>
      <c r="J1917" s="114"/>
      <c r="BB1917" s="117"/>
      <c r="BC1917" s="117"/>
      <c r="BD1917" s="117"/>
    </row>
    <row r="1918" spans="1:56" ht="15">
      <c r="A1918" s="114"/>
      <c r="B1918" s="244" t="s">
        <v>813</v>
      </c>
      <c r="C1918" s="200">
        <v>1</v>
      </c>
      <c r="D1918" s="245">
        <v>0.4</v>
      </c>
      <c r="E1918" s="201">
        <v>0.85</v>
      </c>
      <c r="F1918" s="201">
        <v>7.875</v>
      </c>
      <c r="G1918" s="202">
        <f t="shared" si="107"/>
        <v>2.6775000000000002</v>
      </c>
      <c r="H1918" s="202">
        <f t="shared" si="108"/>
        <v>16.537500000000001</v>
      </c>
      <c r="I1918" s="82"/>
      <c r="J1918" s="114"/>
      <c r="BB1918" s="117"/>
      <c r="BC1918" s="117"/>
      <c r="BD1918" s="117"/>
    </row>
    <row r="1919" spans="1:56" ht="15">
      <c r="A1919" s="114"/>
      <c r="B1919" s="244" t="s">
        <v>814</v>
      </c>
      <c r="C1919" s="200">
        <v>1</v>
      </c>
      <c r="D1919" s="245">
        <v>0.4</v>
      </c>
      <c r="E1919" s="201">
        <v>0.75</v>
      </c>
      <c r="F1919" s="201">
        <v>7.5250000000000004</v>
      </c>
      <c r="G1919" s="202">
        <f t="shared" si="107"/>
        <v>2.2575000000000003</v>
      </c>
      <c r="H1919" s="202">
        <f t="shared" si="108"/>
        <v>14.297499999999999</v>
      </c>
      <c r="I1919" s="82"/>
      <c r="J1919" s="114"/>
      <c r="BB1919" s="117"/>
      <c r="BC1919" s="117"/>
      <c r="BD1919" s="117"/>
    </row>
    <row r="1920" spans="1:56" ht="15">
      <c r="A1920" s="114"/>
      <c r="B1920" s="244" t="s">
        <v>815</v>
      </c>
      <c r="C1920" s="200">
        <v>1</v>
      </c>
      <c r="D1920" s="245">
        <v>0.5</v>
      </c>
      <c r="E1920" s="201">
        <v>0.85</v>
      </c>
      <c r="F1920" s="201">
        <v>11.45</v>
      </c>
      <c r="G1920" s="202">
        <f t="shared" si="107"/>
        <v>4.86625</v>
      </c>
      <c r="H1920" s="202">
        <f t="shared" si="108"/>
        <v>25.19</v>
      </c>
      <c r="I1920" s="82"/>
      <c r="J1920" s="114"/>
      <c r="BB1920" s="117"/>
      <c r="BC1920" s="117"/>
      <c r="BD1920" s="117"/>
    </row>
    <row r="1921" spans="1:56" ht="15">
      <c r="A1921" s="114"/>
      <c r="B1921" s="244" t="s">
        <v>816</v>
      </c>
      <c r="C1921" s="200">
        <v>1</v>
      </c>
      <c r="D1921" s="245">
        <v>0.4</v>
      </c>
      <c r="E1921" s="201">
        <v>0.85</v>
      </c>
      <c r="F1921" s="201">
        <v>11.75</v>
      </c>
      <c r="G1921" s="202">
        <f t="shared" si="107"/>
        <v>3.9950000000000001</v>
      </c>
      <c r="H1921" s="202">
        <f t="shared" si="108"/>
        <v>24.675000000000001</v>
      </c>
      <c r="I1921" s="82"/>
      <c r="J1921" s="114"/>
      <c r="BB1921" s="117"/>
      <c r="BC1921" s="117"/>
      <c r="BD1921" s="117"/>
    </row>
    <row r="1922" spans="1:56" ht="15">
      <c r="A1922" s="114"/>
      <c r="B1922" s="244" t="s">
        <v>817</v>
      </c>
      <c r="C1922" s="200">
        <v>1</v>
      </c>
      <c r="D1922" s="245">
        <v>0.2</v>
      </c>
      <c r="E1922" s="201">
        <v>0.3</v>
      </c>
      <c r="F1922" s="201">
        <v>1.5</v>
      </c>
      <c r="G1922" s="202">
        <f t="shared" si="107"/>
        <v>0.09</v>
      </c>
      <c r="H1922" s="202">
        <f t="shared" si="108"/>
        <v>1.2000000000000002</v>
      </c>
      <c r="I1922" s="82"/>
      <c r="J1922" s="114"/>
      <c r="BB1922" s="117"/>
      <c r="BC1922" s="117"/>
      <c r="BD1922" s="117"/>
    </row>
    <row r="1923" spans="1:56" ht="15">
      <c r="A1923" s="114"/>
      <c r="B1923" s="244" t="s">
        <v>818</v>
      </c>
      <c r="C1923" s="200">
        <v>1</v>
      </c>
      <c r="D1923" s="245">
        <v>0.2</v>
      </c>
      <c r="E1923" s="201">
        <v>0.3</v>
      </c>
      <c r="F1923" s="201">
        <v>6.6</v>
      </c>
      <c r="G1923" s="202">
        <f t="shared" si="107"/>
        <v>0.39599999999999996</v>
      </c>
      <c r="H1923" s="202">
        <f t="shared" si="108"/>
        <v>5.28</v>
      </c>
      <c r="I1923" s="82"/>
      <c r="J1923" s="114"/>
      <c r="BB1923" s="117"/>
      <c r="BC1923" s="117"/>
      <c r="BD1923" s="117"/>
    </row>
    <row r="1924" spans="1:56" ht="15">
      <c r="A1924" s="114"/>
      <c r="B1924" s="244" t="s">
        <v>819</v>
      </c>
      <c r="C1924" s="200">
        <v>1</v>
      </c>
      <c r="D1924" s="245">
        <v>0.25</v>
      </c>
      <c r="E1924" s="201">
        <v>0.7</v>
      </c>
      <c r="F1924" s="201">
        <v>1.9</v>
      </c>
      <c r="G1924" s="202">
        <f t="shared" si="107"/>
        <v>0.33249999999999996</v>
      </c>
      <c r="H1924" s="202">
        <f t="shared" si="108"/>
        <v>3.1349999999999998</v>
      </c>
      <c r="I1924" s="82"/>
      <c r="J1924" s="114"/>
      <c r="BB1924" s="117"/>
      <c r="BC1924" s="117"/>
      <c r="BD1924" s="117"/>
    </row>
    <row r="1925" spans="1:56" ht="15">
      <c r="A1925" s="114"/>
      <c r="B1925" s="244" t="s">
        <v>820</v>
      </c>
      <c r="C1925" s="200">
        <v>1</v>
      </c>
      <c r="D1925" s="245">
        <v>0.25</v>
      </c>
      <c r="E1925" s="201">
        <v>0.7</v>
      </c>
      <c r="F1925" s="201">
        <v>1.9</v>
      </c>
      <c r="G1925" s="202">
        <f t="shared" si="107"/>
        <v>0.33249999999999996</v>
      </c>
      <c r="H1925" s="202">
        <f t="shared" si="108"/>
        <v>3.1349999999999998</v>
      </c>
      <c r="I1925" s="82"/>
      <c r="J1925" s="114"/>
      <c r="BB1925" s="117"/>
      <c r="BC1925" s="117"/>
      <c r="BD1925" s="117"/>
    </row>
    <row r="1926" spans="1:56" ht="15">
      <c r="A1926" s="114"/>
      <c r="B1926" s="244" t="s">
        <v>821</v>
      </c>
      <c r="C1926" s="200">
        <v>1</v>
      </c>
      <c r="D1926" s="245">
        <v>0.25</v>
      </c>
      <c r="E1926" s="201">
        <v>0.7</v>
      </c>
      <c r="F1926" s="201">
        <v>1.9</v>
      </c>
      <c r="G1926" s="202">
        <f t="shared" si="107"/>
        <v>0.33249999999999996</v>
      </c>
      <c r="H1926" s="202">
        <f t="shared" si="108"/>
        <v>3.1349999999999998</v>
      </c>
      <c r="I1926" s="82"/>
      <c r="J1926" s="114"/>
      <c r="BB1926" s="117"/>
      <c r="BC1926" s="117"/>
      <c r="BD1926" s="117"/>
    </row>
    <row r="1927" spans="1:56" ht="15">
      <c r="A1927" s="114"/>
      <c r="B1927" s="244" t="s">
        <v>822</v>
      </c>
      <c r="C1927" s="200">
        <v>1</v>
      </c>
      <c r="D1927" s="245">
        <v>0.2</v>
      </c>
      <c r="E1927" s="201">
        <v>0.5</v>
      </c>
      <c r="F1927" s="201">
        <v>3.95</v>
      </c>
      <c r="G1927" s="202">
        <f t="shared" si="107"/>
        <v>0.39500000000000002</v>
      </c>
      <c r="H1927" s="202">
        <f t="shared" si="108"/>
        <v>4.74</v>
      </c>
      <c r="I1927" s="82"/>
      <c r="J1927" s="114"/>
      <c r="BB1927" s="117"/>
      <c r="BC1927" s="117"/>
      <c r="BD1927" s="117"/>
    </row>
    <row r="1928" spans="1:56" ht="15">
      <c r="A1928" s="114"/>
      <c r="B1928" s="244" t="s">
        <v>823</v>
      </c>
      <c r="C1928" s="200">
        <v>1</v>
      </c>
      <c r="D1928" s="245">
        <v>0.2</v>
      </c>
      <c r="E1928" s="201">
        <v>0.85</v>
      </c>
      <c r="F1928" s="201">
        <v>3.9</v>
      </c>
      <c r="G1928" s="202">
        <f t="shared" si="107"/>
        <v>0.66300000000000003</v>
      </c>
      <c r="H1928" s="202">
        <f t="shared" si="108"/>
        <v>7.4099999999999993</v>
      </c>
      <c r="I1928" s="82"/>
      <c r="J1928" s="114"/>
      <c r="BB1928" s="117"/>
      <c r="BC1928" s="117"/>
      <c r="BD1928" s="117"/>
    </row>
    <row r="1929" spans="1:56" ht="15">
      <c r="A1929" s="114"/>
      <c r="B1929" s="244" t="s">
        <v>824</v>
      </c>
      <c r="C1929" s="200">
        <v>1</v>
      </c>
      <c r="D1929" s="245">
        <v>0.2</v>
      </c>
      <c r="E1929" s="201">
        <v>0.4</v>
      </c>
      <c r="F1929" s="201">
        <v>1.65</v>
      </c>
      <c r="G1929" s="202">
        <f t="shared" ref="G1929:G1951" si="123">D1929*E1929*F1929*C1929</f>
        <v>0.13200000000000001</v>
      </c>
      <c r="H1929" s="202">
        <f t="shared" ref="H1929:H1951" si="124">((E1929*2)+D1929)*F1929*C1929</f>
        <v>1.65</v>
      </c>
      <c r="I1929" s="82"/>
      <c r="J1929" s="114"/>
      <c r="BB1929" s="117"/>
      <c r="BC1929" s="117"/>
      <c r="BD1929" s="117"/>
    </row>
    <row r="1930" spans="1:56" ht="15">
      <c r="A1930" s="114"/>
      <c r="B1930" s="244" t="s">
        <v>825</v>
      </c>
      <c r="C1930" s="200">
        <v>1</v>
      </c>
      <c r="D1930" s="245">
        <v>0.25</v>
      </c>
      <c r="E1930" s="201">
        <v>0.85</v>
      </c>
      <c r="F1930" s="201">
        <v>9.6</v>
      </c>
      <c r="G1930" s="202">
        <f t="shared" si="123"/>
        <v>2.04</v>
      </c>
      <c r="H1930" s="202">
        <f t="shared" si="124"/>
        <v>18.72</v>
      </c>
      <c r="I1930" s="82"/>
      <c r="J1930" s="114"/>
      <c r="BB1930" s="117"/>
      <c r="BC1930" s="117"/>
      <c r="BD1930" s="117"/>
    </row>
    <row r="1931" spans="1:56" ht="15">
      <c r="A1931" s="114"/>
      <c r="B1931" s="244" t="s">
        <v>826</v>
      </c>
      <c r="C1931" s="200">
        <v>1</v>
      </c>
      <c r="D1931" s="245">
        <v>0.2</v>
      </c>
      <c r="E1931" s="201">
        <v>0.45</v>
      </c>
      <c r="F1931" s="201">
        <v>1.2</v>
      </c>
      <c r="G1931" s="202">
        <f t="shared" si="123"/>
        <v>0.10800000000000001</v>
      </c>
      <c r="H1931" s="202">
        <f t="shared" si="124"/>
        <v>1.32</v>
      </c>
      <c r="I1931" s="82"/>
      <c r="J1931" s="114"/>
      <c r="BB1931" s="117"/>
      <c r="BC1931" s="117"/>
      <c r="BD1931" s="117"/>
    </row>
    <row r="1932" spans="1:56" ht="15">
      <c r="A1932" s="114"/>
      <c r="B1932" s="244" t="s">
        <v>827</v>
      </c>
      <c r="C1932" s="200">
        <v>1</v>
      </c>
      <c r="D1932" s="245">
        <v>0.4</v>
      </c>
      <c r="E1932" s="201">
        <v>0.85</v>
      </c>
      <c r="F1932" s="201">
        <v>11.45</v>
      </c>
      <c r="G1932" s="202">
        <f t="shared" si="123"/>
        <v>3.8930000000000002</v>
      </c>
      <c r="H1932" s="202">
        <f t="shared" si="124"/>
        <v>24.044999999999998</v>
      </c>
      <c r="I1932" s="82"/>
      <c r="J1932" s="114"/>
      <c r="BB1932" s="117"/>
      <c r="BC1932" s="117"/>
      <c r="BD1932" s="117"/>
    </row>
    <row r="1933" spans="1:56" ht="15">
      <c r="A1933" s="114"/>
      <c r="B1933" s="244" t="s">
        <v>828</v>
      </c>
      <c r="C1933" s="200">
        <v>1</v>
      </c>
      <c r="D1933" s="245">
        <v>0.4</v>
      </c>
      <c r="E1933" s="201">
        <v>0.85</v>
      </c>
      <c r="F1933" s="201">
        <v>11.75</v>
      </c>
      <c r="G1933" s="202">
        <f t="shared" si="123"/>
        <v>3.9950000000000001</v>
      </c>
      <c r="H1933" s="202">
        <f t="shared" si="124"/>
        <v>24.675000000000001</v>
      </c>
      <c r="I1933" s="82"/>
      <c r="J1933" s="114"/>
      <c r="BB1933" s="117"/>
      <c r="BC1933" s="117"/>
      <c r="BD1933" s="117"/>
    </row>
    <row r="1934" spans="1:56" ht="15">
      <c r="A1934" s="114"/>
      <c r="B1934" s="244" t="s">
        <v>829</v>
      </c>
      <c r="C1934" s="200">
        <v>1</v>
      </c>
      <c r="D1934" s="245">
        <v>0.2</v>
      </c>
      <c r="E1934" s="201">
        <v>0.4</v>
      </c>
      <c r="F1934" s="201">
        <v>3.05</v>
      </c>
      <c r="G1934" s="202">
        <f t="shared" si="123"/>
        <v>0.24400000000000002</v>
      </c>
      <c r="H1934" s="202">
        <f t="shared" si="124"/>
        <v>3.05</v>
      </c>
      <c r="I1934" s="82"/>
      <c r="J1934" s="114"/>
      <c r="BB1934" s="117"/>
      <c r="BC1934" s="117"/>
      <c r="BD1934" s="117"/>
    </row>
    <row r="1935" spans="1:56" ht="15">
      <c r="A1935" s="114"/>
      <c r="B1935" s="244" t="s">
        <v>830</v>
      </c>
      <c r="C1935" s="200">
        <v>1</v>
      </c>
      <c r="D1935" s="245">
        <v>0.25</v>
      </c>
      <c r="E1935" s="201">
        <v>0.4</v>
      </c>
      <c r="F1935" s="201">
        <v>0.6</v>
      </c>
      <c r="G1935" s="202">
        <f t="shared" si="123"/>
        <v>0.06</v>
      </c>
      <c r="H1935" s="202">
        <f t="shared" si="124"/>
        <v>0.63</v>
      </c>
      <c r="I1935" s="82"/>
      <c r="J1935" s="114"/>
      <c r="BB1935" s="117"/>
      <c r="BC1935" s="117"/>
      <c r="BD1935" s="117"/>
    </row>
    <row r="1936" spans="1:56" ht="15">
      <c r="A1936" s="114"/>
      <c r="B1936" s="244" t="s">
        <v>831</v>
      </c>
      <c r="C1936" s="200">
        <v>1</v>
      </c>
      <c r="D1936" s="245">
        <v>0.25</v>
      </c>
      <c r="E1936" s="201">
        <v>0.7</v>
      </c>
      <c r="F1936" s="201">
        <v>1.915</v>
      </c>
      <c r="G1936" s="202">
        <f t="shared" si="123"/>
        <v>0.33512500000000001</v>
      </c>
      <c r="H1936" s="202">
        <f t="shared" si="124"/>
        <v>3.1597499999999998</v>
      </c>
      <c r="I1936" s="82"/>
      <c r="J1936" s="114"/>
      <c r="BB1936" s="117"/>
      <c r="BC1936" s="117"/>
      <c r="BD1936" s="117"/>
    </row>
    <row r="1937" spans="1:56" ht="15">
      <c r="A1937" s="114"/>
      <c r="B1937" s="244" t="s">
        <v>832</v>
      </c>
      <c r="C1937" s="200">
        <v>1</v>
      </c>
      <c r="D1937" s="245">
        <v>0.25</v>
      </c>
      <c r="E1937" s="201">
        <v>0.7</v>
      </c>
      <c r="F1937" s="201">
        <v>1.915</v>
      </c>
      <c r="G1937" s="202">
        <f t="shared" si="123"/>
        <v>0.33512500000000001</v>
      </c>
      <c r="H1937" s="202">
        <f t="shared" si="124"/>
        <v>3.1597499999999998</v>
      </c>
      <c r="I1937" s="82"/>
      <c r="J1937" s="114"/>
      <c r="BB1937" s="117"/>
      <c r="BC1937" s="117"/>
      <c r="BD1937" s="117"/>
    </row>
    <row r="1938" spans="1:56" ht="15">
      <c r="A1938" s="114"/>
      <c r="B1938" s="244" t="s">
        <v>833</v>
      </c>
      <c r="C1938" s="200">
        <v>1</v>
      </c>
      <c r="D1938" s="245">
        <v>0.25</v>
      </c>
      <c r="E1938" s="201">
        <v>0.7</v>
      </c>
      <c r="F1938" s="201">
        <v>1.915</v>
      </c>
      <c r="G1938" s="202">
        <f t="shared" si="123"/>
        <v>0.33512500000000001</v>
      </c>
      <c r="H1938" s="202">
        <f t="shared" si="124"/>
        <v>3.1597499999999998</v>
      </c>
      <c r="I1938" s="82"/>
      <c r="J1938" s="114"/>
      <c r="BB1938" s="117"/>
      <c r="BC1938" s="117"/>
      <c r="BD1938" s="117"/>
    </row>
    <row r="1939" spans="1:56" ht="15">
      <c r="A1939" s="114"/>
      <c r="B1939" s="244" t="s">
        <v>834</v>
      </c>
      <c r="C1939" s="200">
        <v>1</v>
      </c>
      <c r="D1939" s="245">
        <v>0.2</v>
      </c>
      <c r="E1939" s="201">
        <v>0.3</v>
      </c>
      <c r="F1939" s="201">
        <v>5.55</v>
      </c>
      <c r="G1939" s="202">
        <f t="shared" si="123"/>
        <v>0.33299999999999996</v>
      </c>
      <c r="H1939" s="202">
        <f t="shared" si="124"/>
        <v>4.4400000000000004</v>
      </c>
      <c r="I1939" s="82"/>
      <c r="J1939" s="114"/>
      <c r="BB1939" s="117"/>
      <c r="BC1939" s="117"/>
      <c r="BD1939" s="117"/>
    </row>
    <row r="1940" spans="1:56" ht="15">
      <c r="A1940" s="114"/>
      <c r="B1940" s="244" t="s">
        <v>835</v>
      </c>
      <c r="C1940" s="200">
        <v>1</v>
      </c>
      <c r="D1940" s="245">
        <v>0.2</v>
      </c>
      <c r="E1940" s="201">
        <v>0.65</v>
      </c>
      <c r="F1940" s="201">
        <v>1.5</v>
      </c>
      <c r="G1940" s="202">
        <f t="shared" si="123"/>
        <v>0.19500000000000001</v>
      </c>
      <c r="H1940" s="202">
        <f t="shared" si="124"/>
        <v>2.25</v>
      </c>
      <c r="I1940" s="82"/>
      <c r="J1940" s="114"/>
      <c r="BB1940" s="117"/>
      <c r="BC1940" s="117"/>
      <c r="BD1940" s="117"/>
    </row>
    <row r="1941" spans="1:56" ht="15">
      <c r="A1941" s="114"/>
      <c r="B1941" s="244" t="s">
        <v>836</v>
      </c>
      <c r="C1941" s="200">
        <v>1</v>
      </c>
      <c r="D1941" s="245">
        <v>0.2</v>
      </c>
      <c r="E1941" s="201">
        <v>0.82899999999999996</v>
      </c>
      <c r="F1941" s="201">
        <v>1.65</v>
      </c>
      <c r="G1941" s="202">
        <f t="shared" si="123"/>
        <v>0.27356999999999998</v>
      </c>
      <c r="H1941" s="202">
        <f t="shared" si="124"/>
        <v>3.0656999999999996</v>
      </c>
      <c r="I1941" s="82"/>
      <c r="J1941" s="114"/>
      <c r="BB1941" s="117"/>
      <c r="BC1941" s="117"/>
      <c r="BD1941" s="117"/>
    </row>
    <row r="1942" spans="1:56" ht="15">
      <c r="A1942" s="114"/>
      <c r="B1942" s="244" t="s">
        <v>837</v>
      </c>
      <c r="C1942" s="200">
        <v>1</v>
      </c>
      <c r="D1942" s="245">
        <v>0.4</v>
      </c>
      <c r="E1942" s="201">
        <v>0.85</v>
      </c>
      <c r="F1942" s="201">
        <v>11.75</v>
      </c>
      <c r="G1942" s="202">
        <f t="shared" si="123"/>
        <v>3.9950000000000001</v>
      </c>
      <c r="H1942" s="202">
        <f t="shared" si="124"/>
        <v>24.675000000000001</v>
      </c>
      <c r="I1942" s="82"/>
      <c r="J1942" s="114"/>
      <c r="BB1942" s="117"/>
      <c r="BC1942" s="117"/>
      <c r="BD1942" s="117"/>
    </row>
    <row r="1943" spans="1:56" ht="15">
      <c r="A1943" s="114"/>
      <c r="B1943" s="244" t="s">
        <v>838</v>
      </c>
      <c r="C1943" s="200">
        <v>1</v>
      </c>
      <c r="D1943" s="245">
        <v>0.2</v>
      </c>
      <c r="E1943" s="201">
        <v>0.65</v>
      </c>
      <c r="F1943" s="201">
        <v>5.7249999999999996</v>
      </c>
      <c r="G1943" s="202">
        <f t="shared" si="123"/>
        <v>0.74424999999999997</v>
      </c>
      <c r="H1943" s="202">
        <f t="shared" si="124"/>
        <v>8.5874999999999986</v>
      </c>
      <c r="I1943" s="82"/>
      <c r="J1943" s="114"/>
      <c r="BB1943" s="117"/>
      <c r="BC1943" s="117"/>
      <c r="BD1943" s="117"/>
    </row>
    <row r="1944" spans="1:56" ht="15">
      <c r="A1944" s="114"/>
      <c r="B1944" s="244" t="s">
        <v>839</v>
      </c>
      <c r="C1944" s="200">
        <v>1</v>
      </c>
      <c r="D1944" s="245">
        <v>0.4</v>
      </c>
      <c r="E1944" s="201">
        <v>1.3</v>
      </c>
      <c r="F1944" s="201">
        <v>17.04</v>
      </c>
      <c r="G1944" s="202">
        <f t="shared" si="123"/>
        <v>8.8607999999999993</v>
      </c>
      <c r="H1944" s="202">
        <f t="shared" si="124"/>
        <v>51.12</v>
      </c>
      <c r="I1944" s="82"/>
      <c r="J1944" s="114"/>
      <c r="BB1944" s="117"/>
      <c r="BC1944" s="117"/>
      <c r="BD1944" s="117"/>
    </row>
    <row r="1945" spans="1:56" ht="15">
      <c r="A1945" s="114"/>
      <c r="B1945" s="244" t="s">
        <v>840</v>
      </c>
      <c r="C1945" s="200">
        <v>1</v>
      </c>
      <c r="D1945" s="245">
        <v>0.2</v>
      </c>
      <c r="E1945" s="201">
        <v>1.3</v>
      </c>
      <c r="F1945" s="201">
        <v>1.17</v>
      </c>
      <c r="G1945" s="202">
        <f t="shared" si="123"/>
        <v>0.30419999999999997</v>
      </c>
      <c r="H1945" s="202">
        <f t="shared" si="124"/>
        <v>3.2760000000000002</v>
      </c>
      <c r="I1945" s="82"/>
      <c r="J1945" s="114"/>
      <c r="BB1945" s="117"/>
      <c r="BC1945" s="117"/>
      <c r="BD1945" s="117"/>
    </row>
    <row r="1946" spans="1:56" ht="15">
      <c r="A1946" s="114"/>
      <c r="B1946" s="244" t="s">
        <v>841</v>
      </c>
      <c r="C1946" s="200">
        <v>1</v>
      </c>
      <c r="D1946" s="245">
        <v>0.4</v>
      </c>
      <c r="E1946" s="201">
        <v>1.3</v>
      </c>
      <c r="F1946" s="201">
        <v>15.5</v>
      </c>
      <c r="G1946" s="202">
        <f t="shared" si="123"/>
        <v>8.06</v>
      </c>
      <c r="H1946" s="202">
        <f t="shared" si="124"/>
        <v>46.5</v>
      </c>
      <c r="I1946" s="82"/>
      <c r="J1946" s="114"/>
      <c r="BB1946" s="117"/>
      <c r="BC1946" s="117"/>
      <c r="BD1946" s="117"/>
    </row>
    <row r="1947" spans="1:56" ht="15">
      <c r="A1947" s="114"/>
      <c r="B1947" s="244" t="s">
        <v>842</v>
      </c>
      <c r="C1947" s="200">
        <v>1</v>
      </c>
      <c r="D1947" s="245">
        <v>0.4</v>
      </c>
      <c r="E1947" s="201">
        <v>1.3</v>
      </c>
      <c r="F1947" s="201">
        <v>3.47</v>
      </c>
      <c r="G1947" s="202">
        <f t="shared" si="123"/>
        <v>1.8044000000000002</v>
      </c>
      <c r="H1947" s="202">
        <f t="shared" si="124"/>
        <v>10.41</v>
      </c>
      <c r="I1947" s="82"/>
      <c r="J1947" s="114"/>
      <c r="BB1947" s="117"/>
      <c r="BC1947" s="117"/>
      <c r="BD1947" s="117"/>
    </row>
    <row r="1948" spans="1:56" ht="15">
      <c r="A1948" s="114"/>
      <c r="B1948" s="244" t="s">
        <v>843</v>
      </c>
      <c r="C1948" s="200">
        <v>1</v>
      </c>
      <c r="D1948" s="245">
        <v>0.7</v>
      </c>
      <c r="E1948" s="201">
        <v>1.2</v>
      </c>
      <c r="F1948" s="201">
        <v>8.82</v>
      </c>
      <c r="G1948" s="202">
        <f t="shared" si="123"/>
        <v>7.4088000000000003</v>
      </c>
      <c r="H1948" s="202">
        <f t="shared" si="124"/>
        <v>27.341999999999999</v>
      </c>
      <c r="I1948" s="82"/>
      <c r="J1948" s="114"/>
      <c r="BB1948" s="117"/>
      <c r="BC1948" s="117"/>
      <c r="BD1948" s="117"/>
    </row>
    <row r="1949" spans="1:56" ht="15">
      <c r="A1949" s="114"/>
      <c r="B1949" s="244" t="s">
        <v>844</v>
      </c>
      <c r="C1949" s="200">
        <v>1</v>
      </c>
      <c r="D1949" s="245">
        <v>0.42</v>
      </c>
      <c r="E1949" s="201">
        <v>1.3</v>
      </c>
      <c r="F1949" s="201">
        <v>1.65</v>
      </c>
      <c r="G1949" s="202">
        <f>D1949*E1949*F1949*C1949</f>
        <v>0.90090000000000003</v>
      </c>
      <c r="H1949" s="202">
        <f t="shared" si="124"/>
        <v>4.9829999999999997</v>
      </c>
      <c r="I1949" s="82"/>
      <c r="J1949" s="114"/>
      <c r="BB1949" s="117"/>
      <c r="BC1949" s="117"/>
      <c r="BD1949" s="117"/>
    </row>
    <row r="1950" spans="1:56" ht="15">
      <c r="A1950" s="114"/>
      <c r="B1950" s="244" t="s">
        <v>845</v>
      </c>
      <c r="C1950" s="200">
        <v>1</v>
      </c>
      <c r="D1950" s="245">
        <v>0.28000000000000003</v>
      </c>
      <c r="E1950" s="201">
        <v>1.05</v>
      </c>
      <c r="F1950" s="201">
        <v>1.65</v>
      </c>
      <c r="G1950" s="202">
        <f t="shared" si="123"/>
        <v>0.48510000000000003</v>
      </c>
      <c r="H1950" s="202">
        <f t="shared" si="124"/>
        <v>3.9269999999999996</v>
      </c>
      <c r="I1950" s="82"/>
      <c r="J1950" s="114"/>
      <c r="BB1950" s="117"/>
      <c r="BC1950" s="117"/>
      <c r="BD1950" s="117"/>
    </row>
    <row r="1951" spans="1:56" ht="15">
      <c r="A1951" s="114"/>
      <c r="B1951" s="244" t="s">
        <v>846</v>
      </c>
      <c r="C1951" s="200">
        <v>1</v>
      </c>
      <c r="D1951" s="245">
        <v>0.41</v>
      </c>
      <c r="E1951" s="201">
        <v>1.3</v>
      </c>
      <c r="F1951" s="201">
        <v>2.52</v>
      </c>
      <c r="G1951" s="202">
        <f t="shared" si="123"/>
        <v>1.3431600000000001</v>
      </c>
      <c r="H1951" s="202">
        <f t="shared" si="124"/>
        <v>7.5852000000000004</v>
      </c>
      <c r="I1951" s="82"/>
      <c r="J1951" s="114"/>
      <c r="BB1951" s="117"/>
      <c r="BC1951" s="117"/>
      <c r="BD1951" s="117"/>
    </row>
    <row r="1952" spans="1:56" ht="15">
      <c r="A1952" s="114"/>
      <c r="B1952" s="244" t="s">
        <v>1475</v>
      </c>
      <c r="C1952" s="200">
        <v>1</v>
      </c>
      <c r="D1952" s="245">
        <v>0.28999999999999998</v>
      </c>
      <c r="E1952" s="201">
        <v>1.05</v>
      </c>
      <c r="F1952" s="201">
        <v>2.52</v>
      </c>
      <c r="G1952" s="202">
        <f t="shared" ref="G1952:G1953" si="125">D1952*E1952*F1952*C1952</f>
        <v>0.76734000000000002</v>
      </c>
      <c r="H1952" s="202">
        <f t="shared" ref="H1952:H1953" si="126">((E1952*2)+D1952)*F1952*C1952</f>
        <v>6.0228000000000002</v>
      </c>
      <c r="I1952" s="82"/>
      <c r="J1952" s="114"/>
      <c r="BB1952" s="117"/>
      <c r="BC1952" s="117"/>
      <c r="BD1952" s="117"/>
    </row>
    <row r="1953" spans="1:56" ht="15">
      <c r="A1953" s="114"/>
      <c r="B1953" s="244" t="s">
        <v>1476</v>
      </c>
      <c r="C1953" s="200">
        <v>1</v>
      </c>
      <c r="D1953" s="245">
        <v>0.42</v>
      </c>
      <c r="E1953" s="201">
        <v>1.3</v>
      </c>
      <c r="F1953" s="201">
        <v>1.65</v>
      </c>
      <c r="G1953" s="202">
        <f t="shared" si="125"/>
        <v>0.90090000000000003</v>
      </c>
      <c r="H1953" s="202">
        <f t="shared" si="126"/>
        <v>4.9829999999999997</v>
      </c>
      <c r="I1953" s="82"/>
      <c r="J1953" s="114"/>
      <c r="BB1953" s="117"/>
      <c r="BC1953" s="117"/>
      <c r="BD1953" s="117"/>
    </row>
    <row r="1954" spans="1:56" ht="15">
      <c r="A1954" s="114"/>
      <c r="B1954" s="244" t="s">
        <v>1477</v>
      </c>
      <c r="C1954" s="200">
        <v>1</v>
      </c>
      <c r="D1954" s="245">
        <v>0.28000000000000003</v>
      </c>
      <c r="E1954" s="201">
        <v>1.05</v>
      </c>
      <c r="F1954" s="201">
        <v>1.65</v>
      </c>
      <c r="G1954" s="202">
        <f t="shared" ref="G1954" si="127">D1954*E1954*F1954*C1954</f>
        <v>0.48510000000000003</v>
      </c>
      <c r="H1954" s="202">
        <f t="shared" ref="H1954" si="128">((E1954*2)+D1954)*F1954*C1954</f>
        <v>3.9269999999999996</v>
      </c>
      <c r="I1954" s="82"/>
      <c r="J1954" s="114"/>
      <c r="BB1954" s="117"/>
      <c r="BC1954" s="117"/>
      <c r="BD1954" s="117"/>
    </row>
    <row r="1955" spans="1:56" ht="15">
      <c r="A1955" s="114"/>
      <c r="B1955" s="114"/>
      <c r="C1955" s="114"/>
      <c r="D1955" s="114"/>
      <c r="E1955" s="114"/>
      <c r="F1955" s="254" t="s">
        <v>76</v>
      </c>
      <c r="G1955" s="258">
        <f>SUM(G1850:G1954)</f>
        <v>883.08534000000043</v>
      </c>
      <c r="H1955" s="258">
        <f>SUM(H1850:H1954)</f>
        <v>3865.9397500000027</v>
      </c>
      <c r="I1955" s="82"/>
      <c r="J1955" s="114"/>
      <c r="BB1955" s="117"/>
      <c r="BC1955" s="117"/>
      <c r="BD1955" s="117"/>
    </row>
    <row r="1956" spans="1:56" ht="15">
      <c r="A1956" s="114"/>
      <c r="B1956" s="114"/>
      <c r="C1956" s="114"/>
      <c r="D1956" s="114"/>
      <c r="E1956" s="114"/>
      <c r="F1956" s="114"/>
      <c r="G1956" s="114"/>
      <c r="H1956" s="114"/>
      <c r="I1956" s="82"/>
      <c r="J1956" s="114"/>
      <c r="BB1956" s="117"/>
      <c r="BC1956" s="117"/>
      <c r="BD1956" s="117"/>
    </row>
    <row r="1957" spans="1:56">
      <c r="A1957" s="114"/>
      <c r="B1957" s="242" t="s">
        <v>1524</v>
      </c>
      <c r="C1957" s="199" t="s">
        <v>61</v>
      </c>
      <c r="D1957" s="199" t="s">
        <v>155</v>
      </c>
      <c r="E1957" s="199" t="s">
        <v>82</v>
      </c>
      <c r="F1957" s="199" t="s">
        <v>62</v>
      </c>
      <c r="G1957" s="243" t="s">
        <v>99</v>
      </c>
      <c r="H1957" s="243" t="s">
        <v>68</v>
      </c>
      <c r="I1957" s="115"/>
      <c r="J1957" s="82"/>
      <c r="BC1957" s="117"/>
      <c r="BD1957" s="117"/>
    </row>
    <row r="1958" spans="1:56">
      <c r="A1958" s="114"/>
      <c r="B1958" s="244" t="s">
        <v>1520</v>
      </c>
      <c r="C1958" s="200">
        <v>2</v>
      </c>
      <c r="D1958" s="629">
        <v>0.125</v>
      </c>
      <c r="E1958" s="245">
        <v>0.42499999999999999</v>
      </c>
      <c r="F1958" s="245">
        <v>16.350000000000001</v>
      </c>
      <c r="G1958" s="202">
        <f t="shared" ref="G1958:G1961" si="129">D1958*E1958*F1958*C1958</f>
        <v>1.7371875000000001</v>
      </c>
      <c r="H1958" s="202">
        <f t="shared" ref="H1958:H1961" si="130">((E1958*2)+D1958)*F1958*C1958</f>
        <v>31.8825</v>
      </c>
      <c r="I1958" s="115"/>
      <c r="J1958" s="82"/>
      <c r="BC1958" s="117"/>
      <c r="BD1958" s="117"/>
    </row>
    <row r="1959" spans="1:56">
      <c r="A1959" s="114"/>
      <c r="B1959" s="244" t="s">
        <v>1521</v>
      </c>
      <c r="C1959" s="200">
        <v>2</v>
      </c>
      <c r="D1959" s="629">
        <v>0.16500000000000001</v>
      </c>
      <c r="E1959" s="245">
        <v>0.42499999999999999</v>
      </c>
      <c r="F1959" s="245">
        <v>1.75</v>
      </c>
      <c r="G1959" s="202">
        <f t="shared" si="129"/>
        <v>0.24543750000000003</v>
      </c>
      <c r="H1959" s="202">
        <f t="shared" si="130"/>
        <v>3.5524999999999998</v>
      </c>
      <c r="I1959" s="115"/>
      <c r="J1959" s="82"/>
      <c r="BC1959" s="117"/>
      <c r="BD1959" s="117"/>
    </row>
    <row r="1960" spans="1:56">
      <c r="A1960" s="114"/>
      <c r="B1960" s="244" t="s">
        <v>1522</v>
      </c>
      <c r="C1960" s="200">
        <v>2</v>
      </c>
      <c r="D1960" s="629">
        <v>0.16</v>
      </c>
      <c r="E1960" s="245">
        <v>0.42499999999999999</v>
      </c>
      <c r="F1960" s="245">
        <v>1.75</v>
      </c>
      <c r="G1960" s="202">
        <f t="shared" si="129"/>
        <v>0.23800000000000002</v>
      </c>
      <c r="H1960" s="202">
        <f t="shared" si="130"/>
        <v>3.5350000000000001</v>
      </c>
      <c r="I1960" s="115"/>
      <c r="J1960" s="82"/>
      <c r="BC1960" s="117"/>
      <c r="BD1960" s="117"/>
    </row>
    <row r="1961" spans="1:56">
      <c r="A1961" s="114"/>
      <c r="B1961" s="244" t="s">
        <v>1523</v>
      </c>
      <c r="C1961" s="200">
        <v>2</v>
      </c>
      <c r="D1961" s="629">
        <v>1.825</v>
      </c>
      <c r="E1961" s="245">
        <v>0.42499999999999999</v>
      </c>
      <c r="F1961" s="245">
        <v>2</v>
      </c>
      <c r="G1961" s="202">
        <f t="shared" si="129"/>
        <v>3.1025</v>
      </c>
      <c r="H1961" s="202">
        <f t="shared" si="130"/>
        <v>10.7</v>
      </c>
      <c r="I1961" s="115"/>
      <c r="J1961" s="82"/>
      <c r="BC1961" s="117"/>
      <c r="BD1961" s="117"/>
    </row>
    <row r="1962" spans="1:56" ht="15">
      <c r="A1962" s="114"/>
      <c r="B1962" s="114"/>
      <c r="C1962" s="114"/>
      <c r="D1962" s="114"/>
      <c r="E1962" s="117"/>
      <c r="F1962" s="254" t="s">
        <v>767</v>
      </c>
      <c r="G1962" s="258">
        <f>SUM(G1958:G1961)</f>
        <v>5.3231250000000001</v>
      </c>
      <c r="H1962" s="258">
        <f>SUM(H1958:H1961)</f>
        <v>49.67</v>
      </c>
      <c r="I1962" s="82"/>
      <c r="J1962" s="114"/>
      <c r="BB1962" s="117"/>
      <c r="BC1962" s="117"/>
      <c r="BD1962" s="117"/>
    </row>
    <row r="1963" spans="1:56" ht="15">
      <c r="A1963" s="114"/>
      <c r="B1963" s="114"/>
      <c r="C1963" s="114"/>
      <c r="D1963" s="114"/>
      <c r="E1963" s="114"/>
      <c r="F1963" s="114"/>
      <c r="G1963" s="114"/>
      <c r="H1963" s="114"/>
      <c r="I1963" s="82"/>
      <c r="J1963" s="114"/>
      <c r="BB1963" s="117"/>
      <c r="BC1963" s="117"/>
      <c r="BD1963" s="117"/>
    </row>
    <row r="1964" spans="1:56" ht="15">
      <c r="A1964" s="114"/>
      <c r="B1964" s="114"/>
      <c r="C1964" s="114"/>
      <c r="D1964" s="114"/>
      <c r="E1964" s="114"/>
      <c r="F1964" s="114"/>
      <c r="G1964" s="114"/>
      <c r="H1964" s="114"/>
      <c r="I1964" s="82"/>
      <c r="J1964" s="114"/>
      <c r="BB1964" s="117"/>
      <c r="BC1964" s="117"/>
      <c r="BD1964" s="117"/>
    </row>
    <row r="1965" spans="1:56">
      <c r="A1965" s="114"/>
      <c r="B1965" s="242" t="s">
        <v>1518</v>
      </c>
      <c r="C1965" s="199" t="s">
        <v>61</v>
      </c>
      <c r="D1965" s="199" t="s">
        <v>82</v>
      </c>
      <c r="E1965" s="199" t="s">
        <v>768</v>
      </c>
      <c r="F1965" s="243" t="s">
        <v>99</v>
      </c>
      <c r="G1965" s="243" t="s">
        <v>68</v>
      </c>
      <c r="H1965" s="115"/>
      <c r="I1965" s="82"/>
      <c r="J1965" s="114"/>
      <c r="BB1965" s="117"/>
      <c r="BC1965" s="117"/>
      <c r="BD1965" s="117"/>
    </row>
    <row r="1966" spans="1:56">
      <c r="A1966" s="114"/>
      <c r="B1966" s="244" t="s">
        <v>1525</v>
      </c>
      <c r="C1966" s="200">
        <v>2</v>
      </c>
      <c r="D1966" s="245">
        <v>0.1</v>
      </c>
      <c r="E1966" s="245">
        <v>11.99</v>
      </c>
      <c r="F1966" s="202">
        <f>D1966*E1966*C1966</f>
        <v>2.3980000000000001</v>
      </c>
      <c r="G1966" s="202">
        <f>E1966*C1966</f>
        <v>23.98</v>
      </c>
      <c r="H1966" s="115"/>
      <c r="I1966" s="82"/>
      <c r="J1966" s="114"/>
      <c r="BB1966" s="117"/>
      <c r="BC1966" s="117"/>
      <c r="BD1966" s="117"/>
    </row>
    <row r="1967" spans="1:56">
      <c r="A1967" s="114"/>
      <c r="B1967" s="244" t="s">
        <v>1510</v>
      </c>
      <c r="C1967" s="200">
        <v>1</v>
      </c>
      <c r="D1967" s="245">
        <v>0.12</v>
      </c>
      <c r="E1967" s="245">
        <f>8.19+1.815+3.509+4.477+11.1189+8.9699+3.4+0.975+2.91+3.8333+3.6215+12.1247</f>
        <v>64.944299999999998</v>
      </c>
      <c r="F1967" s="202">
        <f t="shared" ref="F1967:F1969" si="131">D1967*E1967</f>
        <v>7.7933159999999999</v>
      </c>
      <c r="G1967" s="202">
        <f t="shared" ref="G1967:G1969" si="132">E1967</f>
        <v>64.944299999999998</v>
      </c>
      <c r="H1967" s="115"/>
      <c r="I1967" s="82"/>
      <c r="J1967" s="114"/>
      <c r="BB1967" s="117"/>
      <c r="BC1967" s="117"/>
      <c r="BD1967" s="117"/>
    </row>
    <row r="1968" spans="1:56">
      <c r="A1968" s="114"/>
      <c r="B1968" s="244" t="s">
        <v>1515</v>
      </c>
      <c r="C1968" s="200">
        <v>1</v>
      </c>
      <c r="D1968" s="245">
        <v>0.15</v>
      </c>
      <c r="E1968" s="245">
        <f>13.25+25.1+55.2457+16.8+21+1</f>
        <v>132.39569999999998</v>
      </c>
      <c r="F1968" s="202">
        <f t="shared" ref="F1968" si="133">D1968*E1968</f>
        <v>19.859354999999997</v>
      </c>
      <c r="G1968" s="202">
        <f t="shared" ref="G1968" si="134">E1968</f>
        <v>132.39569999999998</v>
      </c>
      <c r="H1968" s="115"/>
      <c r="I1968" s="82"/>
      <c r="J1968" s="114"/>
      <c r="BB1968" s="117"/>
      <c r="BC1968" s="117"/>
      <c r="BD1968" s="117"/>
    </row>
    <row r="1969" spans="1:56">
      <c r="A1969" s="114"/>
      <c r="B1969" s="244" t="s">
        <v>1514</v>
      </c>
      <c r="C1969" s="200">
        <v>1</v>
      </c>
      <c r="D1969" s="245">
        <v>0.42499999999999999</v>
      </c>
      <c r="E1969" s="245">
        <f>0.9+2.725+0.81+1.6425+3.285+7.31+2.43+23.5+4.05+8.1+8.1+3.4+3.4+4.05</f>
        <v>73.702500000000001</v>
      </c>
      <c r="F1969" s="202">
        <f t="shared" si="131"/>
        <v>31.323562499999998</v>
      </c>
      <c r="G1969" s="202">
        <f t="shared" si="132"/>
        <v>73.702500000000001</v>
      </c>
      <c r="H1969" s="115"/>
      <c r="I1969" s="82"/>
      <c r="J1969" s="114"/>
      <c r="BB1969" s="117"/>
      <c r="BC1969" s="117"/>
      <c r="BD1969" s="117"/>
    </row>
    <row r="1970" spans="1:56">
      <c r="A1970" s="114"/>
      <c r="B1970" s="114"/>
      <c r="C1970" s="114"/>
      <c r="D1970" s="114"/>
      <c r="E1970" s="254" t="s">
        <v>767</v>
      </c>
      <c r="F1970" s="258">
        <f>SUM(F1966:F1969)</f>
        <v>61.374233499999995</v>
      </c>
      <c r="G1970" s="258">
        <f>SUM(G1966:G1969)</f>
        <v>295.02249999999998</v>
      </c>
      <c r="H1970" s="115"/>
      <c r="I1970" s="82"/>
      <c r="J1970" s="114"/>
      <c r="BB1970" s="117"/>
      <c r="BC1970" s="117"/>
      <c r="BD1970" s="117"/>
    </row>
    <row r="1971" spans="1:56" s="259" customFormat="1" ht="15">
      <c r="A1971" s="114"/>
      <c r="B1971" s="293"/>
      <c r="C1971" s="81"/>
      <c r="D1971" s="81"/>
      <c r="E1971" s="81"/>
      <c r="F1971" s="349"/>
      <c r="G1971" s="81"/>
      <c r="H1971" s="82"/>
      <c r="I1971" s="82"/>
      <c r="J1971" s="114"/>
      <c r="K1971" s="114"/>
      <c r="L1971" s="114"/>
      <c r="M1971" s="114"/>
      <c r="N1971" s="114"/>
      <c r="O1971" s="114"/>
      <c r="P1971" s="114"/>
      <c r="Q1971" s="114"/>
      <c r="R1971" s="114"/>
      <c r="S1971" s="114"/>
      <c r="T1971" s="114"/>
      <c r="U1971" s="114"/>
      <c r="V1971" s="114"/>
      <c r="W1971" s="114"/>
      <c r="X1971" s="114"/>
      <c r="Y1971" s="114"/>
      <c r="Z1971" s="114"/>
      <c r="AA1971" s="114"/>
      <c r="AB1971" s="114"/>
      <c r="AC1971" s="114"/>
      <c r="AD1971" s="114"/>
      <c r="AE1971" s="114"/>
      <c r="AF1971" s="114"/>
      <c r="AG1971" s="114"/>
      <c r="AH1971" s="114"/>
      <c r="AI1971" s="114"/>
      <c r="AJ1971" s="114"/>
      <c r="AK1971" s="114"/>
      <c r="AL1971" s="114"/>
      <c r="AM1971" s="114"/>
      <c r="AN1971" s="114"/>
      <c r="AO1971" s="114"/>
      <c r="AP1971" s="114"/>
      <c r="AQ1971" s="114"/>
      <c r="AR1971" s="114"/>
      <c r="AS1971" s="114"/>
      <c r="AT1971" s="114"/>
      <c r="AU1971" s="114"/>
      <c r="AV1971" s="114"/>
      <c r="AW1971" s="114"/>
      <c r="AX1971" s="114"/>
      <c r="AY1971" s="114"/>
      <c r="AZ1971" s="114"/>
      <c r="BA1971" s="114"/>
    </row>
    <row r="1972" spans="1:56">
      <c r="A1972" s="114"/>
      <c r="B1972" s="242" t="s">
        <v>1512</v>
      </c>
      <c r="C1972" s="199" t="s">
        <v>61</v>
      </c>
      <c r="D1972" s="199" t="s">
        <v>768</v>
      </c>
      <c r="E1972" s="199" t="s">
        <v>769</v>
      </c>
      <c r="F1972" s="199" t="s">
        <v>1511</v>
      </c>
      <c r="G1972" s="243" t="s">
        <v>63</v>
      </c>
      <c r="H1972" s="243" t="s">
        <v>1674</v>
      </c>
      <c r="I1972" s="243" t="s">
        <v>1513</v>
      </c>
      <c r="J1972" s="115"/>
      <c r="K1972" s="115"/>
      <c r="L1972" s="82"/>
    </row>
    <row r="1973" spans="1:56">
      <c r="A1973" s="114"/>
      <c r="B1973" s="244" t="s">
        <v>770</v>
      </c>
      <c r="C1973" s="200">
        <v>1</v>
      </c>
      <c r="D1973" s="245">
        <f>50.278+50.278+50.8187+50.8187+50.278+50.2781+50.81875+50.81875+50.81875+104.34+37.45+37.45+50.045+29.56+38.1+38.06+104.37+104.34+37.45+37.45+18.875+71.22+104.34+38.1+38.1+104.34+104.34+38.1+13.45+130.1+42.65+53.6156+107.4+129.61+77.79+116.2175-4.05+114.29+107.33625+143.9375+143.9375+143.9375+143.2843+143.2843+143.9375+143.2843+143.2843+49.8075+71.9687+50.81875+50.81875+50.81875+51.44+51.4406+51.9937+51.4406+51.4406+51.99375</f>
        <v>4212.5139999999983</v>
      </c>
      <c r="E1973" s="245">
        <v>0.81</v>
      </c>
      <c r="F1973" s="245">
        <v>0.223</v>
      </c>
      <c r="G1973" s="350">
        <f>F1973*D1973</f>
        <v>939.39062199999967</v>
      </c>
      <c r="H1973" s="350">
        <f>D1973</f>
        <v>4212.5139999999983</v>
      </c>
      <c r="I1973" s="350">
        <f>D1973/E1973</f>
        <v>5200.634567901232</v>
      </c>
      <c r="J1973" s="115"/>
      <c r="K1973" s="115"/>
      <c r="L1973" s="82"/>
    </row>
    <row r="1974" spans="1:56" ht="15">
      <c r="A1974" s="114"/>
      <c r="B1974" s="114"/>
      <c r="C1974" s="114"/>
      <c r="D1974" s="114"/>
      <c r="E1974" s="117"/>
      <c r="F1974" s="254" t="s">
        <v>767</v>
      </c>
      <c r="G1974" s="258">
        <f>G1973</f>
        <v>939.39062199999967</v>
      </c>
      <c r="H1974" s="258">
        <f>H1973</f>
        <v>4212.5139999999983</v>
      </c>
      <c r="I1974" s="258">
        <f>I1973</f>
        <v>5200.634567901232</v>
      </c>
      <c r="J1974" s="82"/>
      <c r="BC1974" s="117"/>
      <c r="BD1974" s="117"/>
    </row>
    <row r="1975" spans="1:56" s="114" customFormat="1" ht="15">
      <c r="C1975" s="81"/>
      <c r="D1975" s="81"/>
      <c r="E1975" s="81"/>
      <c r="F1975" s="81"/>
      <c r="G1975" s="81"/>
      <c r="H1975" s="82"/>
      <c r="I1975" s="82"/>
    </row>
    <row r="1976" spans="1:56" ht="15">
      <c r="A1976" s="114"/>
      <c r="B1976" s="293"/>
      <c r="C1976" s="81"/>
      <c r="D1976" s="81"/>
      <c r="E1976" s="81"/>
      <c r="F1976" s="349"/>
      <c r="G1976" s="81"/>
      <c r="H1976" s="82"/>
      <c r="I1976" s="82"/>
      <c r="J1976" s="114"/>
      <c r="BB1976" s="117"/>
      <c r="BC1976" s="117"/>
      <c r="BD1976" s="117"/>
    </row>
    <row r="1977" spans="1:56" ht="15">
      <c r="A1977" s="114"/>
      <c r="B1977" s="627" t="s">
        <v>2314</v>
      </c>
      <c r="C1977" s="623"/>
      <c r="D1977" s="623"/>
      <c r="E1977" s="623"/>
      <c r="F1977" s="623"/>
      <c r="G1977" s="623"/>
      <c r="H1977" s="624"/>
      <c r="I1977" s="624"/>
      <c r="J1977" s="625"/>
      <c r="BB1977" s="117"/>
      <c r="BC1977" s="117"/>
      <c r="BD1977" s="117"/>
    </row>
    <row r="1978" spans="1:56" ht="15">
      <c r="A1978" s="114"/>
      <c r="B1978" s="293"/>
      <c r="C1978" s="81"/>
      <c r="D1978" s="81"/>
      <c r="E1978" s="81"/>
      <c r="F1978" s="349"/>
      <c r="G1978" s="81"/>
      <c r="H1978" s="82"/>
      <c r="I1978" s="82"/>
      <c r="J1978" s="114"/>
      <c r="BB1978" s="117"/>
      <c r="BC1978" s="117"/>
      <c r="BD1978" s="117"/>
    </row>
    <row r="1979" spans="1:56" ht="15">
      <c r="A1979" s="114"/>
      <c r="B1979" s="242" t="s">
        <v>97</v>
      </c>
      <c r="C1979" s="199" t="s">
        <v>61</v>
      </c>
      <c r="D1979" s="199" t="s">
        <v>82</v>
      </c>
      <c r="E1979" s="199" t="s">
        <v>66</v>
      </c>
      <c r="F1979" s="199" t="s">
        <v>62</v>
      </c>
      <c r="G1979" s="243" t="s">
        <v>99</v>
      </c>
      <c r="H1979" s="243" t="s">
        <v>68</v>
      </c>
      <c r="I1979" s="82"/>
      <c r="J1979" s="114"/>
      <c r="BB1979" s="117"/>
      <c r="BC1979" s="117"/>
      <c r="BD1979" s="117"/>
    </row>
    <row r="1980" spans="1:56" ht="15">
      <c r="A1980" s="114"/>
      <c r="B1980" s="244" t="s">
        <v>883</v>
      </c>
      <c r="C1980" s="200">
        <v>1</v>
      </c>
      <c r="D1980" s="245">
        <v>0.75</v>
      </c>
      <c r="E1980" s="201">
        <v>0.98</v>
      </c>
      <c r="F1980" s="201">
        <v>35.25</v>
      </c>
      <c r="G1980" s="202">
        <f t="shared" ref="G1980:G2006" si="135">D1980*E1980*F1980*C1980</f>
        <v>25.908750000000001</v>
      </c>
      <c r="H1980" s="202">
        <f t="shared" ref="H1980:H2006" si="136">((E1980*2)+D1980)*F1980*C1980</f>
        <v>95.527500000000003</v>
      </c>
      <c r="I1980" s="82"/>
      <c r="J1980" s="114"/>
      <c r="BB1980" s="117"/>
      <c r="BC1980" s="117"/>
      <c r="BD1980" s="117"/>
    </row>
    <row r="1981" spans="1:56" ht="15">
      <c r="A1981" s="114"/>
      <c r="B1981" s="244" t="s">
        <v>884</v>
      </c>
      <c r="C1981" s="200">
        <v>1</v>
      </c>
      <c r="D1981" s="245">
        <v>0.75</v>
      </c>
      <c r="E1981" s="201">
        <v>0.98</v>
      </c>
      <c r="F1981" s="201">
        <v>35.25</v>
      </c>
      <c r="G1981" s="202">
        <f t="shared" si="135"/>
        <v>25.908750000000001</v>
      </c>
      <c r="H1981" s="202">
        <f t="shared" si="136"/>
        <v>95.527500000000003</v>
      </c>
      <c r="I1981" s="82"/>
      <c r="J1981" s="114"/>
      <c r="BB1981" s="117"/>
      <c r="BC1981" s="117"/>
      <c r="BD1981" s="117"/>
    </row>
    <row r="1982" spans="1:56" ht="15">
      <c r="A1982" s="114"/>
      <c r="B1982" s="244" t="s">
        <v>885</v>
      </c>
      <c r="C1982" s="200">
        <v>1</v>
      </c>
      <c r="D1982" s="245">
        <v>0.75</v>
      </c>
      <c r="E1982" s="201">
        <v>0.98</v>
      </c>
      <c r="F1982" s="201">
        <v>35.25</v>
      </c>
      <c r="G1982" s="202">
        <f t="shared" si="135"/>
        <v>25.908750000000001</v>
      </c>
      <c r="H1982" s="202">
        <f t="shared" si="136"/>
        <v>95.527500000000003</v>
      </c>
      <c r="I1982" s="82"/>
      <c r="J1982" s="114"/>
      <c r="BB1982" s="117"/>
      <c r="BC1982" s="117"/>
      <c r="BD1982" s="117"/>
    </row>
    <row r="1983" spans="1:56" ht="15">
      <c r="A1983" s="114"/>
      <c r="B1983" s="244" t="s">
        <v>886</v>
      </c>
      <c r="C1983" s="200">
        <v>1</v>
      </c>
      <c r="D1983" s="245">
        <v>0.75</v>
      </c>
      <c r="E1983" s="201">
        <v>0.98</v>
      </c>
      <c r="F1983" s="201">
        <v>35.25</v>
      </c>
      <c r="G1983" s="202">
        <f t="shared" si="135"/>
        <v>25.908750000000001</v>
      </c>
      <c r="H1983" s="202">
        <f t="shared" si="136"/>
        <v>95.527500000000003</v>
      </c>
      <c r="I1983" s="82"/>
      <c r="J1983" s="114"/>
      <c r="BB1983" s="117"/>
      <c r="BC1983" s="117"/>
      <c r="BD1983" s="117"/>
    </row>
    <row r="1984" spans="1:56" ht="15">
      <c r="A1984" s="114"/>
      <c r="B1984" s="244" t="s">
        <v>887</v>
      </c>
      <c r="C1984" s="200">
        <v>1</v>
      </c>
      <c r="D1984" s="245">
        <v>0.75</v>
      </c>
      <c r="E1984" s="201">
        <v>0.98</v>
      </c>
      <c r="F1984" s="201">
        <v>31.35</v>
      </c>
      <c r="G1984" s="202">
        <f t="shared" si="135"/>
        <v>23.042249999999999</v>
      </c>
      <c r="H1984" s="202">
        <f t="shared" si="136"/>
        <v>84.958500000000001</v>
      </c>
      <c r="I1984" s="82"/>
      <c r="J1984" s="114"/>
      <c r="BB1984" s="117"/>
      <c r="BC1984" s="117"/>
      <c r="BD1984" s="117"/>
    </row>
    <row r="1985" spans="1:56" ht="15">
      <c r="A1985" s="114"/>
      <c r="B1985" s="244" t="s">
        <v>888</v>
      </c>
      <c r="C1985" s="200">
        <v>1</v>
      </c>
      <c r="D1985" s="245">
        <v>0.45</v>
      </c>
      <c r="E1985" s="201">
        <v>0.98</v>
      </c>
      <c r="F1985" s="201">
        <v>3.9</v>
      </c>
      <c r="G1985" s="202">
        <f t="shared" si="135"/>
        <v>1.7199</v>
      </c>
      <c r="H1985" s="202">
        <f t="shared" si="136"/>
        <v>9.3990000000000009</v>
      </c>
      <c r="I1985" s="82"/>
      <c r="J1985" s="114"/>
      <c r="BB1985" s="117"/>
      <c r="BC1985" s="117"/>
      <c r="BD1985" s="117"/>
    </row>
    <row r="1986" spans="1:56" ht="15">
      <c r="A1986" s="114"/>
      <c r="B1986" s="244" t="s">
        <v>889</v>
      </c>
      <c r="C1986" s="200">
        <v>1</v>
      </c>
      <c r="D1986" s="245">
        <v>0.75</v>
      </c>
      <c r="E1986" s="201">
        <v>0.98</v>
      </c>
      <c r="F1986" s="201">
        <v>35.25</v>
      </c>
      <c r="G1986" s="202">
        <f t="shared" si="135"/>
        <v>25.908750000000001</v>
      </c>
      <c r="H1986" s="202">
        <f t="shared" si="136"/>
        <v>95.527500000000003</v>
      </c>
      <c r="I1986" s="82"/>
      <c r="J1986" s="114"/>
      <c r="BB1986" s="117"/>
      <c r="BC1986" s="117"/>
      <c r="BD1986" s="117"/>
    </row>
    <row r="1987" spans="1:56" ht="15">
      <c r="A1987" s="114"/>
      <c r="B1987" s="244" t="s">
        <v>717</v>
      </c>
      <c r="C1987" s="200">
        <v>1</v>
      </c>
      <c r="D1987" s="245">
        <v>0.7</v>
      </c>
      <c r="E1987" s="201">
        <v>0.45</v>
      </c>
      <c r="F1987" s="201">
        <v>13.15</v>
      </c>
      <c r="G1987" s="202">
        <f>D1987*E1987*F1987*C1987</f>
        <v>4.1422499999999998</v>
      </c>
      <c r="H1987" s="202">
        <f>((E1987*2)+D1987)*F1987*C1987</f>
        <v>21.040000000000003</v>
      </c>
      <c r="I1987" s="82"/>
      <c r="J1987" s="114"/>
      <c r="BB1987" s="117"/>
      <c r="BC1987" s="117"/>
      <c r="BD1987" s="117"/>
    </row>
    <row r="1988" spans="1:56" ht="15">
      <c r="A1988" s="114"/>
      <c r="B1988" s="244" t="s">
        <v>890</v>
      </c>
      <c r="C1988" s="200">
        <v>1</v>
      </c>
      <c r="D1988" s="245">
        <v>0.85</v>
      </c>
      <c r="E1988" s="201">
        <v>0.45</v>
      </c>
      <c r="F1988" s="201">
        <v>13.15</v>
      </c>
      <c r="G1988" s="202">
        <f t="shared" si="135"/>
        <v>5.0298750000000005</v>
      </c>
      <c r="H1988" s="202">
        <f t="shared" si="136"/>
        <v>23.012499999999999</v>
      </c>
      <c r="I1988" s="82"/>
      <c r="J1988" s="114"/>
      <c r="BB1988" s="117"/>
      <c r="BC1988" s="117"/>
      <c r="BD1988" s="117"/>
    </row>
    <row r="1989" spans="1:56" ht="15">
      <c r="A1989" s="114"/>
      <c r="B1989" s="244" t="s">
        <v>891</v>
      </c>
      <c r="C1989" s="200">
        <v>1</v>
      </c>
      <c r="D1989" s="245">
        <v>0.85</v>
      </c>
      <c r="E1989" s="201">
        <v>0.45</v>
      </c>
      <c r="F1989" s="201">
        <v>13.15</v>
      </c>
      <c r="G1989" s="202">
        <f t="shared" si="135"/>
        <v>5.0298750000000005</v>
      </c>
      <c r="H1989" s="202">
        <f t="shared" si="136"/>
        <v>23.012499999999999</v>
      </c>
      <c r="I1989" s="82"/>
      <c r="J1989" s="114"/>
      <c r="BB1989" s="117"/>
      <c r="BC1989" s="117"/>
      <c r="BD1989" s="117"/>
    </row>
    <row r="1990" spans="1:56" ht="15">
      <c r="A1990" s="114"/>
      <c r="B1990" s="244" t="s">
        <v>892</v>
      </c>
      <c r="C1990" s="200">
        <v>1</v>
      </c>
      <c r="D1990" s="245">
        <v>0.7</v>
      </c>
      <c r="E1990" s="201">
        <v>0.45</v>
      </c>
      <c r="F1990" s="201">
        <v>13.15</v>
      </c>
      <c r="G1990" s="202">
        <f t="shared" si="135"/>
        <v>4.1422499999999998</v>
      </c>
      <c r="H1990" s="202">
        <f t="shared" si="136"/>
        <v>21.040000000000003</v>
      </c>
      <c r="I1990" s="82"/>
      <c r="J1990" s="114"/>
      <c r="BB1990" s="117"/>
      <c r="BC1990" s="117"/>
      <c r="BD1990" s="117"/>
    </row>
    <row r="1991" spans="1:56" ht="15">
      <c r="A1991" s="114"/>
      <c r="B1991" s="244" t="s">
        <v>893</v>
      </c>
      <c r="C1991" s="200">
        <v>1</v>
      </c>
      <c r="D1991" s="245">
        <v>0.7</v>
      </c>
      <c r="E1991" s="201">
        <v>0.45</v>
      </c>
      <c r="F1991" s="201">
        <v>13.15</v>
      </c>
      <c r="G1991" s="202">
        <f t="shared" si="135"/>
        <v>4.1422499999999998</v>
      </c>
      <c r="H1991" s="202">
        <f t="shared" si="136"/>
        <v>21.040000000000003</v>
      </c>
      <c r="I1991" s="82"/>
      <c r="J1991" s="114"/>
      <c r="BB1991" s="117"/>
      <c r="BC1991" s="117"/>
      <c r="BD1991" s="117"/>
    </row>
    <row r="1992" spans="1:56" ht="15">
      <c r="A1992" s="114"/>
      <c r="B1992" s="244" t="s">
        <v>894</v>
      </c>
      <c r="C1992" s="200">
        <v>1</v>
      </c>
      <c r="D1992" s="245">
        <v>0.85</v>
      </c>
      <c r="E1992" s="201">
        <v>0.45</v>
      </c>
      <c r="F1992" s="201">
        <v>13.15</v>
      </c>
      <c r="G1992" s="202">
        <f t="shared" si="135"/>
        <v>5.0298750000000005</v>
      </c>
      <c r="H1992" s="202">
        <f t="shared" si="136"/>
        <v>23.012499999999999</v>
      </c>
      <c r="I1992" s="82"/>
      <c r="J1992" s="114"/>
      <c r="BB1992" s="117"/>
      <c r="BC1992" s="117"/>
      <c r="BD1992" s="117"/>
    </row>
    <row r="1993" spans="1:56" ht="15">
      <c r="A1993" s="114"/>
      <c r="B1993" s="244" t="s">
        <v>895</v>
      </c>
      <c r="C1993" s="200">
        <v>1</v>
      </c>
      <c r="D1993" s="245">
        <v>0.7</v>
      </c>
      <c r="E1993" s="201">
        <v>0.45</v>
      </c>
      <c r="F1993" s="201">
        <v>9.6</v>
      </c>
      <c r="G1993" s="202">
        <f t="shared" si="135"/>
        <v>3.024</v>
      </c>
      <c r="H1993" s="202">
        <f t="shared" si="136"/>
        <v>15.36</v>
      </c>
      <c r="I1993" s="82"/>
      <c r="J1993" s="114"/>
      <c r="BB1993" s="117"/>
      <c r="BC1993" s="117"/>
      <c r="BD1993" s="117"/>
    </row>
    <row r="1994" spans="1:56" ht="15">
      <c r="A1994" s="114"/>
      <c r="B1994" s="244" t="s">
        <v>896</v>
      </c>
      <c r="C1994" s="200">
        <v>1</v>
      </c>
      <c r="D1994" s="245">
        <v>0.25</v>
      </c>
      <c r="E1994" s="201">
        <v>0.45</v>
      </c>
      <c r="F1994" s="201">
        <v>1.85</v>
      </c>
      <c r="G1994" s="202">
        <f t="shared" si="135"/>
        <v>0.208125</v>
      </c>
      <c r="H1994" s="202">
        <f t="shared" si="136"/>
        <v>2.1274999999999999</v>
      </c>
      <c r="I1994" s="82"/>
      <c r="J1994" s="114"/>
      <c r="BB1994" s="117"/>
      <c r="BC1994" s="117"/>
      <c r="BD1994" s="117"/>
    </row>
    <row r="1995" spans="1:56" ht="15">
      <c r="A1995" s="114"/>
      <c r="B1995" s="244" t="s">
        <v>897</v>
      </c>
      <c r="C1995" s="200">
        <v>1</v>
      </c>
      <c r="D1995" s="245">
        <v>0.7</v>
      </c>
      <c r="E1995" s="201">
        <v>0.45</v>
      </c>
      <c r="F1995" s="201">
        <v>1.7</v>
      </c>
      <c r="G1995" s="202">
        <f t="shared" si="135"/>
        <v>0.53549999999999998</v>
      </c>
      <c r="H1995" s="202">
        <f t="shared" si="136"/>
        <v>2.72</v>
      </c>
      <c r="I1995" s="82"/>
      <c r="J1995" s="114"/>
      <c r="BB1995" s="117"/>
      <c r="BC1995" s="117"/>
      <c r="BD1995" s="117"/>
    </row>
    <row r="1996" spans="1:56" ht="15">
      <c r="A1996" s="114"/>
      <c r="B1996" s="244" t="s">
        <v>898</v>
      </c>
      <c r="C1996" s="200">
        <v>1</v>
      </c>
      <c r="D1996" s="245">
        <v>0.7</v>
      </c>
      <c r="E1996" s="201">
        <v>0.45</v>
      </c>
      <c r="F1996" s="201">
        <v>9.6</v>
      </c>
      <c r="G1996" s="202">
        <f t="shared" si="135"/>
        <v>3.024</v>
      </c>
      <c r="H1996" s="202">
        <f t="shared" si="136"/>
        <v>15.36</v>
      </c>
      <c r="I1996" s="82"/>
      <c r="J1996" s="114"/>
      <c r="BB1996" s="117"/>
      <c r="BC1996" s="117"/>
      <c r="BD1996" s="117"/>
    </row>
    <row r="1997" spans="1:56" ht="15">
      <c r="A1997" s="114"/>
      <c r="B1997" s="244" t="s">
        <v>899</v>
      </c>
      <c r="C1997" s="200">
        <v>1</v>
      </c>
      <c r="D1997" s="245">
        <v>0.25</v>
      </c>
      <c r="E1997" s="201">
        <v>0.45</v>
      </c>
      <c r="F1997" s="201">
        <v>1.85</v>
      </c>
      <c r="G1997" s="202">
        <f t="shared" si="135"/>
        <v>0.208125</v>
      </c>
      <c r="H1997" s="202">
        <f t="shared" si="136"/>
        <v>2.1274999999999999</v>
      </c>
      <c r="I1997" s="82"/>
      <c r="J1997" s="114"/>
      <c r="BB1997" s="117"/>
      <c r="BC1997" s="117"/>
      <c r="BD1997" s="117"/>
    </row>
    <row r="1998" spans="1:56" ht="15">
      <c r="A1998" s="114"/>
      <c r="B1998" s="244" t="s">
        <v>900</v>
      </c>
      <c r="C1998" s="200">
        <v>1</v>
      </c>
      <c r="D1998" s="245">
        <v>0.7</v>
      </c>
      <c r="E1998" s="201">
        <v>0.45</v>
      </c>
      <c r="F1998" s="201">
        <v>1.7</v>
      </c>
      <c r="G1998" s="202">
        <f t="shared" si="135"/>
        <v>0.53549999999999998</v>
      </c>
      <c r="H1998" s="202">
        <f t="shared" si="136"/>
        <v>2.72</v>
      </c>
      <c r="I1998" s="82"/>
      <c r="J1998" s="114"/>
      <c r="BB1998" s="117"/>
      <c r="BC1998" s="117"/>
      <c r="BD1998" s="117"/>
    </row>
    <row r="1999" spans="1:56" ht="15">
      <c r="A1999" s="114"/>
      <c r="B1999" s="244" t="s">
        <v>901</v>
      </c>
      <c r="C1999" s="200">
        <v>1</v>
      </c>
      <c r="D1999" s="245">
        <v>0.7</v>
      </c>
      <c r="E1999" s="201">
        <v>0.45</v>
      </c>
      <c r="F1999" s="201">
        <v>13.15</v>
      </c>
      <c r="G1999" s="202">
        <f t="shared" si="135"/>
        <v>4.1422499999999998</v>
      </c>
      <c r="H1999" s="202">
        <f t="shared" si="136"/>
        <v>21.040000000000003</v>
      </c>
      <c r="I1999" s="82"/>
      <c r="J1999" s="114"/>
      <c r="BB1999" s="117"/>
      <c r="BC1999" s="117"/>
      <c r="BD1999" s="117"/>
    </row>
    <row r="2000" spans="1:56" ht="15">
      <c r="A2000" s="114"/>
      <c r="B2000" s="244" t="s">
        <v>902</v>
      </c>
      <c r="C2000" s="200">
        <v>1</v>
      </c>
      <c r="D2000" s="245">
        <v>0.7</v>
      </c>
      <c r="E2000" s="201">
        <v>0.45</v>
      </c>
      <c r="F2000" s="201">
        <v>13.15</v>
      </c>
      <c r="G2000" s="202">
        <f t="shared" si="135"/>
        <v>4.1422499999999998</v>
      </c>
      <c r="H2000" s="202">
        <f t="shared" si="136"/>
        <v>21.040000000000003</v>
      </c>
      <c r="I2000" s="82"/>
      <c r="J2000" s="114"/>
      <c r="BB2000" s="117"/>
      <c r="BC2000" s="117"/>
      <c r="BD2000" s="117"/>
    </row>
    <row r="2001" spans="1:56" ht="15">
      <c r="A2001" s="114"/>
      <c r="B2001" s="244" t="s">
        <v>903</v>
      </c>
      <c r="C2001" s="200">
        <v>1</v>
      </c>
      <c r="D2001" s="245">
        <v>0.85</v>
      </c>
      <c r="E2001" s="201">
        <v>0.45</v>
      </c>
      <c r="F2001" s="201">
        <v>13.15</v>
      </c>
      <c r="G2001" s="202">
        <f t="shared" si="135"/>
        <v>5.0298750000000005</v>
      </c>
      <c r="H2001" s="202">
        <f t="shared" si="136"/>
        <v>23.012499999999999</v>
      </c>
      <c r="I2001" s="82"/>
      <c r="J2001" s="114"/>
      <c r="BB2001" s="117"/>
      <c r="BC2001" s="117"/>
      <c r="BD2001" s="117"/>
    </row>
    <row r="2002" spans="1:56" ht="15">
      <c r="A2002" s="114"/>
      <c r="B2002" s="244" t="s">
        <v>904</v>
      </c>
      <c r="C2002" s="200">
        <v>1</v>
      </c>
      <c r="D2002" s="245">
        <v>0.85</v>
      </c>
      <c r="E2002" s="201">
        <v>0.45</v>
      </c>
      <c r="F2002" s="201">
        <v>11.45</v>
      </c>
      <c r="G2002" s="202">
        <f t="shared" si="135"/>
        <v>4.3796249999999999</v>
      </c>
      <c r="H2002" s="202">
        <f t="shared" si="136"/>
        <v>20.037499999999998</v>
      </c>
      <c r="I2002" s="82"/>
      <c r="J2002" s="114"/>
      <c r="BB2002" s="117"/>
      <c r="BC2002" s="117"/>
      <c r="BD2002" s="117"/>
    </row>
    <row r="2003" spans="1:56" ht="15">
      <c r="A2003" s="114"/>
      <c r="B2003" s="244" t="s">
        <v>1023</v>
      </c>
      <c r="C2003" s="200">
        <v>1</v>
      </c>
      <c r="D2003" s="245">
        <v>0.7</v>
      </c>
      <c r="E2003" s="201">
        <v>0.45</v>
      </c>
      <c r="F2003" s="201">
        <v>12.515000000000001</v>
      </c>
      <c r="G2003" s="202">
        <f t="shared" ref="G2003" si="137">D2003*E2003*F2003*C2003</f>
        <v>3.9422250000000001</v>
      </c>
      <c r="H2003" s="202">
        <f t="shared" ref="H2003" si="138">((E2003*2)+D2003)*F2003*C2003</f>
        <v>20.024000000000001</v>
      </c>
      <c r="I2003" s="82"/>
      <c r="J2003" s="114"/>
      <c r="BB2003" s="117"/>
      <c r="BC2003" s="117"/>
      <c r="BD2003" s="117"/>
    </row>
    <row r="2004" spans="1:56" ht="15">
      <c r="A2004" s="114"/>
      <c r="B2004" s="244" t="s">
        <v>905</v>
      </c>
      <c r="C2004" s="200">
        <v>1</v>
      </c>
      <c r="D2004" s="245">
        <v>0.3</v>
      </c>
      <c r="E2004" s="201">
        <v>0.4</v>
      </c>
      <c r="F2004" s="201">
        <v>3.95</v>
      </c>
      <c r="G2004" s="202">
        <f t="shared" si="135"/>
        <v>0.47399999999999998</v>
      </c>
      <c r="H2004" s="202">
        <f t="shared" si="136"/>
        <v>4.3450000000000006</v>
      </c>
      <c r="I2004" s="82"/>
      <c r="J2004" s="114"/>
      <c r="BB2004" s="117"/>
      <c r="BC2004" s="117"/>
      <c r="BD2004" s="117"/>
    </row>
    <row r="2005" spans="1:56" ht="15">
      <c r="A2005" s="114"/>
      <c r="B2005" s="244" t="s">
        <v>906</v>
      </c>
      <c r="C2005" s="200">
        <v>1</v>
      </c>
      <c r="D2005" s="245">
        <v>0.2</v>
      </c>
      <c r="E2005" s="201">
        <v>0.45</v>
      </c>
      <c r="F2005" s="201">
        <v>4.05</v>
      </c>
      <c r="G2005" s="202">
        <f t="shared" si="135"/>
        <v>0.36450000000000005</v>
      </c>
      <c r="H2005" s="202">
        <f t="shared" si="136"/>
        <v>4.4550000000000001</v>
      </c>
      <c r="I2005" s="82"/>
      <c r="J2005" s="114"/>
      <c r="BB2005" s="117"/>
      <c r="BC2005" s="117"/>
      <c r="BD2005" s="117"/>
    </row>
    <row r="2006" spans="1:56" ht="15">
      <c r="A2006" s="114"/>
      <c r="B2006" s="244" t="s">
        <v>907</v>
      </c>
      <c r="C2006" s="200">
        <v>1</v>
      </c>
      <c r="D2006" s="245">
        <v>0.2</v>
      </c>
      <c r="E2006" s="201">
        <v>0.4</v>
      </c>
      <c r="F2006" s="201">
        <v>1.65</v>
      </c>
      <c r="G2006" s="202">
        <f t="shared" si="135"/>
        <v>0.13200000000000001</v>
      </c>
      <c r="H2006" s="202">
        <f t="shared" si="136"/>
        <v>1.65</v>
      </c>
      <c r="I2006" s="82"/>
      <c r="J2006" s="114"/>
      <c r="BB2006" s="117"/>
      <c r="BC2006" s="117"/>
      <c r="BD2006" s="117"/>
    </row>
    <row r="2007" spans="1:56" ht="15">
      <c r="A2007" s="114"/>
      <c r="B2007" s="244" t="s">
        <v>1019</v>
      </c>
      <c r="C2007" s="200">
        <v>1</v>
      </c>
      <c r="D2007" s="245">
        <v>0.2</v>
      </c>
      <c r="E2007" s="201">
        <v>0.35</v>
      </c>
      <c r="F2007" s="201">
        <v>3.0750000000000002</v>
      </c>
      <c r="G2007" s="202">
        <f t="shared" ref="G2007:G2009" si="139">D2007*E2007*F2007*C2007</f>
        <v>0.21525</v>
      </c>
      <c r="H2007" s="202">
        <f t="shared" ref="H2007:H2009" si="140">((E2007*2)+D2007)*F2007*C2007</f>
        <v>2.7675000000000001</v>
      </c>
      <c r="I2007" s="82"/>
      <c r="J2007" s="114"/>
      <c r="BB2007" s="117"/>
      <c r="BC2007" s="117"/>
      <c r="BD2007" s="117"/>
    </row>
    <row r="2008" spans="1:56" ht="15">
      <c r="A2008" s="114"/>
      <c r="B2008" s="244" t="s">
        <v>1485</v>
      </c>
      <c r="C2008" s="200">
        <v>1</v>
      </c>
      <c r="D2008" s="245">
        <v>0.2</v>
      </c>
      <c r="E2008" s="201">
        <v>0.6</v>
      </c>
      <c r="F2008" s="201">
        <v>5.5750000000000002</v>
      </c>
      <c r="G2008" s="202">
        <f t="shared" si="139"/>
        <v>0.66900000000000004</v>
      </c>
      <c r="H2008" s="202">
        <f t="shared" si="140"/>
        <v>7.8049999999999997</v>
      </c>
      <c r="I2008" s="82"/>
      <c r="J2008" s="114"/>
      <c r="BB2008" s="117"/>
      <c r="BC2008" s="117"/>
      <c r="BD2008" s="117"/>
    </row>
    <row r="2009" spans="1:56" ht="15">
      <c r="A2009" s="114"/>
      <c r="B2009" s="244" t="s">
        <v>1020</v>
      </c>
      <c r="C2009" s="200">
        <v>1</v>
      </c>
      <c r="D2009" s="245">
        <v>0.2</v>
      </c>
      <c r="E2009" s="201">
        <v>0.6</v>
      </c>
      <c r="F2009" s="201">
        <v>5.5750000000000002</v>
      </c>
      <c r="G2009" s="202">
        <f t="shared" si="139"/>
        <v>0.66900000000000004</v>
      </c>
      <c r="H2009" s="202">
        <f t="shared" si="140"/>
        <v>7.8049999999999997</v>
      </c>
      <c r="I2009" s="82"/>
      <c r="J2009" s="114"/>
      <c r="BB2009" s="117"/>
      <c r="BC2009" s="117"/>
      <c r="BD2009" s="117"/>
    </row>
    <row r="2010" spans="1:56" ht="15">
      <c r="A2010" s="114"/>
      <c r="B2010" s="114"/>
      <c r="C2010" s="114"/>
      <c r="D2010" s="114"/>
      <c r="E2010" s="114"/>
      <c r="F2010" s="254" t="s">
        <v>767</v>
      </c>
      <c r="G2010" s="258">
        <f>SUM(G1980:G2009)</f>
        <v>213.51750000000001</v>
      </c>
      <c r="H2010" s="258">
        <f>SUM(H1980:H2009)</f>
        <v>878.54900000000021</v>
      </c>
      <c r="I2010" s="82"/>
      <c r="J2010" s="114"/>
      <c r="BB2010" s="117"/>
      <c r="BC2010" s="117"/>
      <c r="BD2010" s="117"/>
    </row>
    <row r="2011" spans="1:56" ht="15">
      <c r="A2011" s="114"/>
      <c r="B2011" s="114"/>
      <c r="C2011" s="114"/>
      <c r="D2011" s="114"/>
      <c r="E2011" s="114"/>
      <c r="F2011" s="114"/>
      <c r="G2011" s="114"/>
      <c r="H2011" s="114"/>
      <c r="I2011" s="82"/>
      <c r="J2011" s="114"/>
      <c r="BB2011" s="117"/>
      <c r="BC2011" s="117"/>
      <c r="BD2011" s="117"/>
    </row>
    <row r="2012" spans="1:56">
      <c r="A2012" s="114"/>
      <c r="B2012" s="242" t="s">
        <v>1536</v>
      </c>
      <c r="C2012" s="199" t="s">
        <v>61</v>
      </c>
      <c r="D2012" s="199" t="s">
        <v>155</v>
      </c>
      <c r="E2012" s="199" t="s">
        <v>82</v>
      </c>
      <c r="F2012" s="199" t="s">
        <v>62</v>
      </c>
      <c r="G2012" s="243" t="s">
        <v>99</v>
      </c>
      <c r="H2012" s="243" t="s">
        <v>68</v>
      </c>
      <c r="I2012" s="115"/>
      <c r="J2012" s="82"/>
      <c r="BC2012" s="117"/>
      <c r="BD2012" s="117"/>
    </row>
    <row r="2013" spans="1:56">
      <c r="A2013" s="114"/>
      <c r="B2013" s="244" t="s">
        <v>1534</v>
      </c>
      <c r="C2013" s="200">
        <v>1</v>
      </c>
      <c r="D2013" s="245">
        <v>0.25</v>
      </c>
      <c r="E2013" s="245">
        <v>0.45</v>
      </c>
      <c r="F2013" s="245">
        <f>11.365+145.6+11.365+18.85+11.65+145.6+11.65+18.85+11.365+100.8+42.08+11.365+18.85-5.7+11.365+11.365+1.39+7.025+81.6+32.1+18.07+56+52.4+30.8+11.7+18.85+7.065+67.2+17.8+7.065+11.6+132.6+11.365+17.4+11.65+145.6+11.95+18.85+53.5+61.2+9.035+9.035+4.89</f>
        <v>1484.1600000000005</v>
      </c>
      <c r="G2013" s="202">
        <f t="shared" ref="G2013:G2014" si="141">D2013*E2013*F2013*C2013</f>
        <v>166.96800000000007</v>
      </c>
      <c r="H2013" s="202">
        <f t="shared" ref="H2013:H2014" si="142">((E2013*2)+D2013)*F2013*C2013</f>
        <v>1706.7840000000006</v>
      </c>
      <c r="I2013" s="115"/>
      <c r="J2013" s="82"/>
      <c r="BC2013" s="117"/>
      <c r="BD2013" s="117"/>
    </row>
    <row r="2014" spans="1:56">
      <c r="A2014" s="114"/>
      <c r="B2014" s="244" t="s">
        <v>1535</v>
      </c>
      <c r="C2014" s="200">
        <v>1</v>
      </c>
      <c r="D2014" s="245">
        <v>0.4</v>
      </c>
      <c r="E2014" s="245">
        <v>0.45</v>
      </c>
      <c r="F2014" s="245">
        <v>11.365</v>
      </c>
      <c r="G2014" s="202">
        <f t="shared" si="141"/>
        <v>2.0457000000000001</v>
      </c>
      <c r="H2014" s="202">
        <f t="shared" si="142"/>
        <v>14.774500000000002</v>
      </c>
      <c r="I2014" s="115"/>
      <c r="J2014" s="82"/>
      <c r="BC2014" s="117"/>
      <c r="BD2014" s="117"/>
    </row>
    <row r="2015" spans="1:56">
      <c r="A2015" s="114"/>
      <c r="B2015" s="244" t="s">
        <v>1537</v>
      </c>
      <c r="C2015" s="200">
        <v>1</v>
      </c>
      <c r="D2015" s="245">
        <v>0.3</v>
      </c>
      <c r="E2015" s="245">
        <v>0.45</v>
      </c>
      <c r="F2015" s="245">
        <v>1.45</v>
      </c>
      <c r="G2015" s="202">
        <f t="shared" ref="G2015" si="143">D2015*E2015*F2015*C2015</f>
        <v>0.19575000000000001</v>
      </c>
      <c r="H2015" s="202">
        <f t="shared" ref="H2015" si="144">((E2015*2)+D2015)*F2015*C2015</f>
        <v>1.74</v>
      </c>
      <c r="I2015" s="115"/>
      <c r="J2015" s="82"/>
      <c r="BC2015" s="117"/>
      <c r="BD2015" s="117"/>
    </row>
    <row r="2016" spans="1:56" ht="15">
      <c r="A2016" s="114"/>
      <c r="B2016" s="114"/>
      <c r="C2016" s="114"/>
      <c r="D2016" s="114"/>
      <c r="E2016" s="117"/>
      <c r="F2016" s="254" t="s">
        <v>767</v>
      </c>
      <c r="G2016" s="258">
        <f>SUM(G2013:G2015)</f>
        <v>169.20945000000009</v>
      </c>
      <c r="H2016" s="258">
        <f>SUM(H2013:H2015)</f>
        <v>1723.2985000000006</v>
      </c>
      <c r="I2016" s="82"/>
      <c r="J2016" s="114"/>
      <c r="BB2016" s="117"/>
      <c r="BC2016" s="117"/>
      <c r="BD2016" s="117"/>
    </row>
    <row r="2017" spans="1:56" ht="15">
      <c r="A2017" s="114"/>
      <c r="B2017" s="114"/>
      <c r="C2017" s="114"/>
      <c r="D2017" s="114"/>
      <c r="E2017" s="114"/>
      <c r="F2017" s="114"/>
      <c r="G2017" s="114"/>
      <c r="H2017" s="114"/>
      <c r="I2017" s="82"/>
      <c r="J2017" s="114"/>
      <c r="BB2017" s="117"/>
      <c r="BC2017" s="117"/>
      <c r="BD2017" s="117"/>
    </row>
    <row r="2018" spans="1:56">
      <c r="A2018" s="114"/>
      <c r="B2018" s="242" t="s">
        <v>93</v>
      </c>
      <c r="C2018" s="199" t="s">
        <v>61</v>
      </c>
      <c r="D2018" s="199" t="s">
        <v>82</v>
      </c>
      <c r="E2018" s="199" t="s">
        <v>768</v>
      </c>
      <c r="F2018" s="243" t="s">
        <v>99</v>
      </c>
      <c r="G2018" s="243" t="s">
        <v>68</v>
      </c>
      <c r="H2018" s="115"/>
      <c r="I2018" s="82"/>
      <c r="J2018" s="114"/>
      <c r="BB2018" s="117"/>
      <c r="BC2018" s="117"/>
      <c r="BD2018" s="117"/>
    </row>
    <row r="2019" spans="1:56">
      <c r="A2019" s="114"/>
      <c r="B2019" s="244" t="s">
        <v>1519</v>
      </c>
      <c r="C2019" s="200">
        <v>1</v>
      </c>
      <c r="D2019" s="245">
        <v>0.1</v>
      </c>
      <c r="E2019" s="245">
        <f>1220.122-(D2013*F2013+D2014*F2014+D2015*F2015)</f>
        <v>844.10099999999989</v>
      </c>
      <c r="F2019" s="202">
        <f t="shared" ref="F2019:F2020" si="145">D2019*E2019</f>
        <v>84.4101</v>
      </c>
      <c r="G2019" s="202">
        <f t="shared" ref="G2019:G2020" si="146">E2019</f>
        <v>844.10099999999989</v>
      </c>
      <c r="H2019" s="115"/>
      <c r="I2019" s="82"/>
      <c r="J2019" s="114"/>
      <c r="BB2019" s="117"/>
      <c r="BC2019" s="117"/>
      <c r="BD2019" s="117"/>
    </row>
    <row r="2020" spans="1:56">
      <c r="A2020" s="114"/>
      <c r="B2020" s="244" t="s">
        <v>1533</v>
      </c>
      <c r="C2020" s="200">
        <v>1</v>
      </c>
      <c r="D2020" s="245">
        <v>0.18</v>
      </c>
      <c r="E2020" s="245">
        <f>19.32+6.29+15.148+8.96</f>
        <v>49.717999999999996</v>
      </c>
      <c r="F2020" s="202">
        <f t="shared" si="145"/>
        <v>8.9492399999999996</v>
      </c>
      <c r="G2020" s="202">
        <f t="shared" si="146"/>
        <v>49.717999999999996</v>
      </c>
      <c r="H2020" s="115"/>
      <c r="I2020" s="82"/>
      <c r="J2020" s="114"/>
      <c r="BB2020" s="117"/>
      <c r="BC2020" s="117"/>
      <c r="BD2020" s="117"/>
    </row>
    <row r="2021" spans="1:56">
      <c r="A2021" s="114"/>
      <c r="B2021" s="244" t="s">
        <v>1538</v>
      </c>
      <c r="C2021" s="200">
        <v>1</v>
      </c>
      <c r="D2021" s="245">
        <v>0.45</v>
      </c>
      <c r="E2021" s="245">
        <f>2.707+4.97+5.5+5.29-4.36</f>
        <v>14.106999999999999</v>
      </c>
      <c r="F2021" s="202">
        <f t="shared" ref="F2021" si="147">D2021*E2021</f>
        <v>6.3481499999999995</v>
      </c>
      <c r="G2021" s="202">
        <f t="shared" ref="G2021" si="148">E2021</f>
        <v>14.106999999999999</v>
      </c>
      <c r="H2021" s="115"/>
      <c r="I2021" s="82"/>
      <c r="J2021" s="114"/>
      <c r="BB2021" s="117"/>
      <c r="BC2021" s="117"/>
      <c r="BD2021" s="117"/>
    </row>
    <row r="2022" spans="1:56">
      <c r="A2022" s="114"/>
      <c r="B2022" s="114"/>
      <c r="C2022" s="114"/>
      <c r="D2022" s="114"/>
      <c r="E2022" s="254" t="s">
        <v>767</v>
      </c>
      <c r="F2022" s="258">
        <f>SUM(F2019:F2021)</f>
        <v>99.707490000000007</v>
      </c>
      <c r="G2022" s="258">
        <f>SUM(G2019:G2021)</f>
        <v>907.92599999999982</v>
      </c>
      <c r="H2022" s="115"/>
      <c r="I2022" s="82"/>
      <c r="J2022" s="114"/>
      <c r="BB2022" s="117"/>
      <c r="BC2022" s="117"/>
      <c r="BD2022" s="117"/>
    </row>
    <row r="2023" spans="1:56" s="259" customFormat="1" ht="15">
      <c r="A2023" s="114"/>
      <c r="B2023" s="293"/>
      <c r="C2023" s="81"/>
      <c r="D2023" s="81"/>
      <c r="E2023" s="81"/>
      <c r="F2023" s="349"/>
      <c r="G2023" s="81"/>
      <c r="H2023" s="82"/>
      <c r="I2023" s="82"/>
      <c r="J2023" s="114"/>
      <c r="K2023" s="114"/>
      <c r="L2023" s="114"/>
      <c r="M2023" s="114"/>
      <c r="N2023" s="114"/>
      <c r="O2023" s="114"/>
      <c r="P2023" s="114"/>
      <c r="Q2023" s="114"/>
      <c r="R2023" s="114"/>
      <c r="S2023" s="114"/>
      <c r="T2023" s="114"/>
      <c r="U2023" s="114"/>
      <c r="V2023" s="114"/>
      <c r="W2023" s="114"/>
      <c r="X2023" s="114"/>
      <c r="Y2023" s="114"/>
      <c r="Z2023" s="114"/>
      <c r="AA2023" s="114"/>
      <c r="AB2023" s="114"/>
      <c r="AC2023" s="114"/>
      <c r="AD2023" s="114"/>
      <c r="AE2023" s="114"/>
      <c r="AF2023" s="114"/>
      <c r="AG2023" s="114"/>
      <c r="AH2023" s="114"/>
      <c r="AI2023" s="114"/>
      <c r="AJ2023" s="114"/>
      <c r="AK2023" s="114"/>
      <c r="AL2023" s="114"/>
      <c r="AM2023" s="114"/>
      <c r="AN2023" s="114"/>
      <c r="AO2023" s="114"/>
      <c r="AP2023" s="114"/>
      <c r="AQ2023" s="114"/>
      <c r="AR2023" s="114"/>
      <c r="AS2023" s="114"/>
      <c r="AT2023" s="114"/>
      <c r="AU2023" s="114"/>
      <c r="AV2023" s="114"/>
      <c r="AW2023" s="114"/>
      <c r="AX2023" s="114"/>
      <c r="AY2023" s="114"/>
      <c r="AZ2023" s="114"/>
      <c r="BA2023" s="114"/>
    </row>
    <row r="2024" spans="1:56">
      <c r="A2024" s="114"/>
      <c r="B2024" s="242" t="s">
        <v>2349</v>
      </c>
      <c r="C2024" s="199" t="s">
        <v>61</v>
      </c>
      <c r="D2024" s="199" t="s">
        <v>82</v>
      </c>
      <c r="E2024" s="199" t="s">
        <v>768</v>
      </c>
      <c r="F2024" s="243" t="s">
        <v>1645</v>
      </c>
      <c r="G2024" s="115"/>
      <c r="H2024" s="82"/>
      <c r="I2024" s="114"/>
      <c r="J2024" s="114"/>
      <c r="BA2024" s="117"/>
      <c r="BB2024" s="117"/>
      <c r="BC2024" s="117"/>
      <c r="BD2024" s="117"/>
    </row>
    <row r="2025" spans="1:56">
      <c r="A2025" s="114"/>
      <c r="B2025" s="244" t="s">
        <v>1646</v>
      </c>
      <c r="C2025" s="200">
        <v>1</v>
      </c>
      <c r="D2025" s="245">
        <v>0.1</v>
      </c>
      <c r="E2025" s="245">
        <f>183.92+15.125+5.97+34.5261+11.8117+8.0872+11.83</f>
        <v>271.27</v>
      </c>
      <c r="F2025" s="202">
        <f t="shared" ref="F2025" si="149">D2025*E2025</f>
        <v>27.126999999999999</v>
      </c>
      <c r="G2025" s="710"/>
      <c r="H2025" s="82"/>
      <c r="I2025" s="114"/>
      <c r="J2025" s="114"/>
      <c r="BA2025" s="117"/>
      <c r="BB2025" s="117"/>
      <c r="BC2025" s="117"/>
      <c r="BD2025" s="117"/>
    </row>
    <row r="2026" spans="1:56">
      <c r="A2026" s="114"/>
      <c r="B2026" s="114"/>
      <c r="C2026" s="114"/>
      <c r="D2026" s="114"/>
      <c r="E2026" s="254" t="s">
        <v>767</v>
      </c>
      <c r="F2026" s="258">
        <f>F2025</f>
        <v>27.126999999999999</v>
      </c>
      <c r="G2026" s="115"/>
      <c r="H2026" s="82"/>
      <c r="I2026" s="114"/>
      <c r="J2026" s="114"/>
      <c r="BA2026" s="117"/>
      <c r="BB2026" s="117"/>
      <c r="BC2026" s="117"/>
      <c r="BD2026" s="117"/>
    </row>
    <row r="2027" spans="1:56" s="259" customFormat="1" ht="15">
      <c r="A2027" s="114"/>
      <c r="B2027" s="293"/>
      <c r="C2027" s="81"/>
      <c r="D2027" s="81"/>
      <c r="E2027" s="81"/>
      <c r="F2027" s="349"/>
      <c r="G2027" s="81"/>
      <c r="H2027" s="82"/>
      <c r="I2027" s="82"/>
      <c r="J2027" s="114"/>
      <c r="K2027" s="114"/>
      <c r="L2027" s="114"/>
      <c r="M2027" s="114"/>
      <c r="N2027" s="114"/>
      <c r="O2027" s="114"/>
      <c r="P2027" s="114"/>
      <c r="Q2027" s="114"/>
      <c r="R2027" s="114"/>
      <c r="S2027" s="114"/>
      <c r="T2027" s="114"/>
      <c r="U2027" s="114"/>
      <c r="V2027" s="114"/>
      <c r="W2027" s="114"/>
      <c r="X2027" s="114"/>
      <c r="Y2027" s="114"/>
      <c r="Z2027" s="114"/>
      <c r="AA2027" s="114"/>
      <c r="AB2027" s="114"/>
      <c r="AC2027" s="114"/>
      <c r="AD2027" s="114"/>
      <c r="AE2027" s="114"/>
      <c r="AF2027" s="114"/>
      <c r="AG2027" s="114"/>
      <c r="AH2027" s="114"/>
      <c r="AI2027" s="114"/>
      <c r="AJ2027" s="114"/>
      <c r="AK2027" s="114"/>
      <c r="AL2027" s="114"/>
      <c r="AM2027" s="114"/>
      <c r="AN2027" s="114"/>
      <c r="AO2027" s="114"/>
      <c r="AP2027" s="114"/>
      <c r="AQ2027" s="114"/>
      <c r="AR2027" s="114"/>
      <c r="AS2027" s="114"/>
      <c r="AT2027" s="114"/>
      <c r="AU2027" s="114"/>
      <c r="AV2027" s="114"/>
      <c r="AW2027" s="114"/>
      <c r="AX2027" s="114"/>
      <c r="AY2027" s="114"/>
      <c r="AZ2027" s="114"/>
      <c r="BA2027" s="114"/>
    </row>
    <row r="2028" spans="1:56">
      <c r="A2028" s="114"/>
      <c r="B2028" s="115"/>
      <c r="C2028" s="115"/>
      <c r="D2028" s="115"/>
      <c r="E2028" s="115"/>
      <c r="F2028" s="115"/>
      <c r="G2028" s="115"/>
      <c r="H2028" s="115"/>
      <c r="I2028" s="115"/>
      <c r="J2028" s="114"/>
      <c r="BB2028" s="117"/>
      <c r="BC2028" s="117"/>
      <c r="BD2028" s="117"/>
    </row>
    <row r="2029" spans="1:56" ht="15">
      <c r="A2029" s="114"/>
      <c r="B2029" s="627" t="s">
        <v>2315</v>
      </c>
      <c r="C2029" s="623"/>
      <c r="D2029" s="623"/>
      <c r="E2029" s="623"/>
      <c r="F2029" s="623"/>
      <c r="G2029" s="623"/>
      <c r="H2029" s="624"/>
      <c r="I2029" s="624"/>
      <c r="J2029" s="625"/>
      <c r="BB2029" s="117"/>
      <c r="BC2029" s="117"/>
      <c r="BD2029" s="117"/>
    </row>
    <row r="2030" spans="1:56">
      <c r="A2030" s="114"/>
      <c r="B2030" s="115"/>
      <c r="C2030" s="115"/>
      <c r="D2030" s="115"/>
      <c r="E2030" s="115"/>
      <c r="F2030" s="115"/>
      <c r="G2030" s="115"/>
      <c r="H2030" s="115"/>
      <c r="I2030" s="115"/>
      <c r="J2030" s="114"/>
      <c r="BB2030" s="117"/>
      <c r="BC2030" s="117"/>
      <c r="BD2030" s="117"/>
    </row>
    <row r="2031" spans="1:56" ht="15">
      <c r="A2031" s="114"/>
      <c r="B2031" s="242" t="s">
        <v>97</v>
      </c>
      <c r="C2031" s="199" t="s">
        <v>61</v>
      </c>
      <c r="D2031" s="199" t="s">
        <v>82</v>
      </c>
      <c r="E2031" s="199" t="s">
        <v>66</v>
      </c>
      <c r="F2031" s="199" t="s">
        <v>62</v>
      </c>
      <c r="G2031" s="243" t="s">
        <v>99</v>
      </c>
      <c r="H2031" s="243" t="s">
        <v>68</v>
      </c>
      <c r="I2031" s="82"/>
      <c r="J2031" s="114"/>
      <c r="BB2031" s="117"/>
      <c r="BC2031" s="117"/>
      <c r="BD2031" s="117"/>
    </row>
    <row r="2032" spans="1:56" ht="15">
      <c r="A2032" s="114"/>
      <c r="B2032" s="244" t="s">
        <v>926</v>
      </c>
      <c r="C2032" s="200">
        <v>1</v>
      </c>
      <c r="D2032" s="245">
        <v>0.75</v>
      </c>
      <c r="E2032" s="201">
        <v>3.88</v>
      </c>
      <c r="F2032" s="201">
        <v>35.25</v>
      </c>
      <c r="G2032" s="202">
        <f t="shared" ref="G2032:G2091" si="150">D2032*E2032*F2032*C2032</f>
        <v>102.5775</v>
      </c>
      <c r="H2032" s="202">
        <f t="shared" ref="H2032:H2091" si="151">((E2032*2)+D2032)*F2032*C2032</f>
        <v>299.97750000000002</v>
      </c>
      <c r="I2032" s="82"/>
      <c r="J2032" s="114"/>
      <c r="BB2032" s="117"/>
      <c r="BC2032" s="117"/>
      <c r="BD2032" s="117"/>
    </row>
    <row r="2033" spans="1:56" ht="15">
      <c r="A2033" s="114"/>
      <c r="B2033" s="244" t="s">
        <v>927</v>
      </c>
      <c r="C2033" s="200">
        <v>1</v>
      </c>
      <c r="D2033" s="245">
        <v>0.75</v>
      </c>
      <c r="E2033" s="201">
        <v>3.88</v>
      </c>
      <c r="F2033" s="201">
        <v>35.25</v>
      </c>
      <c r="G2033" s="202">
        <f t="shared" si="150"/>
        <v>102.5775</v>
      </c>
      <c r="H2033" s="202">
        <f t="shared" si="151"/>
        <v>299.97750000000002</v>
      </c>
      <c r="I2033" s="82"/>
      <c r="J2033" s="114"/>
      <c r="BB2033" s="117"/>
      <c r="BC2033" s="117"/>
      <c r="BD2033" s="117"/>
    </row>
    <row r="2034" spans="1:56" ht="15">
      <c r="A2034" s="114"/>
      <c r="B2034" s="244" t="s">
        <v>928</v>
      </c>
      <c r="C2034" s="200">
        <v>1</v>
      </c>
      <c r="D2034" s="245">
        <v>0.75</v>
      </c>
      <c r="E2034" s="201">
        <v>3.88</v>
      </c>
      <c r="F2034" s="201">
        <v>35.25</v>
      </c>
      <c r="G2034" s="202">
        <f t="shared" si="150"/>
        <v>102.5775</v>
      </c>
      <c r="H2034" s="202">
        <f t="shared" si="151"/>
        <v>299.97750000000002</v>
      </c>
      <c r="I2034" s="82"/>
      <c r="J2034" s="114"/>
      <c r="BB2034" s="117"/>
      <c r="BC2034" s="117"/>
      <c r="BD2034" s="117"/>
    </row>
    <row r="2035" spans="1:56" ht="15">
      <c r="A2035" s="114"/>
      <c r="B2035" s="244" t="s">
        <v>929</v>
      </c>
      <c r="C2035" s="200">
        <v>1</v>
      </c>
      <c r="D2035" s="245">
        <v>0.75</v>
      </c>
      <c r="E2035" s="201">
        <v>3.88</v>
      </c>
      <c r="F2035" s="201">
        <v>35.25</v>
      </c>
      <c r="G2035" s="202">
        <f t="shared" si="150"/>
        <v>102.5775</v>
      </c>
      <c r="H2035" s="202">
        <f t="shared" si="151"/>
        <v>299.97750000000002</v>
      </c>
      <c r="I2035" s="82"/>
      <c r="J2035" s="114"/>
      <c r="BB2035" s="117"/>
      <c r="BC2035" s="117"/>
      <c r="BD2035" s="117"/>
    </row>
    <row r="2036" spans="1:56" ht="15">
      <c r="A2036" s="114"/>
      <c r="B2036" s="244" t="s">
        <v>930</v>
      </c>
      <c r="C2036" s="200">
        <v>1</v>
      </c>
      <c r="D2036" s="245">
        <v>0.75</v>
      </c>
      <c r="E2036" s="201">
        <v>3.88</v>
      </c>
      <c r="F2036" s="201">
        <v>31.35</v>
      </c>
      <c r="G2036" s="202">
        <f t="shared" si="150"/>
        <v>91.228500000000011</v>
      </c>
      <c r="H2036" s="202">
        <f t="shared" si="151"/>
        <v>266.7885</v>
      </c>
      <c r="I2036" s="82"/>
      <c r="J2036" s="114"/>
      <c r="BB2036" s="117"/>
      <c r="BC2036" s="117"/>
      <c r="BD2036" s="117"/>
    </row>
    <row r="2037" spans="1:56" ht="15">
      <c r="A2037" s="114"/>
      <c r="B2037" s="244" t="s">
        <v>931</v>
      </c>
      <c r="C2037" s="200">
        <v>1</v>
      </c>
      <c r="D2037" s="245">
        <v>0.45</v>
      </c>
      <c r="E2037" s="201">
        <v>3.88</v>
      </c>
      <c r="F2037" s="201">
        <v>3.9</v>
      </c>
      <c r="G2037" s="202">
        <f t="shared" si="150"/>
        <v>6.8094000000000001</v>
      </c>
      <c r="H2037" s="202">
        <f t="shared" si="151"/>
        <v>32.018999999999998</v>
      </c>
      <c r="I2037" s="82"/>
      <c r="J2037" s="114"/>
      <c r="BB2037" s="117"/>
      <c r="BC2037" s="117"/>
      <c r="BD2037" s="117"/>
    </row>
    <row r="2038" spans="1:56" ht="15">
      <c r="A2038" s="114"/>
      <c r="B2038" s="244" t="s">
        <v>932</v>
      </c>
      <c r="C2038" s="200">
        <v>1</v>
      </c>
      <c r="D2038" s="245">
        <v>0.75</v>
      </c>
      <c r="E2038" s="201">
        <v>3.88</v>
      </c>
      <c r="F2038" s="201">
        <v>35.25</v>
      </c>
      <c r="G2038" s="202">
        <f t="shared" si="150"/>
        <v>102.5775</v>
      </c>
      <c r="H2038" s="202">
        <f t="shared" si="151"/>
        <v>299.97750000000002</v>
      </c>
      <c r="I2038" s="82"/>
      <c r="J2038" s="114"/>
      <c r="BB2038" s="117"/>
      <c r="BC2038" s="117"/>
      <c r="BD2038" s="117"/>
    </row>
    <row r="2039" spans="1:56" ht="15">
      <c r="A2039" s="114"/>
      <c r="B2039" s="244" t="s">
        <v>724</v>
      </c>
      <c r="C2039" s="200">
        <v>1</v>
      </c>
      <c r="D2039" s="245">
        <v>0.7</v>
      </c>
      <c r="E2039" s="201">
        <v>0.45</v>
      </c>
      <c r="F2039" s="201">
        <v>11.45</v>
      </c>
      <c r="G2039" s="202">
        <f>D2039*E2039*F2039*C2039</f>
        <v>3.6067499999999999</v>
      </c>
      <c r="H2039" s="202">
        <f>((E2039*2)+D2039)*F2039*C2039</f>
        <v>18.32</v>
      </c>
      <c r="I2039" s="82"/>
      <c r="J2039" s="114"/>
      <c r="BB2039" s="117"/>
      <c r="BC2039" s="117"/>
      <c r="BD2039" s="117"/>
    </row>
    <row r="2040" spans="1:56" ht="15">
      <c r="A2040" s="114"/>
      <c r="B2040" s="244" t="s">
        <v>933</v>
      </c>
      <c r="C2040" s="200">
        <v>1</v>
      </c>
      <c r="D2040" s="245">
        <v>0.85</v>
      </c>
      <c r="E2040" s="201">
        <v>0.45</v>
      </c>
      <c r="F2040" s="201">
        <v>11.45</v>
      </c>
      <c r="G2040" s="202">
        <f t="shared" si="150"/>
        <v>4.3796249999999999</v>
      </c>
      <c r="H2040" s="202">
        <f t="shared" si="151"/>
        <v>20.037499999999998</v>
      </c>
      <c r="I2040" s="82"/>
      <c r="J2040" s="114"/>
      <c r="BB2040" s="117"/>
      <c r="BC2040" s="117"/>
      <c r="BD2040" s="117"/>
    </row>
    <row r="2041" spans="1:56" ht="15">
      <c r="A2041" s="114"/>
      <c r="B2041" s="244" t="s">
        <v>934</v>
      </c>
      <c r="C2041" s="200">
        <v>1</v>
      </c>
      <c r="D2041" s="245">
        <v>0.85</v>
      </c>
      <c r="E2041" s="201">
        <v>0.45</v>
      </c>
      <c r="F2041" s="201">
        <v>11.45</v>
      </c>
      <c r="G2041" s="202">
        <f t="shared" si="150"/>
        <v>4.3796249999999999</v>
      </c>
      <c r="H2041" s="202">
        <f t="shared" si="151"/>
        <v>20.037499999999998</v>
      </c>
      <c r="I2041" s="82"/>
      <c r="J2041" s="114"/>
      <c r="BB2041" s="117"/>
      <c r="BC2041" s="117"/>
      <c r="BD2041" s="117"/>
    </row>
    <row r="2042" spans="1:56" ht="15">
      <c r="A2042" s="114"/>
      <c r="B2042" s="244" t="s">
        <v>935</v>
      </c>
      <c r="C2042" s="200">
        <v>1</v>
      </c>
      <c r="D2042" s="245">
        <v>0.7</v>
      </c>
      <c r="E2042" s="201">
        <v>0.45</v>
      </c>
      <c r="F2042" s="201">
        <v>11.45</v>
      </c>
      <c r="G2042" s="202">
        <f t="shared" si="150"/>
        <v>3.6067499999999999</v>
      </c>
      <c r="H2042" s="202">
        <f t="shared" si="151"/>
        <v>18.32</v>
      </c>
      <c r="I2042" s="82"/>
      <c r="J2042" s="114"/>
      <c r="BB2042" s="117"/>
      <c r="BC2042" s="117"/>
      <c r="BD2042" s="117"/>
    </row>
    <row r="2043" spans="1:56" ht="15">
      <c r="A2043" s="114"/>
      <c r="B2043" s="244" t="s">
        <v>936</v>
      </c>
      <c r="C2043" s="200">
        <v>1</v>
      </c>
      <c r="D2043" s="245">
        <v>0.7</v>
      </c>
      <c r="E2043" s="201">
        <v>0.45</v>
      </c>
      <c r="F2043" s="201">
        <v>11.45</v>
      </c>
      <c r="G2043" s="202">
        <f t="shared" si="150"/>
        <v>3.6067499999999999</v>
      </c>
      <c r="H2043" s="202">
        <f t="shared" si="151"/>
        <v>18.32</v>
      </c>
      <c r="I2043" s="82"/>
      <c r="J2043" s="114"/>
      <c r="BB2043" s="117"/>
      <c r="BC2043" s="117"/>
      <c r="BD2043" s="117"/>
    </row>
    <row r="2044" spans="1:56" ht="15">
      <c r="A2044" s="114"/>
      <c r="B2044" s="244" t="s">
        <v>937</v>
      </c>
      <c r="C2044" s="200">
        <v>1</v>
      </c>
      <c r="D2044" s="245">
        <v>0.85</v>
      </c>
      <c r="E2044" s="201">
        <v>0.45</v>
      </c>
      <c r="F2044" s="201">
        <v>11.45</v>
      </c>
      <c r="G2044" s="202">
        <f t="shared" si="150"/>
        <v>4.3796249999999999</v>
      </c>
      <c r="H2044" s="202">
        <f t="shared" si="151"/>
        <v>20.037499999999998</v>
      </c>
      <c r="I2044" s="82"/>
      <c r="J2044" s="114"/>
      <c r="BB2044" s="117"/>
      <c r="BC2044" s="117"/>
      <c r="BD2044" s="117"/>
    </row>
    <row r="2045" spans="1:56" ht="15">
      <c r="A2045" s="114"/>
      <c r="B2045" s="244" t="s">
        <v>938</v>
      </c>
      <c r="C2045" s="200">
        <v>1</v>
      </c>
      <c r="D2045" s="245">
        <v>0.85</v>
      </c>
      <c r="E2045" s="201">
        <v>0.45</v>
      </c>
      <c r="F2045" s="201">
        <v>9.6</v>
      </c>
      <c r="G2045" s="202">
        <f t="shared" si="150"/>
        <v>3.6719999999999997</v>
      </c>
      <c r="H2045" s="202">
        <f t="shared" si="151"/>
        <v>16.8</v>
      </c>
      <c r="I2045" s="82"/>
      <c r="J2045" s="114"/>
      <c r="BB2045" s="117"/>
      <c r="BC2045" s="117"/>
      <c r="BD2045" s="117"/>
    </row>
    <row r="2046" spans="1:56" ht="15">
      <c r="A2046" s="114"/>
      <c r="B2046" s="244" t="s">
        <v>939</v>
      </c>
      <c r="C2046" s="200">
        <v>1</v>
      </c>
      <c r="D2046" s="245">
        <v>0.25</v>
      </c>
      <c r="E2046" s="201">
        <v>0.45</v>
      </c>
      <c r="F2046" s="201">
        <v>1.85</v>
      </c>
      <c r="G2046" s="202">
        <f t="shared" si="150"/>
        <v>0.208125</v>
      </c>
      <c r="H2046" s="202">
        <f t="shared" si="151"/>
        <v>2.1274999999999999</v>
      </c>
      <c r="I2046" s="82"/>
      <c r="J2046" s="114"/>
      <c r="BB2046" s="117"/>
      <c r="BC2046" s="117"/>
      <c r="BD2046" s="117"/>
    </row>
    <row r="2047" spans="1:56" ht="15">
      <c r="A2047" s="114"/>
      <c r="B2047" s="244" t="s">
        <v>940</v>
      </c>
      <c r="C2047" s="200">
        <v>1</v>
      </c>
      <c r="D2047" s="245">
        <v>0.7</v>
      </c>
      <c r="E2047" s="201">
        <v>0.45</v>
      </c>
      <c r="F2047" s="201">
        <v>11.45</v>
      </c>
      <c r="G2047" s="202">
        <f t="shared" si="150"/>
        <v>3.6067499999999999</v>
      </c>
      <c r="H2047" s="202">
        <f t="shared" si="151"/>
        <v>18.32</v>
      </c>
      <c r="I2047" s="82"/>
      <c r="J2047" s="114"/>
      <c r="BB2047" s="117"/>
      <c r="BC2047" s="117"/>
      <c r="BD2047" s="117"/>
    </row>
    <row r="2048" spans="1:56" ht="15">
      <c r="A2048" s="114"/>
      <c r="B2048" s="244" t="s">
        <v>941</v>
      </c>
      <c r="C2048" s="200">
        <v>1</v>
      </c>
      <c r="D2048" s="245">
        <v>0.7</v>
      </c>
      <c r="E2048" s="201">
        <v>0.45</v>
      </c>
      <c r="F2048" s="201">
        <v>11.45</v>
      </c>
      <c r="G2048" s="202">
        <f t="shared" si="150"/>
        <v>3.6067499999999999</v>
      </c>
      <c r="H2048" s="202">
        <f t="shared" si="151"/>
        <v>18.32</v>
      </c>
      <c r="I2048" s="82"/>
      <c r="J2048" s="114"/>
      <c r="BB2048" s="117"/>
      <c r="BC2048" s="117"/>
      <c r="BD2048" s="117"/>
    </row>
    <row r="2049" spans="1:56" ht="15">
      <c r="A2049" s="114"/>
      <c r="B2049" s="244" t="s">
        <v>942</v>
      </c>
      <c r="C2049" s="200">
        <v>1</v>
      </c>
      <c r="D2049" s="245">
        <v>0.85</v>
      </c>
      <c r="E2049" s="201">
        <v>0.45</v>
      </c>
      <c r="F2049" s="201">
        <v>13.15</v>
      </c>
      <c r="G2049" s="202">
        <f t="shared" si="150"/>
        <v>5.0298750000000005</v>
      </c>
      <c r="H2049" s="202">
        <f t="shared" si="151"/>
        <v>23.012499999999999</v>
      </c>
      <c r="I2049" s="82"/>
      <c r="J2049" s="114"/>
      <c r="BB2049" s="117"/>
      <c r="BC2049" s="117"/>
      <c r="BD2049" s="117"/>
    </row>
    <row r="2050" spans="1:56" ht="15">
      <c r="A2050" s="114"/>
      <c r="B2050" s="244" t="s">
        <v>1058</v>
      </c>
      <c r="C2050" s="200">
        <v>1</v>
      </c>
      <c r="D2050" s="245">
        <v>0.85</v>
      </c>
      <c r="E2050" s="201">
        <v>0.45</v>
      </c>
      <c r="F2050" s="201">
        <v>11.45</v>
      </c>
      <c r="G2050" s="202">
        <f>D2050*E2050*F2050*C2050</f>
        <v>4.3796249999999999</v>
      </c>
      <c r="H2050" s="202">
        <f>((E2050*2)+D2050)*F2050*C2050</f>
        <v>20.037499999999998</v>
      </c>
      <c r="I2050" s="82"/>
      <c r="J2050" s="114"/>
      <c r="BB2050" s="117"/>
      <c r="BC2050" s="117"/>
      <c r="BD2050" s="117"/>
    </row>
    <row r="2051" spans="1:56" ht="15">
      <c r="A2051" s="114"/>
      <c r="B2051" s="244" t="s">
        <v>1062</v>
      </c>
      <c r="C2051" s="200">
        <v>1</v>
      </c>
      <c r="D2051" s="245">
        <v>0.7</v>
      </c>
      <c r="E2051" s="201">
        <v>0.45</v>
      </c>
      <c r="F2051" s="201">
        <v>11.45</v>
      </c>
      <c r="G2051" s="202">
        <f>D2051*E2051*F2051*C2051</f>
        <v>3.6067499999999999</v>
      </c>
      <c r="H2051" s="202">
        <f>((E2051*2)+D2051)*F2051*C2051</f>
        <v>18.32</v>
      </c>
      <c r="I2051" s="82"/>
      <c r="J2051" s="114"/>
      <c r="BB2051" s="117"/>
      <c r="BC2051" s="117"/>
      <c r="BD2051" s="117"/>
    </row>
    <row r="2052" spans="1:56" ht="15">
      <c r="A2052" s="114"/>
      <c r="B2052" s="244" t="s">
        <v>943</v>
      </c>
      <c r="C2052" s="200">
        <v>1</v>
      </c>
      <c r="D2052" s="245">
        <v>0.85</v>
      </c>
      <c r="E2052" s="201">
        <v>0.45</v>
      </c>
      <c r="F2052" s="201">
        <v>9.6</v>
      </c>
      <c r="G2052" s="202">
        <f t="shared" si="150"/>
        <v>3.6719999999999997</v>
      </c>
      <c r="H2052" s="202">
        <f t="shared" si="151"/>
        <v>16.8</v>
      </c>
      <c r="I2052" s="82"/>
      <c r="J2052" s="114"/>
      <c r="BB2052" s="117"/>
      <c r="BC2052" s="117"/>
      <c r="BD2052" s="117"/>
    </row>
    <row r="2053" spans="1:56" ht="15">
      <c r="A2053" s="114"/>
      <c r="B2053" s="244" t="s">
        <v>944</v>
      </c>
      <c r="C2053" s="200">
        <v>1</v>
      </c>
      <c r="D2053" s="245">
        <v>0.45</v>
      </c>
      <c r="E2053" s="201">
        <v>0.45</v>
      </c>
      <c r="F2053" s="201">
        <v>1.85</v>
      </c>
      <c r="G2053" s="202">
        <f t="shared" si="150"/>
        <v>0.37462500000000004</v>
      </c>
      <c r="H2053" s="202">
        <f t="shared" si="151"/>
        <v>2.4975000000000005</v>
      </c>
      <c r="I2053" s="82"/>
      <c r="J2053" s="114"/>
      <c r="BB2053" s="117"/>
      <c r="BC2053" s="117"/>
      <c r="BD2053" s="117"/>
    </row>
    <row r="2054" spans="1:56" ht="15">
      <c r="A2054" s="114"/>
      <c r="B2054" s="244" t="s">
        <v>945</v>
      </c>
      <c r="C2054" s="200">
        <v>1</v>
      </c>
      <c r="D2054" s="245">
        <v>0.2</v>
      </c>
      <c r="E2054" s="201">
        <v>0.5</v>
      </c>
      <c r="F2054" s="201">
        <v>5.57</v>
      </c>
      <c r="G2054" s="202">
        <f t="shared" si="150"/>
        <v>0.55700000000000005</v>
      </c>
      <c r="H2054" s="202">
        <f t="shared" si="151"/>
        <v>6.6840000000000002</v>
      </c>
      <c r="I2054" s="82"/>
      <c r="J2054" s="114"/>
      <c r="BB2054" s="117"/>
      <c r="BC2054" s="117"/>
      <c r="BD2054" s="117"/>
    </row>
    <row r="2055" spans="1:56" ht="15">
      <c r="A2055" s="114"/>
      <c r="B2055" s="244" t="s">
        <v>1076</v>
      </c>
      <c r="C2055" s="200">
        <v>1</v>
      </c>
      <c r="D2055" s="245">
        <v>0.2</v>
      </c>
      <c r="E2055" s="201">
        <v>0.5</v>
      </c>
      <c r="F2055" s="201">
        <v>5.57</v>
      </c>
      <c r="G2055" s="202">
        <f t="shared" ref="G2055" si="152">D2055*E2055*F2055*C2055</f>
        <v>0.55700000000000005</v>
      </c>
      <c r="H2055" s="202">
        <f t="shared" ref="H2055" si="153">((E2055*2)+D2055)*F2055*C2055</f>
        <v>6.6840000000000002</v>
      </c>
      <c r="I2055" s="82"/>
      <c r="J2055" s="114"/>
      <c r="BB2055" s="117"/>
      <c r="BC2055" s="117"/>
      <c r="BD2055" s="117"/>
    </row>
    <row r="2056" spans="1:56" ht="15">
      <c r="A2056" s="114"/>
      <c r="B2056" s="244" t="s">
        <v>1486</v>
      </c>
      <c r="C2056" s="200">
        <v>1</v>
      </c>
      <c r="D2056" s="245">
        <v>0.2</v>
      </c>
      <c r="E2056" s="201">
        <v>0.35</v>
      </c>
      <c r="F2056" s="201">
        <v>3.0750000000000002</v>
      </c>
      <c r="G2056" s="202">
        <f t="shared" ref="G2056" si="154">D2056*E2056*F2056*C2056</f>
        <v>0.21525</v>
      </c>
      <c r="H2056" s="202">
        <f t="shared" ref="H2056" si="155">((E2056*2)+D2056)*F2056*C2056</f>
        <v>2.7675000000000001</v>
      </c>
      <c r="I2056" s="82"/>
      <c r="J2056" s="114"/>
      <c r="BB2056" s="117"/>
      <c r="BC2056" s="117"/>
      <c r="BD2056" s="117"/>
    </row>
    <row r="2057" spans="1:56" ht="15">
      <c r="A2057" s="114"/>
      <c r="B2057" s="244" t="s">
        <v>764</v>
      </c>
      <c r="C2057" s="200">
        <v>1</v>
      </c>
      <c r="D2057" s="245">
        <v>0.79</v>
      </c>
      <c r="E2057" s="201">
        <v>0.55000000000000004</v>
      </c>
      <c r="F2057" s="201">
        <v>11.45</v>
      </c>
      <c r="G2057" s="202">
        <f>D2057*E2057*F2057*C2057</f>
        <v>4.9750250000000005</v>
      </c>
      <c r="H2057" s="202">
        <f>((E2057*2)+D2057)*F2057*C2057</f>
        <v>21.640499999999999</v>
      </c>
      <c r="I2057" s="82"/>
      <c r="J2057" s="114"/>
      <c r="BB2057" s="117"/>
      <c r="BC2057" s="117"/>
      <c r="BD2057" s="117"/>
    </row>
    <row r="2058" spans="1:56" ht="15">
      <c r="A2058" s="114"/>
      <c r="B2058" s="244" t="s">
        <v>946</v>
      </c>
      <c r="C2058" s="200">
        <v>1</v>
      </c>
      <c r="D2058" s="245">
        <v>0.75</v>
      </c>
      <c r="E2058" s="201">
        <v>0.55000000000000004</v>
      </c>
      <c r="F2058" s="201">
        <v>11.45</v>
      </c>
      <c r="G2058" s="202">
        <f t="shared" si="150"/>
        <v>4.7231250000000005</v>
      </c>
      <c r="H2058" s="202">
        <f t="shared" si="151"/>
        <v>21.182500000000001</v>
      </c>
      <c r="I2058" s="82"/>
      <c r="J2058" s="114"/>
      <c r="BB2058" s="117"/>
      <c r="BC2058" s="117"/>
      <c r="BD2058" s="117"/>
    </row>
    <row r="2059" spans="1:56" ht="15">
      <c r="A2059" s="114"/>
      <c r="B2059" s="244" t="s">
        <v>947</v>
      </c>
      <c r="C2059" s="200">
        <v>1</v>
      </c>
      <c r="D2059" s="245">
        <v>0.75</v>
      </c>
      <c r="E2059" s="201">
        <v>0.55000000000000004</v>
      </c>
      <c r="F2059" s="201">
        <v>11.45</v>
      </c>
      <c r="G2059" s="202">
        <f t="shared" si="150"/>
        <v>4.7231250000000005</v>
      </c>
      <c r="H2059" s="202">
        <f t="shared" si="151"/>
        <v>21.182500000000001</v>
      </c>
      <c r="I2059" s="82"/>
      <c r="J2059" s="114"/>
      <c r="BB2059" s="117"/>
      <c r="BC2059" s="117"/>
      <c r="BD2059" s="117"/>
    </row>
    <row r="2060" spans="1:56" ht="15">
      <c r="A2060" s="114"/>
      <c r="B2060" s="244" t="s">
        <v>948</v>
      </c>
      <c r="C2060" s="200">
        <v>1</v>
      </c>
      <c r="D2060" s="245">
        <v>0.75</v>
      </c>
      <c r="E2060" s="201">
        <v>0.55000000000000004</v>
      </c>
      <c r="F2060" s="201">
        <v>11.45</v>
      </c>
      <c r="G2060" s="202">
        <f t="shared" si="150"/>
        <v>4.7231250000000005</v>
      </c>
      <c r="H2060" s="202">
        <f t="shared" si="151"/>
        <v>21.182500000000001</v>
      </c>
      <c r="I2060" s="82"/>
      <c r="J2060" s="114"/>
      <c r="BB2060" s="117"/>
      <c r="BC2060" s="117"/>
      <c r="BD2060" s="117"/>
    </row>
    <row r="2061" spans="1:56" ht="15">
      <c r="A2061" s="114"/>
      <c r="B2061" s="244" t="s">
        <v>949</v>
      </c>
      <c r="C2061" s="200">
        <v>1</v>
      </c>
      <c r="D2061" s="245">
        <v>0.75</v>
      </c>
      <c r="E2061" s="201">
        <v>0.55000000000000004</v>
      </c>
      <c r="F2061" s="201">
        <v>11.45</v>
      </c>
      <c r="G2061" s="202">
        <f t="shared" si="150"/>
        <v>4.7231250000000005</v>
      </c>
      <c r="H2061" s="202">
        <f t="shared" si="151"/>
        <v>21.182500000000001</v>
      </c>
      <c r="I2061" s="82"/>
      <c r="J2061" s="114"/>
      <c r="BB2061" s="117"/>
      <c r="BC2061" s="117"/>
      <c r="BD2061" s="117"/>
    </row>
    <row r="2062" spans="1:56" ht="15">
      <c r="A2062" s="114"/>
      <c r="B2062" s="244" t="s">
        <v>950</v>
      </c>
      <c r="C2062" s="200">
        <v>1</v>
      </c>
      <c r="D2062" s="245">
        <v>0.75</v>
      </c>
      <c r="E2062" s="201">
        <v>0.55000000000000004</v>
      </c>
      <c r="F2062" s="201">
        <v>11.45</v>
      </c>
      <c r="G2062" s="202">
        <f t="shared" si="150"/>
        <v>4.7231250000000005</v>
      </c>
      <c r="H2062" s="202">
        <f t="shared" si="151"/>
        <v>21.182500000000001</v>
      </c>
      <c r="I2062" s="82"/>
      <c r="J2062" s="114"/>
      <c r="BB2062" s="117"/>
      <c r="BC2062" s="117"/>
      <c r="BD2062" s="117"/>
    </row>
    <row r="2063" spans="1:56" ht="15">
      <c r="A2063" s="114"/>
      <c r="B2063" s="244" t="s">
        <v>951</v>
      </c>
      <c r="C2063" s="200">
        <v>1</v>
      </c>
      <c r="D2063" s="245">
        <v>0.25</v>
      </c>
      <c r="E2063" s="201">
        <v>0.55000000000000004</v>
      </c>
      <c r="F2063" s="201">
        <v>4.45</v>
      </c>
      <c r="G2063" s="202">
        <f t="shared" si="150"/>
        <v>0.61187500000000006</v>
      </c>
      <c r="H2063" s="202">
        <f t="shared" si="151"/>
        <v>6.0075000000000003</v>
      </c>
      <c r="I2063" s="82"/>
      <c r="J2063" s="114"/>
      <c r="BB2063" s="117"/>
      <c r="BC2063" s="117"/>
      <c r="BD2063" s="117"/>
    </row>
    <row r="2064" spans="1:56" ht="15">
      <c r="A2064" s="114"/>
      <c r="B2064" s="244" t="s">
        <v>952</v>
      </c>
      <c r="C2064" s="200">
        <v>1</v>
      </c>
      <c r="D2064" s="245">
        <v>1.6</v>
      </c>
      <c r="E2064" s="201">
        <v>0.55000000000000004</v>
      </c>
      <c r="F2064" s="201">
        <v>11.45</v>
      </c>
      <c r="G2064" s="202">
        <f t="shared" si="150"/>
        <v>10.076000000000001</v>
      </c>
      <c r="H2064" s="202">
        <f t="shared" si="151"/>
        <v>30.914999999999999</v>
      </c>
      <c r="I2064" s="82"/>
      <c r="J2064" s="114"/>
      <c r="BB2064" s="117"/>
      <c r="BC2064" s="117"/>
      <c r="BD2064" s="117"/>
    </row>
    <row r="2065" spans="1:56" ht="15">
      <c r="A2065" s="114"/>
      <c r="B2065" s="244" t="s">
        <v>953</v>
      </c>
      <c r="C2065" s="200">
        <v>1</v>
      </c>
      <c r="D2065" s="245">
        <v>0.25</v>
      </c>
      <c r="E2065" s="201">
        <v>0.55000000000000004</v>
      </c>
      <c r="F2065" s="201">
        <v>4.45</v>
      </c>
      <c r="G2065" s="202">
        <f t="shared" si="150"/>
        <v>0.61187500000000006</v>
      </c>
      <c r="H2065" s="202">
        <f t="shared" si="151"/>
        <v>6.0075000000000003</v>
      </c>
      <c r="I2065" s="82"/>
      <c r="J2065" s="114"/>
      <c r="BB2065" s="117"/>
      <c r="BC2065" s="117"/>
      <c r="BD2065" s="117"/>
    </row>
    <row r="2066" spans="1:56" ht="15">
      <c r="A2066" s="114"/>
      <c r="B2066" s="244" t="s">
        <v>954</v>
      </c>
      <c r="C2066" s="200">
        <v>1</v>
      </c>
      <c r="D2066" s="245">
        <v>0.75</v>
      </c>
      <c r="E2066" s="201">
        <v>0.55000000000000004</v>
      </c>
      <c r="F2066" s="201">
        <v>11.45</v>
      </c>
      <c r="G2066" s="202">
        <f t="shared" si="150"/>
        <v>4.7231250000000005</v>
      </c>
      <c r="H2066" s="202">
        <f t="shared" si="151"/>
        <v>21.182500000000001</v>
      </c>
      <c r="I2066" s="82"/>
      <c r="J2066" s="114"/>
      <c r="BB2066" s="117"/>
      <c r="BC2066" s="117"/>
      <c r="BD2066" s="117"/>
    </row>
    <row r="2067" spans="1:56" ht="15">
      <c r="A2067" s="114"/>
      <c r="B2067" s="244" t="s">
        <v>955</v>
      </c>
      <c r="C2067" s="200">
        <v>1</v>
      </c>
      <c r="D2067" s="245">
        <v>0.75</v>
      </c>
      <c r="E2067" s="201">
        <v>0.55000000000000004</v>
      </c>
      <c r="F2067" s="201">
        <v>11.45</v>
      </c>
      <c r="G2067" s="202">
        <f t="shared" si="150"/>
        <v>4.7231250000000005</v>
      </c>
      <c r="H2067" s="202">
        <f t="shared" si="151"/>
        <v>21.182500000000001</v>
      </c>
      <c r="I2067" s="82"/>
      <c r="J2067" s="114"/>
      <c r="BB2067" s="117"/>
      <c r="BC2067" s="117"/>
      <c r="BD2067" s="117"/>
    </row>
    <row r="2068" spans="1:56" ht="15">
      <c r="A2068" s="114"/>
      <c r="B2068" s="244" t="s">
        <v>956</v>
      </c>
      <c r="C2068" s="200">
        <v>1</v>
      </c>
      <c r="D2068" s="245">
        <v>0.36499999999999999</v>
      </c>
      <c r="E2068" s="201">
        <v>0.55000000000000004</v>
      </c>
      <c r="F2068" s="201">
        <v>11.45</v>
      </c>
      <c r="G2068" s="202">
        <f t="shared" si="150"/>
        <v>2.2985875</v>
      </c>
      <c r="H2068" s="202">
        <f t="shared" si="151"/>
        <v>16.774249999999999</v>
      </c>
      <c r="I2068" s="82"/>
      <c r="J2068" s="114"/>
      <c r="BB2068" s="117"/>
      <c r="BC2068" s="117"/>
      <c r="BD2068" s="117"/>
    </row>
    <row r="2069" spans="1:56" ht="15">
      <c r="A2069" s="114"/>
      <c r="B2069" s="244" t="s">
        <v>957</v>
      </c>
      <c r="C2069" s="200">
        <v>1</v>
      </c>
      <c r="D2069" s="245">
        <v>0.36499999999999999</v>
      </c>
      <c r="E2069" s="201">
        <v>0.55000000000000004</v>
      </c>
      <c r="F2069" s="201">
        <v>11.45</v>
      </c>
      <c r="G2069" s="202">
        <f t="shared" si="150"/>
        <v>2.2985875</v>
      </c>
      <c r="H2069" s="202">
        <f t="shared" si="151"/>
        <v>16.774249999999999</v>
      </c>
      <c r="I2069" s="82"/>
      <c r="J2069" s="114"/>
      <c r="BB2069" s="117"/>
      <c r="BC2069" s="117"/>
      <c r="BD2069" s="117"/>
    </row>
    <row r="2070" spans="1:56" ht="15">
      <c r="A2070" s="114"/>
      <c r="B2070" s="244" t="s">
        <v>958</v>
      </c>
      <c r="C2070" s="200">
        <v>1</v>
      </c>
      <c r="D2070" s="245">
        <v>0.75</v>
      </c>
      <c r="E2070" s="201">
        <v>0.55000000000000004</v>
      </c>
      <c r="F2070" s="201">
        <v>11.45</v>
      </c>
      <c r="G2070" s="202">
        <f t="shared" si="150"/>
        <v>4.7231250000000005</v>
      </c>
      <c r="H2070" s="202">
        <f t="shared" si="151"/>
        <v>21.182500000000001</v>
      </c>
      <c r="I2070" s="82"/>
      <c r="J2070" s="114"/>
      <c r="BB2070" s="117"/>
      <c r="BC2070" s="117"/>
      <c r="BD2070" s="117"/>
    </row>
    <row r="2071" spans="1:56" ht="15">
      <c r="A2071" s="114"/>
      <c r="B2071" s="244" t="s">
        <v>959</v>
      </c>
      <c r="C2071" s="200">
        <v>1</v>
      </c>
      <c r="D2071" s="245">
        <v>0.75</v>
      </c>
      <c r="E2071" s="201">
        <v>0.55000000000000004</v>
      </c>
      <c r="F2071" s="201">
        <v>11.45</v>
      </c>
      <c r="G2071" s="202">
        <f t="shared" si="150"/>
        <v>4.7231250000000005</v>
      </c>
      <c r="H2071" s="202">
        <f t="shared" si="151"/>
        <v>21.182500000000001</v>
      </c>
      <c r="I2071" s="82"/>
      <c r="J2071" s="114"/>
      <c r="BB2071" s="117"/>
      <c r="BC2071" s="117"/>
      <c r="BD2071" s="117"/>
    </row>
    <row r="2072" spans="1:56" ht="15">
      <c r="A2072" s="114"/>
      <c r="B2072" s="244" t="s">
        <v>960</v>
      </c>
      <c r="C2072" s="200">
        <v>1</v>
      </c>
      <c r="D2072" s="245">
        <v>1.6</v>
      </c>
      <c r="E2072" s="201">
        <v>0.55000000000000004</v>
      </c>
      <c r="F2072" s="201">
        <v>11.45</v>
      </c>
      <c r="G2072" s="202">
        <f t="shared" si="150"/>
        <v>10.076000000000001</v>
      </c>
      <c r="H2072" s="202">
        <f t="shared" si="151"/>
        <v>30.914999999999999</v>
      </c>
      <c r="I2072" s="82"/>
      <c r="J2072" s="114"/>
      <c r="BB2072" s="117"/>
      <c r="BC2072" s="117"/>
      <c r="BD2072" s="117"/>
    </row>
    <row r="2073" spans="1:56" ht="15">
      <c r="A2073" s="114"/>
      <c r="B2073" s="244" t="s">
        <v>961</v>
      </c>
      <c r="C2073" s="200">
        <v>1</v>
      </c>
      <c r="D2073" s="245">
        <v>0.75</v>
      </c>
      <c r="E2073" s="201">
        <v>0.55000000000000004</v>
      </c>
      <c r="F2073" s="201">
        <v>11.45</v>
      </c>
      <c r="G2073" s="202">
        <f t="shared" si="150"/>
        <v>4.7231250000000005</v>
      </c>
      <c r="H2073" s="202">
        <f t="shared" si="151"/>
        <v>21.182500000000001</v>
      </c>
      <c r="I2073" s="82"/>
      <c r="J2073" s="114"/>
      <c r="BB2073" s="117"/>
      <c r="BC2073" s="117"/>
      <c r="BD2073" s="117"/>
    </row>
    <row r="2074" spans="1:56" ht="15">
      <c r="A2074" s="114"/>
      <c r="B2074" s="244" t="s">
        <v>962</v>
      </c>
      <c r="C2074" s="200">
        <v>1</v>
      </c>
      <c r="D2074" s="245">
        <v>0.75</v>
      </c>
      <c r="E2074" s="201">
        <v>0.55000000000000004</v>
      </c>
      <c r="F2074" s="201">
        <v>11.45</v>
      </c>
      <c r="G2074" s="202">
        <f t="shared" si="150"/>
        <v>4.7231250000000005</v>
      </c>
      <c r="H2074" s="202">
        <f t="shared" si="151"/>
        <v>21.182500000000001</v>
      </c>
      <c r="I2074" s="82"/>
      <c r="J2074" s="114"/>
      <c r="BB2074" s="117"/>
      <c r="BC2074" s="117"/>
      <c r="BD2074" s="117"/>
    </row>
    <row r="2075" spans="1:56" ht="15">
      <c r="A2075" s="114"/>
      <c r="B2075" s="244" t="s">
        <v>963</v>
      </c>
      <c r="C2075" s="200">
        <v>1</v>
      </c>
      <c r="D2075" s="245">
        <v>0.75</v>
      </c>
      <c r="E2075" s="201">
        <v>0.55000000000000004</v>
      </c>
      <c r="F2075" s="201">
        <v>11.45</v>
      </c>
      <c r="G2075" s="202">
        <f t="shared" si="150"/>
        <v>4.7231250000000005</v>
      </c>
      <c r="H2075" s="202">
        <f t="shared" si="151"/>
        <v>21.182500000000001</v>
      </c>
      <c r="I2075" s="82"/>
      <c r="J2075" s="114"/>
      <c r="BB2075" s="117"/>
      <c r="BC2075" s="117"/>
      <c r="BD2075" s="117"/>
    </row>
    <row r="2076" spans="1:56" ht="15">
      <c r="A2076" s="114"/>
      <c r="B2076" s="244" t="s">
        <v>964</v>
      </c>
      <c r="C2076" s="200">
        <v>1</v>
      </c>
      <c r="D2076" s="245">
        <v>0.75</v>
      </c>
      <c r="E2076" s="201">
        <v>0.55000000000000004</v>
      </c>
      <c r="F2076" s="201">
        <v>11.45</v>
      </c>
      <c r="G2076" s="202">
        <f t="shared" si="150"/>
        <v>4.7231250000000005</v>
      </c>
      <c r="H2076" s="202">
        <f t="shared" si="151"/>
        <v>21.182500000000001</v>
      </c>
      <c r="I2076" s="82"/>
      <c r="J2076" s="114"/>
      <c r="BB2076" s="117"/>
      <c r="BC2076" s="117"/>
      <c r="BD2076" s="117"/>
    </row>
    <row r="2077" spans="1:56" ht="15">
      <c r="A2077" s="114"/>
      <c r="B2077" s="244" t="s">
        <v>965</v>
      </c>
      <c r="C2077" s="200">
        <v>1</v>
      </c>
      <c r="D2077" s="245">
        <v>1.6</v>
      </c>
      <c r="E2077" s="201">
        <v>0.55000000000000004</v>
      </c>
      <c r="F2077" s="201">
        <v>11.45</v>
      </c>
      <c r="G2077" s="202">
        <f t="shared" si="150"/>
        <v>10.076000000000001</v>
      </c>
      <c r="H2077" s="202">
        <f t="shared" si="151"/>
        <v>30.914999999999999</v>
      </c>
      <c r="I2077" s="82"/>
      <c r="J2077" s="114"/>
      <c r="BB2077" s="117"/>
      <c r="BC2077" s="117"/>
      <c r="BD2077" s="117"/>
    </row>
    <row r="2078" spans="1:56" ht="15">
      <c r="A2078" s="114"/>
      <c r="B2078" s="244" t="s">
        <v>966</v>
      </c>
      <c r="C2078" s="200">
        <v>1</v>
      </c>
      <c r="D2078" s="245">
        <v>0.75</v>
      </c>
      <c r="E2078" s="201">
        <v>0.55000000000000004</v>
      </c>
      <c r="F2078" s="201">
        <v>11.45</v>
      </c>
      <c r="G2078" s="202">
        <f t="shared" si="150"/>
        <v>4.7231250000000005</v>
      </c>
      <c r="H2078" s="202">
        <f t="shared" si="151"/>
        <v>21.182500000000001</v>
      </c>
      <c r="I2078" s="82"/>
      <c r="J2078" s="114"/>
      <c r="BB2078" s="117"/>
      <c r="BC2078" s="117"/>
      <c r="BD2078" s="117"/>
    </row>
    <row r="2079" spans="1:56" ht="15">
      <c r="A2079" s="114"/>
      <c r="B2079" s="244" t="s">
        <v>967</v>
      </c>
      <c r="C2079" s="200">
        <v>1</v>
      </c>
      <c r="D2079" s="245">
        <v>0.79</v>
      </c>
      <c r="E2079" s="201">
        <v>0.55000000000000004</v>
      </c>
      <c r="F2079" s="201">
        <v>11.45</v>
      </c>
      <c r="G2079" s="202">
        <f t="shared" si="150"/>
        <v>4.9750250000000005</v>
      </c>
      <c r="H2079" s="202">
        <f t="shared" si="151"/>
        <v>21.640499999999999</v>
      </c>
      <c r="I2079" s="82"/>
      <c r="J2079" s="114"/>
      <c r="BB2079" s="117"/>
      <c r="BC2079" s="117"/>
      <c r="BD2079" s="117"/>
    </row>
    <row r="2080" spans="1:56" ht="15">
      <c r="A2080" s="114"/>
      <c r="B2080" s="244" t="s">
        <v>968</v>
      </c>
      <c r="C2080" s="200">
        <v>1</v>
      </c>
      <c r="D2080" s="245">
        <v>0.79</v>
      </c>
      <c r="E2080" s="201">
        <v>0.55000000000000004</v>
      </c>
      <c r="F2080" s="201">
        <v>11.45</v>
      </c>
      <c r="G2080" s="202">
        <f t="shared" si="150"/>
        <v>4.9750250000000005</v>
      </c>
      <c r="H2080" s="202">
        <f t="shared" si="151"/>
        <v>21.640499999999999</v>
      </c>
      <c r="I2080" s="82"/>
      <c r="J2080" s="114"/>
      <c r="BB2080" s="117"/>
      <c r="BC2080" s="117"/>
      <c r="BD2080" s="117"/>
    </row>
    <row r="2081" spans="1:56" ht="15">
      <c r="A2081" s="114"/>
      <c r="B2081" s="244" t="s">
        <v>969</v>
      </c>
      <c r="C2081" s="200">
        <v>1</v>
      </c>
      <c r="D2081" s="245">
        <v>0.75</v>
      </c>
      <c r="E2081" s="201">
        <v>0.55000000000000004</v>
      </c>
      <c r="F2081" s="201">
        <v>11.45</v>
      </c>
      <c r="G2081" s="202">
        <f t="shared" si="150"/>
        <v>4.7231250000000005</v>
      </c>
      <c r="H2081" s="202">
        <f t="shared" si="151"/>
        <v>21.182500000000001</v>
      </c>
      <c r="I2081" s="82"/>
      <c r="J2081" s="114"/>
      <c r="BB2081" s="117"/>
      <c r="BC2081" s="117"/>
      <c r="BD2081" s="117"/>
    </row>
    <row r="2082" spans="1:56" ht="15">
      <c r="A2082" s="114"/>
      <c r="B2082" s="244" t="s">
        <v>970</v>
      </c>
      <c r="C2082" s="200">
        <v>1</v>
      </c>
      <c r="D2082" s="245">
        <v>0.75</v>
      </c>
      <c r="E2082" s="201">
        <v>0.55000000000000004</v>
      </c>
      <c r="F2082" s="201">
        <v>11.45</v>
      </c>
      <c r="G2082" s="202">
        <f t="shared" si="150"/>
        <v>4.7231250000000005</v>
      </c>
      <c r="H2082" s="202">
        <f t="shared" si="151"/>
        <v>21.182500000000001</v>
      </c>
      <c r="I2082" s="82"/>
      <c r="J2082" s="114"/>
      <c r="BB2082" s="117"/>
      <c r="BC2082" s="117"/>
      <c r="BD2082" s="117"/>
    </row>
    <row r="2083" spans="1:56" ht="15">
      <c r="A2083" s="114"/>
      <c r="B2083" s="244" t="s">
        <v>971</v>
      </c>
      <c r="C2083" s="200">
        <v>1</v>
      </c>
      <c r="D2083" s="245">
        <v>0.75</v>
      </c>
      <c r="E2083" s="201">
        <v>0.55000000000000004</v>
      </c>
      <c r="F2083" s="201">
        <v>11.45</v>
      </c>
      <c r="G2083" s="202">
        <f t="shared" si="150"/>
        <v>4.7231250000000005</v>
      </c>
      <c r="H2083" s="202">
        <f t="shared" si="151"/>
        <v>21.182500000000001</v>
      </c>
      <c r="I2083" s="82"/>
      <c r="J2083" s="114"/>
      <c r="BB2083" s="117"/>
      <c r="BC2083" s="117"/>
      <c r="BD2083" s="117"/>
    </row>
    <row r="2084" spans="1:56" ht="15">
      <c r="A2084" s="114"/>
      <c r="B2084" s="244" t="s">
        <v>1073</v>
      </c>
      <c r="C2084" s="200">
        <v>1</v>
      </c>
      <c r="D2084" s="245">
        <v>0.75</v>
      </c>
      <c r="E2084" s="201">
        <v>0.55000000000000004</v>
      </c>
      <c r="F2084" s="201">
        <v>11.45</v>
      </c>
      <c r="G2084" s="202">
        <f t="shared" ref="G2084:G2089" si="156">D2084*E2084*F2084*C2084</f>
        <v>4.7231250000000005</v>
      </c>
      <c r="H2084" s="202">
        <f t="shared" ref="H2084:H2089" si="157">((E2084*2)+D2084)*F2084*C2084</f>
        <v>21.182500000000001</v>
      </c>
      <c r="I2084" s="82"/>
      <c r="J2084" s="114"/>
      <c r="BB2084" s="117"/>
      <c r="BC2084" s="117"/>
      <c r="BD2084" s="117"/>
    </row>
    <row r="2085" spans="1:56" ht="15">
      <c r="A2085" s="114"/>
      <c r="B2085" s="244" t="s">
        <v>1074</v>
      </c>
      <c r="C2085" s="200">
        <v>1</v>
      </c>
      <c r="D2085" s="245">
        <v>0.75</v>
      </c>
      <c r="E2085" s="201">
        <v>0.55000000000000004</v>
      </c>
      <c r="F2085" s="201">
        <v>11.45</v>
      </c>
      <c r="G2085" s="202">
        <f t="shared" si="156"/>
        <v>4.7231250000000005</v>
      </c>
      <c r="H2085" s="202">
        <f t="shared" si="157"/>
        <v>21.182500000000001</v>
      </c>
      <c r="I2085" s="82"/>
      <c r="J2085" s="114"/>
      <c r="BB2085" s="117"/>
      <c r="BC2085" s="117"/>
      <c r="BD2085" s="117"/>
    </row>
    <row r="2086" spans="1:56" ht="15">
      <c r="A2086" s="114"/>
      <c r="B2086" s="244" t="s">
        <v>1075</v>
      </c>
      <c r="C2086" s="200">
        <v>1</v>
      </c>
      <c r="D2086" s="245">
        <v>1.6</v>
      </c>
      <c r="E2086" s="201">
        <v>0.55000000000000004</v>
      </c>
      <c r="F2086" s="201">
        <v>11.45</v>
      </c>
      <c r="G2086" s="202">
        <f t="shared" si="156"/>
        <v>10.076000000000001</v>
      </c>
      <c r="H2086" s="202">
        <f t="shared" si="157"/>
        <v>30.914999999999999</v>
      </c>
      <c r="I2086" s="82"/>
      <c r="J2086" s="114"/>
      <c r="BB2086" s="117"/>
      <c r="BC2086" s="117"/>
      <c r="BD2086" s="117"/>
    </row>
    <row r="2087" spans="1:56" ht="15">
      <c r="A2087" s="114"/>
      <c r="B2087" s="244" t="s">
        <v>1042</v>
      </c>
      <c r="C2087" s="200">
        <v>1</v>
      </c>
      <c r="D2087" s="245">
        <v>0.75</v>
      </c>
      <c r="E2087" s="201">
        <v>0.55000000000000004</v>
      </c>
      <c r="F2087" s="201">
        <v>11.45</v>
      </c>
      <c r="G2087" s="202">
        <f t="shared" si="156"/>
        <v>4.7231250000000005</v>
      </c>
      <c r="H2087" s="202">
        <f t="shared" si="157"/>
        <v>21.182500000000001</v>
      </c>
      <c r="I2087" s="82"/>
      <c r="J2087" s="114"/>
      <c r="BB2087" s="117"/>
      <c r="BC2087" s="117"/>
      <c r="BD2087" s="117"/>
    </row>
    <row r="2088" spans="1:56" ht="15">
      <c r="A2088" s="114"/>
      <c r="B2088" s="244" t="s">
        <v>1043</v>
      </c>
      <c r="C2088" s="200">
        <v>1</v>
      </c>
      <c r="D2088" s="245">
        <v>0.75</v>
      </c>
      <c r="E2088" s="201">
        <v>0.55000000000000004</v>
      </c>
      <c r="F2088" s="201">
        <v>11.45</v>
      </c>
      <c r="G2088" s="202">
        <f t="shared" si="156"/>
        <v>4.7231250000000005</v>
      </c>
      <c r="H2088" s="202">
        <f t="shared" si="157"/>
        <v>21.182500000000001</v>
      </c>
      <c r="I2088" s="82"/>
      <c r="J2088" s="114"/>
      <c r="BB2088" s="117"/>
      <c r="BC2088" s="117"/>
      <c r="BD2088" s="117"/>
    </row>
    <row r="2089" spans="1:56" ht="15">
      <c r="A2089" s="114"/>
      <c r="B2089" s="244" t="s">
        <v>1044</v>
      </c>
      <c r="C2089" s="200">
        <v>1</v>
      </c>
      <c r="D2089" s="245">
        <v>0.36499999999999999</v>
      </c>
      <c r="E2089" s="201">
        <v>0.55000000000000004</v>
      </c>
      <c r="F2089" s="201">
        <v>11.45</v>
      </c>
      <c r="G2089" s="202">
        <f t="shared" si="156"/>
        <v>2.2985875</v>
      </c>
      <c r="H2089" s="202">
        <f t="shared" si="157"/>
        <v>16.774249999999999</v>
      </c>
      <c r="I2089" s="82"/>
      <c r="J2089" s="114"/>
      <c r="BB2089" s="117"/>
      <c r="BC2089" s="117"/>
      <c r="BD2089" s="117"/>
    </row>
    <row r="2090" spans="1:56" ht="15">
      <c r="A2090" s="114"/>
      <c r="B2090" s="244" t="s">
        <v>972</v>
      </c>
      <c r="C2090" s="200">
        <v>1</v>
      </c>
      <c r="D2090" s="245">
        <v>0.3</v>
      </c>
      <c r="E2090" s="201">
        <v>0.55000000000000004</v>
      </c>
      <c r="F2090" s="201">
        <v>13</v>
      </c>
      <c r="G2090" s="202">
        <f t="shared" si="150"/>
        <v>2.145</v>
      </c>
      <c r="H2090" s="202">
        <f t="shared" si="151"/>
        <v>18.200000000000003</v>
      </c>
      <c r="I2090" s="82"/>
      <c r="J2090" s="114"/>
      <c r="BB2090" s="117"/>
      <c r="BC2090" s="117"/>
      <c r="BD2090" s="117"/>
    </row>
    <row r="2091" spans="1:56" ht="15">
      <c r="A2091" s="114"/>
      <c r="B2091" s="244" t="s">
        <v>973</v>
      </c>
      <c r="C2091" s="200">
        <v>1</v>
      </c>
      <c r="D2091" s="245">
        <v>0.2</v>
      </c>
      <c r="E2091" s="201">
        <v>0.55000000000000004</v>
      </c>
      <c r="F2091" s="201">
        <v>3.0750000000000002</v>
      </c>
      <c r="G2091" s="202">
        <f t="shared" si="150"/>
        <v>0.33825000000000005</v>
      </c>
      <c r="H2091" s="202">
        <f t="shared" si="151"/>
        <v>3.9975000000000005</v>
      </c>
      <c r="I2091" s="82"/>
      <c r="J2091" s="114"/>
      <c r="BB2091" s="117"/>
      <c r="BC2091" s="117"/>
      <c r="BD2091" s="117"/>
    </row>
    <row r="2092" spans="1:56" ht="15">
      <c r="A2092" s="114"/>
      <c r="B2092" s="244" t="s">
        <v>1487</v>
      </c>
      <c r="C2092" s="200">
        <v>1</v>
      </c>
      <c r="D2092" s="245">
        <v>0.4</v>
      </c>
      <c r="E2092" s="201">
        <v>0.45</v>
      </c>
      <c r="F2092" s="201">
        <v>3.95</v>
      </c>
      <c r="G2092" s="202">
        <f t="shared" ref="G2092" si="158">D2092*E2092*F2092*C2092</f>
        <v>0.71100000000000008</v>
      </c>
      <c r="H2092" s="202">
        <f t="shared" ref="H2092" si="159">((E2092*2)+D2092)*F2092*C2092</f>
        <v>5.1350000000000007</v>
      </c>
      <c r="I2092" s="82"/>
      <c r="J2092" s="114"/>
      <c r="BB2092" s="117"/>
      <c r="BC2092" s="117"/>
      <c r="BD2092" s="117"/>
    </row>
    <row r="2093" spans="1:56" ht="15">
      <c r="A2093" s="114"/>
      <c r="B2093" s="244" t="s">
        <v>1488</v>
      </c>
      <c r="C2093" s="200">
        <v>1</v>
      </c>
      <c r="D2093" s="245">
        <v>0.4</v>
      </c>
      <c r="E2093" s="201">
        <v>0.45</v>
      </c>
      <c r="F2093" s="201">
        <v>4.05</v>
      </c>
      <c r="G2093" s="202">
        <f t="shared" ref="G2093" si="160">D2093*E2093*F2093*C2093</f>
        <v>0.72900000000000009</v>
      </c>
      <c r="H2093" s="202">
        <f t="shared" ref="H2093" si="161">((E2093*2)+D2093)*F2093*C2093</f>
        <v>5.2649999999999997</v>
      </c>
      <c r="I2093" s="82"/>
      <c r="J2093" s="114"/>
      <c r="BB2093" s="117"/>
      <c r="BC2093" s="117"/>
      <c r="BD2093" s="117"/>
    </row>
    <row r="2094" spans="1:56" ht="15">
      <c r="A2094" s="114"/>
      <c r="B2094" s="114"/>
      <c r="C2094" s="114"/>
      <c r="D2094" s="114"/>
      <c r="E2094" s="114"/>
      <c r="F2094" s="254" t="s">
        <v>76</v>
      </c>
      <c r="G2094" s="258">
        <f>SUM(G2032:G2093)</f>
        <v>830.82773750000024</v>
      </c>
      <c r="H2094" s="258">
        <f>SUM(H2032:H2093)</f>
        <v>2794.4872499999969</v>
      </c>
      <c r="I2094" s="82"/>
      <c r="J2094" s="114"/>
      <c r="BB2094" s="117"/>
      <c r="BC2094" s="117"/>
      <c r="BD2094" s="117"/>
    </row>
    <row r="2095" spans="1:56" ht="15">
      <c r="A2095" s="114"/>
      <c r="B2095" s="114"/>
      <c r="C2095" s="114"/>
      <c r="D2095" s="114"/>
      <c r="E2095" s="114"/>
      <c r="F2095" s="114"/>
      <c r="G2095" s="114"/>
      <c r="H2095" s="114"/>
      <c r="I2095" s="82"/>
      <c r="J2095" s="114"/>
      <c r="BB2095" s="117"/>
      <c r="BC2095" s="117"/>
      <c r="BD2095" s="117"/>
    </row>
    <row r="2096" spans="1:56">
      <c r="A2096" s="114"/>
      <c r="B2096" s="242" t="s">
        <v>1647</v>
      </c>
      <c r="C2096" s="199" t="s">
        <v>61</v>
      </c>
      <c r="D2096" s="199" t="s">
        <v>82</v>
      </c>
      <c r="E2096" s="199" t="s">
        <v>768</v>
      </c>
      <c r="F2096" s="243" t="s">
        <v>99</v>
      </c>
      <c r="G2096" s="243" t="s">
        <v>68</v>
      </c>
      <c r="H2096" s="115"/>
      <c r="I2096" s="82"/>
      <c r="J2096" s="114"/>
      <c r="BB2096" s="117"/>
      <c r="BC2096" s="117"/>
      <c r="BD2096" s="117"/>
    </row>
    <row r="2097" spans="1:56">
      <c r="A2097" s="114"/>
      <c r="B2097" s="244" t="s">
        <v>926</v>
      </c>
      <c r="C2097" s="648">
        <v>-1</v>
      </c>
      <c r="D2097" s="245">
        <v>0.75</v>
      </c>
      <c r="E2097" s="245">
        <f>0.9+0.4429+0.39+0.4429+0.5075</f>
        <v>2.6832999999999996</v>
      </c>
      <c r="F2097" s="202">
        <f t="shared" ref="F2097:F2102" si="162">D2097*E2097*C2097</f>
        <v>-2.0124749999999998</v>
      </c>
      <c r="G2097" s="202">
        <f t="shared" ref="G2097:G2102" si="163">E2097*2*C2097</f>
        <v>-5.3665999999999991</v>
      </c>
      <c r="H2097" s="115"/>
      <c r="I2097" s="82"/>
      <c r="J2097" s="114"/>
      <c r="BB2097" s="117"/>
      <c r="BC2097" s="117"/>
      <c r="BD2097" s="117"/>
    </row>
    <row r="2098" spans="1:56">
      <c r="A2098" s="114"/>
      <c r="B2098" s="244" t="s">
        <v>927</v>
      </c>
      <c r="C2098" s="648">
        <v>-1</v>
      </c>
      <c r="D2098" s="245">
        <v>0.75</v>
      </c>
      <c r="E2098" s="245">
        <f>0.5225+0.075+0.1444</f>
        <v>0.74189999999999989</v>
      </c>
      <c r="F2098" s="202">
        <f t="shared" si="162"/>
        <v>-0.55642499999999995</v>
      </c>
      <c r="G2098" s="202">
        <f t="shared" si="163"/>
        <v>-1.4837999999999998</v>
      </c>
      <c r="H2098" s="115"/>
      <c r="I2098" s="82"/>
      <c r="J2098" s="114"/>
      <c r="BB2098" s="117"/>
      <c r="BC2098" s="117"/>
      <c r="BD2098" s="117"/>
    </row>
    <row r="2099" spans="1:56">
      <c r="A2099" s="114"/>
      <c r="B2099" s="244" t="s">
        <v>928</v>
      </c>
      <c r="C2099" s="648">
        <v>-1</v>
      </c>
      <c r="D2099" s="245">
        <v>0.75</v>
      </c>
      <c r="E2099" s="245">
        <f>0.5225+0.1925</f>
        <v>0.71499999999999997</v>
      </c>
      <c r="F2099" s="202">
        <f t="shared" si="162"/>
        <v>-0.53625</v>
      </c>
      <c r="G2099" s="202">
        <f t="shared" si="163"/>
        <v>-1.43</v>
      </c>
      <c r="H2099" s="115"/>
      <c r="I2099" s="82"/>
      <c r="J2099" s="114"/>
      <c r="BB2099" s="117"/>
      <c r="BC2099" s="117"/>
      <c r="BD2099" s="117"/>
    </row>
    <row r="2100" spans="1:56">
      <c r="A2100" s="114"/>
      <c r="B2100" s="244" t="s">
        <v>929</v>
      </c>
      <c r="C2100" s="648">
        <v>-1</v>
      </c>
      <c r="D2100" s="245">
        <v>0.75</v>
      </c>
      <c r="E2100" s="245">
        <f>0.98+0.477+0.2625+0.98+0.7431+0.98+0.477+0.2975+0.477+0.98</f>
        <v>6.6540999999999997</v>
      </c>
      <c r="F2100" s="202">
        <f t="shared" si="162"/>
        <v>-4.9905749999999998</v>
      </c>
      <c r="G2100" s="202">
        <f t="shared" si="163"/>
        <v>-13.308199999999999</v>
      </c>
      <c r="H2100" s="115"/>
      <c r="I2100" s="82"/>
      <c r="J2100" s="114"/>
      <c r="BB2100" s="117"/>
      <c r="BC2100" s="117"/>
      <c r="BD2100" s="117"/>
    </row>
    <row r="2101" spans="1:56">
      <c r="A2101" s="114"/>
      <c r="B2101" s="244" t="s">
        <v>930</v>
      </c>
      <c r="C2101" s="648">
        <v>-1</v>
      </c>
      <c r="D2101" s="245">
        <v>0.75</v>
      </c>
      <c r="E2101" s="245">
        <f>0.477+1.265+0.92+0.483+0.515</f>
        <v>3.66</v>
      </c>
      <c r="F2101" s="202">
        <f t="shared" si="162"/>
        <v>-2.7450000000000001</v>
      </c>
      <c r="G2101" s="202">
        <f t="shared" si="163"/>
        <v>-7.32</v>
      </c>
      <c r="H2101" s="115"/>
      <c r="I2101" s="82"/>
      <c r="J2101" s="114"/>
      <c r="BB2101" s="117"/>
      <c r="BC2101" s="117"/>
      <c r="BD2101" s="117"/>
    </row>
    <row r="2102" spans="1:56">
      <c r="A2102" s="114"/>
      <c r="B2102" s="244" t="s">
        <v>932</v>
      </c>
      <c r="C2102" s="648">
        <v>-1</v>
      </c>
      <c r="D2102" s="245">
        <v>0.75</v>
      </c>
      <c r="E2102" s="245">
        <f>0.9735+0.66+1.0595+0.14+0.9075+0.9075</f>
        <v>4.6480000000000006</v>
      </c>
      <c r="F2102" s="202">
        <f t="shared" si="162"/>
        <v>-3.4860000000000007</v>
      </c>
      <c r="G2102" s="202">
        <f t="shared" si="163"/>
        <v>-9.2960000000000012</v>
      </c>
      <c r="H2102" s="115"/>
      <c r="I2102" s="82"/>
      <c r="J2102" s="114"/>
      <c r="BB2102" s="117"/>
      <c r="BC2102" s="117"/>
      <c r="BD2102" s="117"/>
    </row>
    <row r="2103" spans="1:56">
      <c r="A2103" s="114"/>
      <c r="B2103" s="114"/>
      <c r="C2103" s="114"/>
      <c r="D2103" s="114"/>
      <c r="E2103" s="254" t="s">
        <v>767</v>
      </c>
      <c r="F2103" s="258">
        <f>SUM(F2097:F2102)</f>
        <v>-14.326725</v>
      </c>
      <c r="G2103" s="258">
        <f>SUM(G2097:G2102)</f>
        <v>-38.204599999999999</v>
      </c>
      <c r="H2103" s="115"/>
      <c r="I2103" s="82"/>
      <c r="J2103" s="114"/>
      <c r="BB2103" s="117"/>
      <c r="BC2103" s="117"/>
      <c r="BD2103" s="117"/>
    </row>
    <row r="2104" spans="1:56" s="259" customFormat="1" ht="15">
      <c r="A2104" s="114"/>
      <c r="B2104" s="293"/>
      <c r="C2104" s="81"/>
      <c r="D2104" s="81"/>
      <c r="E2104" s="81"/>
      <c r="F2104" s="349"/>
      <c r="G2104" s="81"/>
      <c r="H2104" s="82"/>
      <c r="I2104" s="82"/>
      <c r="J2104" s="114"/>
      <c r="K2104" s="114"/>
      <c r="L2104" s="114"/>
      <c r="M2104" s="114"/>
      <c r="N2104" s="114"/>
      <c r="O2104" s="114"/>
      <c r="P2104" s="114"/>
      <c r="Q2104" s="114"/>
      <c r="R2104" s="114"/>
      <c r="S2104" s="114"/>
      <c r="T2104" s="114"/>
      <c r="U2104" s="114"/>
      <c r="V2104" s="114"/>
      <c r="W2104" s="114"/>
      <c r="X2104" s="114"/>
      <c r="Y2104" s="114"/>
      <c r="Z2104" s="114"/>
      <c r="AA2104" s="114"/>
      <c r="AB2104" s="114"/>
      <c r="AC2104" s="114"/>
      <c r="AD2104" s="114"/>
      <c r="AE2104" s="114"/>
      <c r="AF2104" s="114"/>
      <c r="AG2104" s="114"/>
      <c r="AH2104" s="114"/>
      <c r="AI2104" s="114"/>
      <c r="AJ2104" s="114"/>
      <c r="AK2104" s="114"/>
      <c r="AL2104" s="114"/>
      <c r="AM2104" s="114"/>
      <c r="AN2104" s="114"/>
      <c r="AO2104" s="114"/>
      <c r="AP2104" s="114"/>
      <c r="AQ2104" s="114"/>
      <c r="AR2104" s="114"/>
      <c r="AS2104" s="114"/>
      <c r="AT2104" s="114"/>
      <c r="AU2104" s="114"/>
      <c r="AV2104" s="114"/>
      <c r="AW2104" s="114"/>
      <c r="AX2104" s="114"/>
      <c r="AY2104" s="114"/>
      <c r="AZ2104" s="114"/>
      <c r="BA2104" s="114"/>
    </row>
    <row r="2105" spans="1:56" ht="15">
      <c r="A2105" s="114"/>
      <c r="B2105" s="114"/>
      <c r="C2105" s="114"/>
      <c r="D2105" s="114"/>
      <c r="E2105" s="114"/>
      <c r="F2105" s="114"/>
      <c r="G2105" s="114"/>
      <c r="H2105" s="114"/>
      <c r="I2105" s="82"/>
      <c r="J2105" s="114"/>
      <c r="BB2105" s="117"/>
      <c r="BC2105" s="117"/>
      <c r="BD2105" s="117"/>
    </row>
    <row r="2106" spans="1:56">
      <c r="A2106" s="114"/>
      <c r="B2106" s="242" t="s">
        <v>1536</v>
      </c>
      <c r="C2106" s="199" t="s">
        <v>61</v>
      </c>
      <c r="D2106" s="199" t="s">
        <v>155</v>
      </c>
      <c r="E2106" s="199" t="s">
        <v>82</v>
      </c>
      <c r="F2106" s="199" t="s">
        <v>62</v>
      </c>
      <c r="G2106" s="243" t="s">
        <v>99</v>
      </c>
      <c r="H2106" s="243" t="s">
        <v>68</v>
      </c>
      <c r="I2106" s="115"/>
      <c r="J2106" s="82"/>
      <c r="BC2106" s="117"/>
      <c r="BD2106" s="117"/>
    </row>
    <row r="2107" spans="1:56">
      <c r="A2107" s="114"/>
      <c r="B2107" s="244" t="s">
        <v>1534</v>
      </c>
      <c r="C2107" s="200">
        <v>1</v>
      </c>
      <c r="D2107" s="245">
        <v>0.25</v>
      </c>
      <c r="E2107" s="245">
        <v>0.45</v>
      </c>
      <c r="F2107" s="245">
        <f>11.365+145.6+11.65+145.6+11.45+145.6+7.065+89.6+11.65+145.6+11.95+18.85</f>
        <v>755.98</v>
      </c>
      <c r="G2107" s="202">
        <f t="shared" ref="G2107" si="164">D2107*E2107*F2107*C2107</f>
        <v>85.047750000000008</v>
      </c>
      <c r="H2107" s="202">
        <f t="shared" ref="H2107" si="165">((E2107*2)+D2107)*F2107*C2107</f>
        <v>869.37699999999995</v>
      </c>
      <c r="I2107" s="115"/>
      <c r="J2107" s="82"/>
      <c r="BC2107" s="117"/>
      <c r="BD2107" s="117"/>
    </row>
    <row r="2108" spans="1:56">
      <c r="A2108" s="114"/>
      <c r="B2108" s="244" t="s">
        <v>1535</v>
      </c>
      <c r="C2108" s="200">
        <v>1</v>
      </c>
      <c r="D2108" s="245">
        <v>0.25</v>
      </c>
      <c r="E2108" s="245">
        <v>0.45</v>
      </c>
      <c r="F2108" s="245">
        <f>1.49+7.125+10.25*3+58.5+17.47+11.365+121.55+1.1+2.25+2.74+11.365+11.365+53.25+48.75+17.47</f>
        <v>396.53999999999996</v>
      </c>
      <c r="G2108" s="202">
        <f t="shared" ref="G2108" si="166">D2108*E2108*F2108*C2108</f>
        <v>44.610749999999996</v>
      </c>
      <c r="H2108" s="202">
        <f t="shared" ref="H2108" si="167">((E2108*2)+D2108)*F2108*C2108</f>
        <v>456.0209999999999</v>
      </c>
      <c r="I2108" s="115"/>
      <c r="J2108" s="82"/>
      <c r="BC2108" s="117"/>
      <c r="BD2108" s="117"/>
    </row>
    <row r="2109" spans="1:56" ht="15">
      <c r="A2109" s="114"/>
      <c r="B2109" s="114"/>
      <c r="C2109" s="114"/>
      <c r="D2109" s="114"/>
      <c r="E2109" s="117"/>
      <c r="F2109" s="254" t="s">
        <v>767</v>
      </c>
      <c r="G2109" s="258">
        <f>SUM(G2107:G2108)</f>
        <v>129.6585</v>
      </c>
      <c r="H2109" s="258">
        <f>SUM(H2107:H2108)</f>
        <v>1325.3979999999999</v>
      </c>
      <c r="I2109" s="82"/>
      <c r="J2109" s="114"/>
      <c r="BB2109" s="117"/>
      <c r="BC2109" s="117"/>
      <c r="BD2109" s="117"/>
    </row>
    <row r="2110" spans="1:56" ht="15">
      <c r="A2110" s="114"/>
      <c r="B2110" s="114"/>
      <c r="C2110" s="114"/>
      <c r="D2110" s="114"/>
      <c r="E2110" s="114"/>
      <c r="F2110" s="114"/>
      <c r="G2110" s="114"/>
      <c r="H2110" s="114"/>
      <c r="I2110" s="82"/>
      <c r="J2110" s="114"/>
      <c r="BB2110" s="117"/>
      <c r="BC2110" s="117"/>
      <c r="BD2110" s="117"/>
    </row>
    <row r="2111" spans="1:56">
      <c r="A2111" s="114"/>
      <c r="B2111" s="242" t="s">
        <v>93</v>
      </c>
      <c r="C2111" s="199" t="s">
        <v>61</v>
      </c>
      <c r="D2111" s="199" t="s">
        <v>82</v>
      </c>
      <c r="E2111" s="199" t="s">
        <v>768</v>
      </c>
      <c r="F2111" s="243" t="s">
        <v>99</v>
      </c>
      <c r="G2111" s="243" t="s">
        <v>68</v>
      </c>
      <c r="H2111" s="115"/>
      <c r="I2111" s="82"/>
      <c r="J2111" s="114"/>
      <c r="BB2111" s="117"/>
      <c r="BC2111" s="117"/>
      <c r="BD2111" s="117"/>
    </row>
    <row r="2112" spans="1:56">
      <c r="A2112" s="114"/>
      <c r="B2112" s="244" t="s">
        <v>1519</v>
      </c>
      <c r="C2112" s="200">
        <v>1</v>
      </c>
      <c r="D2112" s="245">
        <v>0.1</v>
      </c>
      <c r="E2112" s="245">
        <f>1109.815-(D2107*F2107+F2108*D2108)</f>
        <v>821.68500000000006</v>
      </c>
      <c r="F2112" s="202">
        <f t="shared" ref="F2112:F2116" si="168">D2112*E2112</f>
        <v>82.168500000000009</v>
      </c>
      <c r="G2112" s="202">
        <f t="shared" ref="G2112:G2116" si="169">E2112</f>
        <v>821.68500000000006</v>
      </c>
      <c r="H2112" s="115"/>
      <c r="I2112" s="632">
        <f>130.13+133.39+130.13+121.155+131.1+80.89+126.86+133.39+122.77</f>
        <v>1109.8150000000001</v>
      </c>
      <c r="J2112" s="114"/>
      <c r="BB2112" s="117"/>
      <c r="BC2112" s="117"/>
      <c r="BD2112" s="117"/>
    </row>
    <row r="2113" spans="1:56">
      <c r="A2113" s="114"/>
      <c r="B2113" s="244" t="s">
        <v>1510</v>
      </c>
      <c r="C2113" s="200">
        <v>1</v>
      </c>
      <c r="D2113" s="245">
        <v>0.12</v>
      </c>
      <c r="E2113" s="245">
        <f>21.38+21.34+10.17+4.21</f>
        <v>57.1</v>
      </c>
      <c r="F2113" s="202">
        <f t="shared" si="168"/>
        <v>6.8520000000000003</v>
      </c>
      <c r="G2113" s="202">
        <f t="shared" si="169"/>
        <v>57.1</v>
      </c>
      <c r="H2113" s="115"/>
      <c r="I2113" s="82"/>
      <c r="J2113" s="114"/>
      <c r="BB2113" s="117"/>
      <c r="BC2113" s="117"/>
      <c r="BD2113" s="117"/>
    </row>
    <row r="2114" spans="1:56">
      <c r="A2114" s="114"/>
      <c r="B2114" s="244" t="s">
        <v>1515</v>
      </c>
      <c r="C2114" s="200">
        <v>1</v>
      </c>
      <c r="D2114" s="245">
        <v>0.15</v>
      </c>
      <c r="E2114" s="245">
        <f>17.9</f>
        <v>17.899999999999999</v>
      </c>
      <c r="F2114" s="202">
        <f t="shared" ref="F2114" si="170">D2114*E2114</f>
        <v>2.6849999999999996</v>
      </c>
      <c r="G2114" s="202">
        <f t="shared" ref="G2114" si="171">E2114</f>
        <v>17.899999999999999</v>
      </c>
      <c r="H2114" s="115"/>
      <c r="I2114" s="82"/>
      <c r="J2114" s="114"/>
      <c r="BB2114" s="117"/>
      <c r="BC2114" s="117"/>
      <c r="BD2114" s="117"/>
    </row>
    <row r="2115" spans="1:56">
      <c r="A2115" s="114"/>
      <c r="B2115" s="244" t="s">
        <v>1533</v>
      </c>
      <c r="C2115" s="200">
        <v>1</v>
      </c>
      <c r="D2115" s="245">
        <v>0.18</v>
      </c>
      <c r="E2115" s="245">
        <f>17.28</f>
        <v>17.28</v>
      </c>
      <c r="F2115" s="202">
        <f t="shared" ref="F2115" si="172">D2115*E2115</f>
        <v>3.1104000000000003</v>
      </c>
      <c r="G2115" s="202">
        <f t="shared" ref="G2115" si="173">E2115</f>
        <v>17.28</v>
      </c>
      <c r="H2115" s="115"/>
      <c r="I2115" s="82"/>
      <c r="J2115" s="114"/>
      <c r="BB2115" s="117"/>
      <c r="BC2115" s="117"/>
      <c r="BD2115" s="117"/>
    </row>
    <row r="2116" spans="1:56">
      <c r="A2116" s="114"/>
      <c r="B2116" s="244" t="s">
        <v>1532</v>
      </c>
      <c r="C2116" s="200">
        <v>1</v>
      </c>
      <c r="D2116" s="245">
        <v>0.2</v>
      </c>
      <c r="E2116" s="245">
        <v>6.68</v>
      </c>
      <c r="F2116" s="202">
        <f t="shared" si="168"/>
        <v>1.3360000000000001</v>
      </c>
      <c r="G2116" s="202">
        <f t="shared" si="169"/>
        <v>6.68</v>
      </c>
      <c r="H2116" s="115"/>
      <c r="I2116" s="82"/>
      <c r="J2116" s="114"/>
      <c r="BB2116" s="117"/>
      <c r="BC2116" s="117"/>
      <c r="BD2116" s="117"/>
    </row>
    <row r="2117" spans="1:56">
      <c r="A2117" s="114"/>
      <c r="B2117" s="114"/>
      <c r="C2117" s="114"/>
      <c r="D2117" s="114"/>
      <c r="E2117" s="254" t="s">
        <v>767</v>
      </c>
      <c r="F2117" s="258">
        <f>SUM(F2112:F2116)</f>
        <v>96.151900000000012</v>
      </c>
      <c r="G2117" s="258">
        <f>SUM(G2112:G2116)</f>
        <v>920.64499999999998</v>
      </c>
      <c r="H2117" s="115"/>
      <c r="I2117" s="82"/>
      <c r="J2117" s="114"/>
      <c r="BB2117" s="117"/>
      <c r="BC2117" s="117"/>
      <c r="BD2117" s="117"/>
    </row>
    <row r="2118" spans="1:56" s="259" customFormat="1" ht="15">
      <c r="A2118" s="114"/>
      <c r="B2118" s="293"/>
      <c r="C2118" s="81"/>
      <c r="D2118" s="81"/>
      <c r="E2118" s="81"/>
      <c r="F2118" s="349"/>
      <c r="G2118" s="81"/>
      <c r="H2118" s="82"/>
      <c r="I2118" s="82"/>
      <c r="J2118" s="114"/>
      <c r="K2118" s="114"/>
      <c r="L2118" s="114"/>
      <c r="M2118" s="114"/>
      <c r="N2118" s="114"/>
      <c r="O2118" s="114"/>
      <c r="P2118" s="114"/>
      <c r="Q2118" s="114"/>
      <c r="R2118" s="114"/>
      <c r="S2118" s="114"/>
      <c r="T2118" s="114"/>
      <c r="U2118" s="114"/>
      <c r="V2118" s="114"/>
      <c r="W2118" s="114"/>
      <c r="X2118" s="114"/>
      <c r="Y2118" s="114"/>
      <c r="Z2118" s="114"/>
      <c r="AA2118" s="114"/>
      <c r="AB2118" s="114"/>
      <c r="AC2118" s="114"/>
      <c r="AD2118" s="114"/>
      <c r="AE2118" s="114"/>
      <c r="AF2118" s="114"/>
      <c r="AG2118" s="114"/>
      <c r="AH2118" s="114"/>
      <c r="AI2118" s="114"/>
      <c r="AJ2118" s="114"/>
      <c r="AK2118" s="114"/>
      <c r="AL2118" s="114"/>
      <c r="AM2118" s="114"/>
      <c r="AN2118" s="114"/>
      <c r="AO2118" s="114"/>
      <c r="AP2118" s="114"/>
      <c r="AQ2118" s="114"/>
      <c r="AR2118" s="114"/>
      <c r="AS2118" s="114"/>
      <c r="AT2118" s="114"/>
      <c r="AU2118" s="114"/>
      <c r="AV2118" s="114"/>
      <c r="AW2118" s="114"/>
      <c r="AX2118" s="114"/>
      <c r="AY2118" s="114"/>
      <c r="AZ2118" s="114"/>
      <c r="BA2118" s="114"/>
    </row>
    <row r="2119" spans="1:56">
      <c r="A2119" s="114"/>
      <c r="B2119" s="115"/>
      <c r="C2119" s="115"/>
      <c r="D2119" s="115"/>
      <c r="E2119" s="115"/>
      <c r="F2119" s="115"/>
      <c r="G2119" s="115"/>
      <c r="H2119" s="115"/>
      <c r="I2119" s="82"/>
      <c r="J2119" s="114"/>
      <c r="BB2119" s="117"/>
      <c r="BC2119" s="117"/>
      <c r="BD2119" s="117"/>
    </row>
    <row r="2120" spans="1:56">
      <c r="A2120" s="114"/>
      <c r="B2120" s="1312" t="s">
        <v>1093</v>
      </c>
      <c r="C2120" s="1313"/>
      <c r="D2120" s="1313"/>
      <c r="E2120" s="1313"/>
      <c r="F2120" s="1314"/>
      <c r="G2120" s="115"/>
      <c r="H2120" s="115"/>
      <c r="I2120" s="82"/>
      <c r="J2120" s="114"/>
      <c r="BB2120" s="117"/>
      <c r="BC2120" s="117"/>
      <c r="BD2120" s="117"/>
    </row>
    <row r="2121" spans="1:56">
      <c r="A2121" s="114"/>
      <c r="B2121" s="278"/>
      <c r="C2121" s="115"/>
      <c r="D2121" s="115"/>
      <c r="E2121" s="115"/>
      <c r="F2121" s="357"/>
      <c r="G2121" s="115"/>
      <c r="H2121" s="115"/>
      <c r="I2121" s="82"/>
      <c r="J2121" s="114"/>
      <c r="BB2121" s="117"/>
      <c r="BC2121" s="117"/>
      <c r="BD2121" s="117"/>
    </row>
    <row r="2122" spans="1:56">
      <c r="A2122" s="114"/>
      <c r="B2122" s="279" t="s">
        <v>315</v>
      </c>
      <c r="C2122" s="203"/>
      <c r="D2122" s="204"/>
      <c r="E2122" s="205">
        <f>G2117+H2109+G2103+H2094+G2022+H2016+H2010+G1970+H1962+H1955</f>
        <v>12722.731400000001</v>
      </c>
      <c r="F2122" s="206" t="s">
        <v>13</v>
      </c>
      <c r="G2122" s="115"/>
      <c r="H2122" s="115"/>
      <c r="I2122" s="82"/>
      <c r="J2122" s="114"/>
      <c r="BB2122" s="117"/>
      <c r="BC2122" s="117"/>
      <c r="BD2122" s="117"/>
    </row>
    <row r="2123" spans="1:56">
      <c r="A2123" s="114"/>
      <c r="B2123" s="279" t="s">
        <v>316</v>
      </c>
      <c r="C2123" s="203"/>
      <c r="D2123" s="204"/>
      <c r="E2123" s="205">
        <f>G2094+G2010+G1955</f>
        <v>1927.4305775000007</v>
      </c>
      <c r="F2123" s="206" t="s">
        <v>100</v>
      </c>
      <c r="G2123" s="115"/>
      <c r="H2123" s="115"/>
      <c r="I2123" s="82"/>
      <c r="J2123" s="114"/>
      <c r="BB2123" s="117"/>
      <c r="BC2123" s="117"/>
      <c r="BD2123" s="117"/>
    </row>
    <row r="2124" spans="1:56">
      <c r="A2124" s="114"/>
      <c r="B2124" s="279" t="s">
        <v>1676</v>
      </c>
      <c r="C2124" s="203"/>
      <c r="D2124" s="204"/>
      <c r="E2124" s="205">
        <f>F2026</f>
        <v>27.126999999999999</v>
      </c>
      <c r="F2124" s="206" t="s">
        <v>100</v>
      </c>
      <c r="G2124" s="711"/>
      <c r="H2124" s="115"/>
      <c r="I2124" s="82"/>
      <c r="J2124" s="114"/>
      <c r="BB2124" s="117"/>
      <c r="BC2124" s="117"/>
      <c r="BD2124" s="117"/>
    </row>
    <row r="2125" spans="1:56">
      <c r="A2125" s="114"/>
      <c r="B2125" s="279" t="s">
        <v>771</v>
      </c>
      <c r="C2125" s="231">
        <f>H1974</f>
        <v>4212.5139999999983</v>
      </c>
      <c r="D2125" s="206" t="s">
        <v>13</v>
      </c>
      <c r="E2125" s="231">
        <f>I1974</f>
        <v>5200.634567901232</v>
      </c>
      <c r="F2125" s="206" t="s">
        <v>772</v>
      </c>
      <c r="G2125" s="115"/>
      <c r="H2125" s="115"/>
      <c r="I2125" s="82"/>
      <c r="J2125" s="114"/>
      <c r="BB2125" s="117"/>
      <c r="BC2125" s="117"/>
      <c r="BD2125" s="117"/>
    </row>
    <row r="2126" spans="1:56">
      <c r="A2126" s="114"/>
      <c r="B2126" s="237"/>
      <c r="C2126" s="237"/>
      <c r="D2126" s="237"/>
      <c r="E2126" s="237"/>
      <c r="F2126" s="237"/>
      <c r="G2126" s="115"/>
      <c r="H2126" s="115"/>
      <c r="I2126" s="82"/>
      <c r="J2126" s="114"/>
      <c r="BB2126" s="117"/>
      <c r="BC2126" s="117"/>
      <c r="BD2126" s="117"/>
    </row>
    <row r="2127" spans="1:56">
      <c r="A2127" s="114"/>
      <c r="B2127" s="115"/>
      <c r="C2127" s="115"/>
      <c r="D2127" s="115"/>
      <c r="E2127" s="115"/>
      <c r="F2127" s="115"/>
      <c r="G2127" s="115"/>
      <c r="H2127" s="115"/>
      <c r="I2127" s="115"/>
      <c r="J2127" s="114"/>
      <c r="BB2127" s="117"/>
      <c r="BC2127" s="117"/>
      <c r="BD2127" s="117"/>
    </row>
    <row r="2128" spans="1:56" s="356" customFormat="1" ht="15">
      <c r="A2128" s="353"/>
      <c r="B2128" s="354" t="s">
        <v>1649</v>
      </c>
      <c r="C2128" s="354"/>
      <c r="D2128" s="354"/>
      <c r="E2128" s="354"/>
      <c r="F2128" s="354"/>
      <c r="G2128" s="354"/>
      <c r="H2128" s="355"/>
      <c r="I2128" s="355"/>
      <c r="J2128" s="353"/>
      <c r="K2128" s="353"/>
      <c r="L2128" s="353"/>
      <c r="M2128" s="353"/>
      <c r="N2128" s="353"/>
      <c r="O2128" s="353"/>
      <c r="P2128" s="353"/>
      <c r="Q2128" s="353"/>
      <c r="R2128" s="353"/>
      <c r="S2128" s="353"/>
      <c r="T2128" s="353"/>
      <c r="U2128" s="353"/>
      <c r="V2128" s="353"/>
      <c r="W2128" s="353"/>
      <c r="X2128" s="353"/>
      <c r="Y2128" s="353"/>
      <c r="Z2128" s="353"/>
      <c r="AA2128" s="353"/>
      <c r="AB2128" s="353"/>
      <c r="AC2128" s="353"/>
      <c r="AD2128" s="353"/>
      <c r="AE2128" s="353"/>
      <c r="AF2128" s="353"/>
      <c r="AG2128" s="353"/>
      <c r="AH2128" s="353"/>
      <c r="AI2128" s="353"/>
      <c r="AJ2128" s="353"/>
      <c r="AK2128" s="353"/>
      <c r="AL2128" s="353"/>
      <c r="AM2128" s="353"/>
      <c r="AN2128" s="353"/>
      <c r="AO2128" s="353"/>
      <c r="AP2128" s="353"/>
      <c r="AQ2128" s="353"/>
      <c r="AR2128" s="353"/>
      <c r="AS2128" s="353"/>
      <c r="AT2128" s="353"/>
      <c r="AU2128" s="353"/>
      <c r="AV2128" s="353"/>
      <c r="AW2128" s="353"/>
      <c r="AX2128" s="353"/>
      <c r="AY2128" s="353"/>
      <c r="AZ2128" s="353"/>
      <c r="BA2128" s="353"/>
    </row>
    <row r="2129" spans="1:56">
      <c r="A2129" s="114"/>
      <c r="B2129" s="115"/>
      <c r="C2129" s="115"/>
      <c r="D2129" s="115"/>
      <c r="E2129" s="115"/>
      <c r="F2129" s="115"/>
      <c r="G2129" s="115"/>
      <c r="H2129" s="115"/>
      <c r="I2129" s="115"/>
      <c r="J2129" s="114"/>
      <c r="BB2129" s="117"/>
      <c r="BC2129" s="117"/>
      <c r="BD2129" s="117"/>
    </row>
    <row r="2130" spans="1:56" ht="15">
      <c r="A2130" s="114"/>
      <c r="B2130" s="627" t="s">
        <v>2316</v>
      </c>
      <c r="C2130" s="623"/>
      <c r="D2130" s="623"/>
      <c r="E2130" s="623"/>
      <c r="F2130" s="623"/>
      <c r="G2130" s="623"/>
      <c r="H2130" s="624"/>
      <c r="I2130" s="624"/>
      <c r="J2130" s="625"/>
      <c r="BB2130" s="117"/>
      <c r="BC2130" s="117"/>
      <c r="BD2130" s="117"/>
    </row>
    <row r="2131" spans="1:56" ht="15">
      <c r="A2131" s="114"/>
      <c r="B2131" s="293"/>
      <c r="C2131" s="81"/>
      <c r="D2131" s="81"/>
      <c r="E2131" s="81"/>
      <c r="F2131" s="81"/>
      <c r="G2131" s="81"/>
      <c r="H2131" s="82"/>
      <c r="I2131" s="82"/>
      <c r="J2131" s="114"/>
      <c r="BB2131" s="117"/>
      <c r="BC2131" s="117"/>
      <c r="BD2131" s="117"/>
    </row>
    <row r="2132" spans="1:56" ht="15">
      <c r="A2132" s="114"/>
      <c r="B2132" s="242" t="s">
        <v>97</v>
      </c>
      <c r="C2132" s="199" t="s">
        <v>61</v>
      </c>
      <c r="D2132" s="199" t="s">
        <v>82</v>
      </c>
      <c r="E2132" s="199" t="s">
        <v>66</v>
      </c>
      <c r="F2132" s="199" t="s">
        <v>62</v>
      </c>
      <c r="G2132" s="243" t="s">
        <v>99</v>
      </c>
      <c r="H2132" s="243" t="s">
        <v>68</v>
      </c>
      <c r="I2132" s="82"/>
      <c r="J2132" s="114"/>
      <c r="BB2132" s="117"/>
      <c r="BC2132" s="117"/>
      <c r="BD2132" s="117"/>
    </row>
    <row r="2133" spans="1:56" ht="15">
      <c r="A2133" s="114"/>
      <c r="B2133" s="244" t="s">
        <v>989</v>
      </c>
      <c r="C2133" s="200">
        <v>1</v>
      </c>
      <c r="D2133" s="245">
        <v>0.6</v>
      </c>
      <c r="E2133" s="201">
        <v>0.75</v>
      </c>
      <c r="F2133" s="201">
        <v>36.365000000000002</v>
      </c>
      <c r="G2133" s="202">
        <f t="shared" ref="G2133:G2155" si="174">D2133*E2133*F2133*C2133</f>
        <v>16.364249999999998</v>
      </c>
      <c r="H2133" s="202">
        <f t="shared" ref="H2133:H2155" si="175">((E2133*2)+D2133)*F2133*C2133</f>
        <v>76.366500000000002</v>
      </c>
      <c r="I2133" s="82"/>
      <c r="J2133" s="114"/>
      <c r="BB2133" s="117"/>
      <c r="BC2133" s="117"/>
      <c r="BD2133" s="117"/>
    </row>
    <row r="2134" spans="1:56" ht="15">
      <c r="A2134" s="114"/>
      <c r="B2134" s="244" t="s">
        <v>974</v>
      </c>
      <c r="C2134" s="200">
        <v>1</v>
      </c>
      <c r="D2134" s="245">
        <v>0.8</v>
      </c>
      <c r="E2134" s="201">
        <v>0.85</v>
      </c>
      <c r="F2134" s="201">
        <v>36.064999999999998</v>
      </c>
      <c r="G2134" s="202">
        <f t="shared" ref="G2134:G2137" si="176">D2134*E2134*F2134*C2134</f>
        <v>24.5242</v>
      </c>
      <c r="H2134" s="202">
        <f t="shared" ref="H2134:H2137" si="177">((E2134*2)+D2134)*F2134*C2134</f>
        <v>90.162499999999994</v>
      </c>
      <c r="I2134" s="82"/>
      <c r="J2134" s="114"/>
      <c r="BB2134" s="117"/>
      <c r="BC2134" s="117"/>
      <c r="BD2134" s="117"/>
    </row>
    <row r="2135" spans="1:56" ht="15">
      <c r="A2135" s="114"/>
      <c r="B2135" s="244" t="s">
        <v>982</v>
      </c>
      <c r="C2135" s="200">
        <v>1</v>
      </c>
      <c r="D2135" s="245">
        <v>0.75</v>
      </c>
      <c r="E2135" s="201">
        <v>2</v>
      </c>
      <c r="F2135" s="201">
        <f>36.365-1.5</f>
        <v>34.865000000000002</v>
      </c>
      <c r="G2135" s="202">
        <f t="shared" si="176"/>
        <v>52.297499999999999</v>
      </c>
      <c r="H2135" s="202">
        <f t="shared" si="177"/>
        <v>165.60875000000001</v>
      </c>
      <c r="I2135" s="82"/>
      <c r="J2135" s="114"/>
      <c r="BB2135" s="117"/>
      <c r="BC2135" s="117"/>
      <c r="BD2135" s="117"/>
    </row>
    <row r="2136" spans="1:56" ht="15">
      <c r="A2136" s="114"/>
      <c r="B2136" s="244" t="s">
        <v>983</v>
      </c>
      <c r="C2136" s="200">
        <v>1</v>
      </c>
      <c r="D2136" s="245">
        <v>0.75</v>
      </c>
      <c r="E2136" s="201">
        <v>0.85</v>
      </c>
      <c r="F2136" s="201">
        <f>36.75-1.5</f>
        <v>35.25</v>
      </c>
      <c r="G2136" s="202">
        <f t="shared" si="176"/>
        <v>22.471874999999997</v>
      </c>
      <c r="H2136" s="202">
        <f t="shared" si="177"/>
        <v>86.362500000000011</v>
      </c>
      <c r="I2136" s="82"/>
      <c r="J2136" s="114"/>
      <c r="BB2136" s="117"/>
      <c r="BC2136" s="117"/>
      <c r="BD2136" s="117"/>
    </row>
    <row r="2137" spans="1:56" ht="15">
      <c r="A2137" s="114"/>
      <c r="B2137" s="244" t="s">
        <v>984</v>
      </c>
      <c r="C2137" s="200">
        <v>1</v>
      </c>
      <c r="D2137" s="245">
        <v>0.75</v>
      </c>
      <c r="E2137" s="201">
        <v>0.61250000000000004</v>
      </c>
      <c r="F2137" s="201">
        <v>2.125</v>
      </c>
      <c r="G2137" s="202">
        <f t="shared" si="176"/>
        <v>0.97617187500000002</v>
      </c>
      <c r="H2137" s="202">
        <f t="shared" si="177"/>
        <v>4.1968750000000004</v>
      </c>
      <c r="I2137" s="82"/>
      <c r="J2137" s="114"/>
      <c r="BB2137" s="117"/>
      <c r="BC2137" s="117"/>
      <c r="BD2137" s="117"/>
    </row>
    <row r="2138" spans="1:56" ht="15">
      <c r="A2138" s="114"/>
      <c r="B2138" s="244" t="s">
        <v>985</v>
      </c>
      <c r="C2138" s="200">
        <v>1</v>
      </c>
      <c r="D2138" s="245">
        <v>0.75</v>
      </c>
      <c r="E2138" s="201">
        <v>0.85</v>
      </c>
      <c r="F2138" s="201">
        <f>36.75-1.5</f>
        <v>35.25</v>
      </c>
      <c r="G2138" s="202">
        <f t="shared" ref="G2138:G2139" si="178">D2138*E2138*F2138*C2138</f>
        <v>22.471874999999997</v>
      </c>
      <c r="H2138" s="202">
        <f t="shared" ref="H2138:H2139" si="179">((E2138*2)+D2138)*F2138*C2138</f>
        <v>86.362500000000011</v>
      </c>
      <c r="I2138" s="82"/>
      <c r="J2138" s="114"/>
      <c r="BB2138" s="117"/>
      <c r="BC2138" s="117"/>
      <c r="BD2138" s="117"/>
    </row>
    <row r="2139" spans="1:56" ht="15">
      <c r="A2139" s="114"/>
      <c r="B2139" s="244" t="s">
        <v>986</v>
      </c>
      <c r="C2139" s="200">
        <v>1</v>
      </c>
      <c r="D2139" s="245">
        <v>0.75</v>
      </c>
      <c r="E2139" s="201">
        <v>0.61250000000000004</v>
      </c>
      <c r="F2139" s="201">
        <v>2.125</v>
      </c>
      <c r="G2139" s="202">
        <f t="shared" si="178"/>
        <v>0.97617187500000002</v>
      </c>
      <c r="H2139" s="202">
        <f t="shared" si="179"/>
        <v>4.1968750000000004</v>
      </c>
      <c r="I2139" s="82"/>
      <c r="J2139" s="114"/>
      <c r="BB2139" s="117"/>
      <c r="BC2139" s="117"/>
      <c r="BD2139" s="117"/>
    </row>
    <row r="2140" spans="1:56" ht="15">
      <c r="A2140" s="114"/>
      <c r="B2140" s="244" t="s">
        <v>987</v>
      </c>
      <c r="C2140" s="200">
        <v>1</v>
      </c>
      <c r="D2140" s="245">
        <v>0.75</v>
      </c>
      <c r="E2140" s="201">
        <v>0.85</v>
      </c>
      <c r="F2140" s="201">
        <f>36.75-1.5</f>
        <v>35.25</v>
      </c>
      <c r="G2140" s="202">
        <f t="shared" ref="G2140:G2142" si="180">D2140*E2140*F2140*C2140</f>
        <v>22.471874999999997</v>
      </c>
      <c r="H2140" s="202">
        <f t="shared" ref="H2140:H2142" si="181">((E2140*2)+D2140)*F2140*C2140</f>
        <v>86.362500000000011</v>
      </c>
      <c r="I2140" s="82"/>
      <c r="J2140" s="114"/>
      <c r="BB2140" s="117"/>
      <c r="BC2140" s="117"/>
      <c r="BD2140" s="117"/>
    </row>
    <row r="2141" spans="1:56" ht="15">
      <c r="A2141" s="114"/>
      <c r="B2141" s="244" t="s">
        <v>988</v>
      </c>
      <c r="C2141" s="200">
        <v>1</v>
      </c>
      <c r="D2141" s="245">
        <v>0.75</v>
      </c>
      <c r="E2141" s="201">
        <v>0.61250000000000004</v>
      </c>
      <c r="F2141" s="201">
        <v>2.125</v>
      </c>
      <c r="G2141" s="202">
        <f t="shared" si="180"/>
        <v>0.97617187500000002</v>
      </c>
      <c r="H2141" s="202">
        <f t="shared" si="181"/>
        <v>4.1968750000000004</v>
      </c>
      <c r="I2141" s="82"/>
      <c r="J2141" s="114"/>
      <c r="BB2141" s="117"/>
      <c r="BC2141" s="117"/>
      <c r="BD2141" s="117"/>
    </row>
    <row r="2142" spans="1:56" ht="15">
      <c r="A2142" s="114"/>
      <c r="B2142" s="244" t="s">
        <v>990</v>
      </c>
      <c r="C2142" s="200">
        <v>1</v>
      </c>
      <c r="D2142" s="245">
        <v>0.3</v>
      </c>
      <c r="E2142" s="201">
        <v>1.3</v>
      </c>
      <c r="F2142" s="201">
        <v>24.61</v>
      </c>
      <c r="G2142" s="202">
        <f t="shared" si="180"/>
        <v>9.597900000000001</v>
      </c>
      <c r="H2142" s="202">
        <f t="shared" si="181"/>
        <v>71.369</v>
      </c>
      <c r="I2142" s="82"/>
      <c r="J2142" s="114"/>
      <c r="BB2142" s="117"/>
      <c r="BC2142" s="117"/>
      <c r="BD2142" s="117"/>
    </row>
    <row r="2143" spans="1:56" ht="15">
      <c r="A2143" s="114"/>
      <c r="B2143" s="244" t="s">
        <v>1478</v>
      </c>
      <c r="C2143" s="200">
        <v>1</v>
      </c>
      <c r="D2143" s="245">
        <v>0.52500000000000002</v>
      </c>
      <c r="E2143" s="201">
        <v>1.3</v>
      </c>
      <c r="F2143" s="201">
        <v>24.61</v>
      </c>
      <c r="G2143" s="202">
        <f t="shared" ref="G2143" si="182">D2143*E2143*F2143*C2143</f>
        <v>16.796325000000003</v>
      </c>
      <c r="H2143" s="202">
        <f t="shared" ref="H2143" si="183">((E2143*2)+D2143)*F2143*C2143</f>
        <v>76.90625</v>
      </c>
      <c r="I2143" s="82"/>
      <c r="J2143" s="114"/>
      <c r="BB2143" s="117"/>
      <c r="BC2143" s="117"/>
      <c r="BD2143" s="117"/>
    </row>
    <row r="2144" spans="1:56" ht="15">
      <c r="A2144" s="114"/>
      <c r="B2144" s="244" t="s">
        <v>976</v>
      </c>
      <c r="C2144" s="200">
        <v>1</v>
      </c>
      <c r="D2144" s="245">
        <v>0.36499999999999999</v>
      </c>
      <c r="E2144" s="201">
        <v>0.85</v>
      </c>
      <c r="F2144" s="201">
        <v>41.375</v>
      </c>
      <c r="G2144" s="202">
        <f t="shared" si="174"/>
        <v>12.836593749999999</v>
      </c>
      <c r="H2144" s="202">
        <f t="shared" si="175"/>
        <v>85.439374999999998</v>
      </c>
      <c r="I2144" s="82"/>
      <c r="J2144" s="114"/>
      <c r="BB2144" s="117"/>
      <c r="BC2144" s="117"/>
      <c r="BD2144" s="117"/>
    </row>
    <row r="2145" spans="1:56" ht="15">
      <c r="A2145" s="114"/>
      <c r="B2145" s="244" t="s">
        <v>977</v>
      </c>
      <c r="C2145" s="200">
        <v>1</v>
      </c>
      <c r="D2145" s="245">
        <v>0.75</v>
      </c>
      <c r="E2145" s="201">
        <v>0.85</v>
      </c>
      <c r="F2145" s="201">
        <v>41.375</v>
      </c>
      <c r="G2145" s="202">
        <f t="shared" si="174"/>
        <v>26.376562499999999</v>
      </c>
      <c r="H2145" s="202">
        <f t="shared" si="175"/>
        <v>101.36875000000001</v>
      </c>
      <c r="I2145" s="82"/>
      <c r="J2145" s="114"/>
      <c r="BB2145" s="117"/>
      <c r="BC2145" s="117"/>
      <c r="BD2145" s="117"/>
    </row>
    <row r="2146" spans="1:56" ht="15">
      <c r="A2146" s="114"/>
      <c r="B2146" s="244" t="s">
        <v>978</v>
      </c>
      <c r="C2146" s="200">
        <v>1</v>
      </c>
      <c r="D2146" s="245">
        <v>0.9</v>
      </c>
      <c r="E2146" s="201">
        <v>0.85</v>
      </c>
      <c r="F2146" s="201">
        <v>6.37</v>
      </c>
      <c r="G2146" s="202">
        <f t="shared" si="174"/>
        <v>4.8730500000000001</v>
      </c>
      <c r="H2146" s="202">
        <f t="shared" si="175"/>
        <v>16.562000000000001</v>
      </c>
      <c r="I2146" s="82"/>
      <c r="J2146" s="114"/>
      <c r="BB2146" s="117"/>
      <c r="BC2146" s="117"/>
      <c r="BD2146" s="117"/>
    </row>
    <row r="2147" spans="1:56" ht="15">
      <c r="A2147" s="114"/>
      <c r="B2147" s="244" t="s">
        <v>1479</v>
      </c>
      <c r="C2147" s="200">
        <v>1</v>
      </c>
      <c r="D2147" s="245">
        <v>0.9</v>
      </c>
      <c r="E2147" s="201">
        <v>0.8</v>
      </c>
      <c r="F2147" s="201">
        <v>4.6500000000000004</v>
      </c>
      <c r="G2147" s="202">
        <f t="shared" ref="G2147:G2149" si="184">D2147*E2147*F2147*C2147</f>
        <v>3.3480000000000008</v>
      </c>
      <c r="H2147" s="202">
        <f t="shared" ref="H2147:H2149" si="185">((E2147*2)+D2147)*F2147*C2147</f>
        <v>11.625</v>
      </c>
      <c r="I2147" s="82"/>
      <c r="J2147" s="114"/>
      <c r="BB2147" s="117"/>
      <c r="BC2147" s="117"/>
      <c r="BD2147" s="117"/>
    </row>
    <row r="2148" spans="1:56" ht="15">
      <c r="A2148" s="114"/>
      <c r="B2148" s="244" t="s">
        <v>979</v>
      </c>
      <c r="C2148" s="200">
        <v>1</v>
      </c>
      <c r="D2148" s="245">
        <v>0.75</v>
      </c>
      <c r="E2148" s="201">
        <v>0.85</v>
      </c>
      <c r="F2148" s="201">
        <v>41.15</v>
      </c>
      <c r="G2148" s="202">
        <f t="shared" si="184"/>
        <v>26.233124999999998</v>
      </c>
      <c r="H2148" s="202">
        <f t="shared" si="185"/>
        <v>100.81750000000001</v>
      </c>
      <c r="I2148" s="82"/>
      <c r="J2148" s="114"/>
      <c r="BB2148" s="117"/>
      <c r="BC2148" s="117"/>
      <c r="BD2148" s="117"/>
    </row>
    <row r="2149" spans="1:56" ht="15">
      <c r="A2149" s="114"/>
      <c r="B2149" s="244" t="s">
        <v>980</v>
      </c>
      <c r="C2149" s="200">
        <v>1</v>
      </c>
      <c r="D2149" s="245">
        <v>0.9</v>
      </c>
      <c r="E2149" s="201">
        <v>0.85</v>
      </c>
      <c r="F2149" s="201">
        <v>6.37</v>
      </c>
      <c r="G2149" s="202">
        <f t="shared" si="184"/>
        <v>4.8730500000000001</v>
      </c>
      <c r="H2149" s="202">
        <f t="shared" si="185"/>
        <v>16.562000000000001</v>
      </c>
      <c r="I2149" s="82"/>
      <c r="J2149" s="114"/>
      <c r="BB2149" s="117"/>
      <c r="BC2149" s="117"/>
      <c r="BD2149" s="117"/>
    </row>
    <row r="2150" spans="1:56" ht="15">
      <c r="A2150" s="114"/>
      <c r="B2150" s="244" t="s">
        <v>1480</v>
      </c>
      <c r="C2150" s="200">
        <v>1</v>
      </c>
      <c r="D2150" s="245">
        <v>0.9</v>
      </c>
      <c r="E2150" s="201">
        <v>0.8</v>
      </c>
      <c r="F2150" s="201">
        <v>4.6500000000000004</v>
      </c>
      <c r="G2150" s="202">
        <f t="shared" ref="G2150" si="186">D2150*E2150*F2150*C2150</f>
        <v>3.3480000000000008</v>
      </c>
      <c r="H2150" s="202">
        <f t="shared" ref="H2150" si="187">((E2150*2)+D2150)*F2150*C2150</f>
        <v>11.625</v>
      </c>
      <c r="I2150" s="82"/>
      <c r="J2150" s="114"/>
      <c r="BB2150" s="117"/>
      <c r="BC2150" s="117"/>
      <c r="BD2150" s="117"/>
    </row>
    <row r="2151" spans="1:56" ht="15">
      <c r="A2151" s="114"/>
      <c r="B2151" s="244" t="s">
        <v>981</v>
      </c>
      <c r="C2151" s="200">
        <v>1</v>
      </c>
      <c r="D2151" s="245">
        <v>0.75</v>
      </c>
      <c r="E2151" s="201">
        <v>2</v>
      </c>
      <c r="F2151" s="201">
        <v>41.15</v>
      </c>
      <c r="G2151" s="202">
        <f t="shared" si="174"/>
        <v>61.724999999999994</v>
      </c>
      <c r="H2151" s="202">
        <f t="shared" si="175"/>
        <v>195.46250000000001</v>
      </c>
      <c r="I2151" s="82"/>
      <c r="J2151" s="114"/>
      <c r="BB2151" s="117"/>
      <c r="BC2151" s="117"/>
      <c r="BD2151" s="117"/>
    </row>
    <row r="2152" spans="1:56" ht="15">
      <c r="A2152" s="114"/>
      <c r="B2152" s="244" t="s">
        <v>991</v>
      </c>
      <c r="C2152" s="200">
        <v>1</v>
      </c>
      <c r="D2152" s="245">
        <v>0.33</v>
      </c>
      <c r="E2152" s="201">
        <v>0.85</v>
      </c>
      <c r="F2152" s="201">
        <v>11.75</v>
      </c>
      <c r="G2152" s="202">
        <f t="shared" si="174"/>
        <v>3.2958750000000001</v>
      </c>
      <c r="H2152" s="202">
        <f t="shared" si="175"/>
        <v>23.852499999999999</v>
      </c>
      <c r="I2152" s="82"/>
      <c r="J2152" s="114"/>
      <c r="BB2152" s="117"/>
      <c r="BC2152" s="117"/>
      <c r="BD2152" s="117"/>
    </row>
    <row r="2153" spans="1:56" ht="15">
      <c r="A2153" s="114"/>
      <c r="B2153" s="244" t="s">
        <v>992</v>
      </c>
      <c r="C2153" s="200">
        <v>1</v>
      </c>
      <c r="D2153" s="245">
        <v>0.33</v>
      </c>
      <c r="E2153" s="201">
        <v>0.85</v>
      </c>
      <c r="F2153" s="201">
        <v>11.75</v>
      </c>
      <c r="G2153" s="202">
        <f t="shared" si="174"/>
        <v>3.2958750000000001</v>
      </c>
      <c r="H2153" s="202">
        <f t="shared" si="175"/>
        <v>23.852499999999999</v>
      </c>
      <c r="I2153" s="82"/>
      <c r="J2153" s="114"/>
      <c r="BB2153" s="117"/>
      <c r="BC2153" s="117"/>
      <c r="BD2153" s="117"/>
    </row>
    <row r="2154" spans="1:56" ht="15">
      <c r="A2154" s="114"/>
      <c r="B2154" s="244" t="s">
        <v>993</v>
      </c>
      <c r="C2154" s="200">
        <v>1</v>
      </c>
      <c r="D2154" s="245">
        <v>0.4</v>
      </c>
      <c r="E2154" s="201">
        <v>0.85</v>
      </c>
      <c r="F2154" s="201">
        <v>10.79</v>
      </c>
      <c r="G2154" s="202">
        <f t="shared" si="174"/>
        <v>3.6686000000000001</v>
      </c>
      <c r="H2154" s="202">
        <f t="shared" si="175"/>
        <v>22.658999999999999</v>
      </c>
      <c r="I2154" s="82"/>
      <c r="J2154" s="114"/>
      <c r="BB2154" s="117"/>
      <c r="BC2154" s="117"/>
      <c r="BD2154" s="117"/>
    </row>
    <row r="2155" spans="1:56" ht="15">
      <c r="A2155" s="114"/>
      <c r="B2155" s="244" t="s">
        <v>994</v>
      </c>
      <c r="C2155" s="200">
        <v>1</v>
      </c>
      <c r="D2155" s="245">
        <v>0.2</v>
      </c>
      <c r="E2155" s="201">
        <v>0.5</v>
      </c>
      <c r="F2155" s="201">
        <v>3.86</v>
      </c>
      <c r="G2155" s="202">
        <f t="shared" si="174"/>
        <v>0.38600000000000001</v>
      </c>
      <c r="H2155" s="202">
        <f t="shared" si="175"/>
        <v>4.6319999999999997</v>
      </c>
      <c r="I2155" s="82"/>
      <c r="J2155" s="114"/>
      <c r="BB2155" s="117"/>
      <c r="BC2155" s="117"/>
      <c r="BD2155" s="117"/>
    </row>
    <row r="2156" spans="1:56" ht="15">
      <c r="A2156" s="114"/>
      <c r="B2156" s="244" t="s">
        <v>1481</v>
      </c>
      <c r="C2156" s="200">
        <v>1</v>
      </c>
      <c r="D2156" s="245">
        <v>0.5</v>
      </c>
      <c r="E2156" s="201">
        <v>0.52500000000000002</v>
      </c>
      <c r="F2156" s="201">
        <v>16.8</v>
      </c>
      <c r="G2156" s="202">
        <f t="shared" ref="G2156" si="188">D2156*E2156*F2156*C2156</f>
        <v>4.41</v>
      </c>
      <c r="H2156" s="202">
        <f t="shared" ref="H2156" si="189">((E2156*2)+D2156)*F2156*C2156</f>
        <v>26.040000000000003</v>
      </c>
      <c r="I2156" s="82"/>
      <c r="J2156" s="114"/>
      <c r="BB2156" s="117"/>
      <c r="BC2156" s="117"/>
      <c r="BD2156" s="117"/>
    </row>
    <row r="2157" spans="1:56" ht="15">
      <c r="A2157" s="114"/>
      <c r="B2157" s="244" t="s">
        <v>1482</v>
      </c>
      <c r="C2157" s="200">
        <v>1</v>
      </c>
      <c r="D2157" s="245">
        <v>0.5</v>
      </c>
      <c r="E2157" s="201">
        <v>0.52500000000000002</v>
      </c>
      <c r="F2157" s="201">
        <v>13.07</v>
      </c>
      <c r="G2157" s="202">
        <f t="shared" ref="G2157" si="190">D2157*E2157*F2157*C2157</f>
        <v>3.4308750000000003</v>
      </c>
      <c r="H2157" s="202">
        <f t="shared" ref="H2157" si="191">((E2157*2)+D2157)*F2157*C2157</f>
        <v>20.258500000000002</v>
      </c>
      <c r="I2157" s="82"/>
      <c r="J2157" s="114"/>
      <c r="BB2157" s="117"/>
      <c r="BC2157" s="117"/>
      <c r="BD2157" s="117"/>
    </row>
    <row r="2158" spans="1:56" ht="15">
      <c r="A2158" s="114"/>
      <c r="B2158" s="114"/>
      <c r="C2158" s="114"/>
      <c r="D2158" s="114"/>
      <c r="E2158" s="114"/>
      <c r="F2158" s="254" t="s">
        <v>76</v>
      </c>
      <c r="G2158" s="258">
        <f>SUM(G2133:G2157)</f>
        <v>352.02492187500008</v>
      </c>
      <c r="H2158" s="258">
        <f>SUM(H2133:H2157)</f>
        <v>1412.8477499999999</v>
      </c>
      <c r="I2158" s="82"/>
      <c r="J2158" s="114"/>
      <c r="BB2158" s="117"/>
      <c r="BC2158" s="117"/>
      <c r="BD2158" s="117"/>
    </row>
    <row r="2159" spans="1:56" ht="15">
      <c r="A2159" s="114"/>
      <c r="B2159" s="114"/>
      <c r="C2159" s="114"/>
      <c r="D2159" s="114"/>
      <c r="E2159" s="114"/>
      <c r="F2159" s="114"/>
      <c r="G2159" s="114"/>
      <c r="H2159" s="114"/>
      <c r="I2159" s="82"/>
      <c r="J2159" s="114"/>
      <c r="BB2159" s="117"/>
      <c r="BC2159" s="117"/>
      <c r="BD2159" s="117"/>
    </row>
    <row r="2160" spans="1:56">
      <c r="A2160" s="114"/>
      <c r="B2160" s="242" t="s">
        <v>1526</v>
      </c>
      <c r="C2160" s="199" t="s">
        <v>61</v>
      </c>
      <c r="D2160" s="199" t="s">
        <v>155</v>
      </c>
      <c r="E2160" s="199" t="s">
        <v>82</v>
      </c>
      <c r="F2160" s="199" t="s">
        <v>62</v>
      </c>
      <c r="G2160" s="243" t="s">
        <v>99</v>
      </c>
      <c r="H2160" s="243" t="s">
        <v>68</v>
      </c>
      <c r="I2160" s="115"/>
      <c r="J2160" s="82"/>
      <c r="BC2160" s="117"/>
      <c r="BD2160" s="117"/>
    </row>
    <row r="2161" spans="1:56">
      <c r="A2161" s="114"/>
      <c r="B2161" s="244" t="s">
        <v>1528</v>
      </c>
      <c r="C2161" s="200">
        <v>32</v>
      </c>
      <c r="D2161" s="629">
        <v>0.125</v>
      </c>
      <c r="E2161" s="245">
        <v>0.52500000000000002</v>
      </c>
      <c r="F2161" s="245">
        <v>2.125</v>
      </c>
      <c r="G2161" s="202">
        <f t="shared" ref="G2161:G2164" si="192">D2161*E2161*F2161*C2161</f>
        <v>4.4625000000000004</v>
      </c>
      <c r="H2161" s="202">
        <f t="shared" ref="H2161:H2164" si="193">((E2161*2)+D2161)*F2161*C2161</f>
        <v>79.900000000000006</v>
      </c>
      <c r="I2161" s="115"/>
      <c r="J2161" s="82"/>
      <c r="BC2161" s="117"/>
      <c r="BD2161" s="117"/>
    </row>
    <row r="2162" spans="1:56">
      <c r="A2162" s="114"/>
      <c r="B2162" s="244" t="s">
        <v>1527</v>
      </c>
      <c r="C2162" s="200">
        <v>1</v>
      </c>
      <c r="D2162" s="629">
        <v>0.2</v>
      </c>
      <c r="E2162" s="245">
        <v>0.52500000000000002</v>
      </c>
      <c r="F2162" s="245">
        <v>2.125</v>
      </c>
      <c r="G2162" s="202">
        <f t="shared" si="192"/>
        <v>0.22312500000000002</v>
      </c>
      <c r="H2162" s="202">
        <f t="shared" si="193"/>
        <v>2.65625</v>
      </c>
      <c r="I2162" s="115"/>
      <c r="J2162" s="82"/>
      <c r="BC2162" s="117"/>
      <c r="BD2162" s="117"/>
    </row>
    <row r="2163" spans="1:56">
      <c r="A2163" s="114"/>
      <c r="B2163" s="244" t="s">
        <v>1529</v>
      </c>
      <c r="C2163" s="200">
        <v>2</v>
      </c>
      <c r="D2163" s="630">
        <v>0.1125</v>
      </c>
      <c r="E2163" s="245">
        <v>0.52500000000000002</v>
      </c>
      <c r="F2163" s="245">
        <v>2.125</v>
      </c>
      <c r="G2163" s="202">
        <f t="shared" si="192"/>
        <v>0.25101562500000002</v>
      </c>
      <c r="H2163" s="202">
        <f t="shared" si="193"/>
        <v>4.9406250000000007</v>
      </c>
      <c r="I2163" s="115"/>
      <c r="J2163" s="82"/>
      <c r="BC2163" s="117"/>
      <c r="BD2163" s="117"/>
    </row>
    <row r="2164" spans="1:56">
      <c r="A2164" s="114"/>
      <c r="B2164" s="244" t="s">
        <v>1530</v>
      </c>
      <c r="C2164" s="200">
        <v>2</v>
      </c>
      <c r="D2164" s="630">
        <v>0.13750000000000001</v>
      </c>
      <c r="E2164" s="245">
        <v>0.52500000000000002</v>
      </c>
      <c r="F2164" s="245">
        <v>2.125</v>
      </c>
      <c r="G2164" s="202">
        <f t="shared" si="192"/>
        <v>0.30679687500000008</v>
      </c>
      <c r="H2164" s="202">
        <f t="shared" si="193"/>
        <v>5.046875</v>
      </c>
      <c r="I2164" s="115"/>
      <c r="J2164" s="82"/>
      <c r="BC2164" s="117"/>
      <c r="BD2164" s="117"/>
    </row>
    <row r="2165" spans="1:56" ht="15">
      <c r="A2165" s="114"/>
      <c r="B2165" s="114"/>
      <c r="C2165" s="114"/>
      <c r="D2165" s="114"/>
      <c r="E2165" s="117"/>
      <c r="F2165" s="254" t="s">
        <v>767</v>
      </c>
      <c r="G2165" s="258">
        <f>SUM(G2161:G2164)</f>
        <v>5.2434374999999998</v>
      </c>
      <c r="H2165" s="258">
        <f>SUM(H2161:H2164)</f>
        <v>92.543750000000003</v>
      </c>
      <c r="I2165" s="82"/>
      <c r="J2165" s="114"/>
      <c r="BB2165" s="117"/>
      <c r="BC2165" s="117"/>
      <c r="BD2165" s="117"/>
    </row>
    <row r="2166" spans="1:56" ht="15">
      <c r="A2166" s="114"/>
      <c r="B2166" s="114"/>
      <c r="C2166" s="114"/>
      <c r="D2166" s="114"/>
      <c r="E2166" s="114"/>
      <c r="F2166" s="114"/>
      <c r="G2166" s="114"/>
      <c r="H2166" s="114"/>
      <c r="I2166" s="82"/>
      <c r="J2166" s="114"/>
      <c r="BB2166" s="117"/>
      <c r="BC2166" s="117"/>
      <c r="BD2166" s="117"/>
    </row>
    <row r="2167" spans="1:56">
      <c r="A2167" s="114"/>
      <c r="B2167" s="242" t="s">
        <v>93</v>
      </c>
      <c r="C2167" s="199" t="s">
        <v>61</v>
      </c>
      <c r="D2167" s="199" t="s">
        <v>82</v>
      </c>
      <c r="E2167" s="199" t="s">
        <v>768</v>
      </c>
      <c r="F2167" s="243" t="s">
        <v>99</v>
      </c>
      <c r="G2167" s="243" t="s">
        <v>68</v>
      </c>
      <c r="H2167" s="115"/>
      <c r="I2167" s="82"/>
      <c r="J2167" s="114"/>
      <c r="BB2167" s="117"/>
      <c r="BC2167" s="117"/>
      <c r="BD2167" s="117"/>
    </row>
    <row r="2168" spans="1:56">
      <c r="A2168" s="114"/>
      <c r="B2168" s="244" t="s">
        <v>1531</v>
      </c>
      <c r="C2168" s="200">
        <v>1</v>
      </c>
      <c r="D2168" s="245">
        <v>0.1</v>
      </c>
      <c r="E2168" s="245">
        <f>51.05+0.69+0.69+0.69+0.4781</f>
        <v>53.598099999999988</v>
      </c>
      <c r="F2168" s="202">
        <f t="shared" ref="F2168" si="194">D2168*E2168</f>
        <v>5.3598099999999995</v>
      </c>
      <c r="G2168" s="202">
        <f t="shared" ref="G2168" si="195">E2168</f>
        <v>53.598099999999988</v>
      </c>
      <c r="H2168" s="115"/>
      <c r="I2168" s="82"/>
      <c r="J2168" s="114"/>
      <c r="BB2168" s="117"/>
      <c r="BC2168" s="117"/>
      <c r="BD2168" s="117"/>
    </row>
    <row r="2169" spans="1:56">
      <c r="A2169" s="114"/>
      <c r="B2169" s="244" t="s">
        <v>1510</v>
      </c>
      <c r="C2169" s="200">
        <v>1</v>
      </c>
      <c r="D2169" s="245">
        <v>0.12</v>
      </c>
      <c r="E2169" s="245">
        <f>20.78+26.964+33.07+3.7846+11.1168</f>
        <v>95.715399999999988</v>
      </c>
      <c r="F2169" s="202">
        <f t="shared" ref="F2169:F2172" si="196">D2169*E2169</f>
        <v>11.485847999999999</v>
      </c>
      <c r="G2169" s="202">
        <f t="shared" ref="G2169:G2172" si="197">E2169</f>
        <v>95.715399999999988</v>
      </c>
      <c r="H2169" s="115"/>
      <c r="I2169" s="82"/>
      <c r="J2169" s="114"/>
      <c r="BB2169" s="117"/>
      <c r="BC2169" s="117"/>
      <c r="BD2169" s="117"/>
    </row>
    <row r="2170" spans="1:56">
      <c r="A2170" s="114"/>
      <c r="B2170" s="244" t="s">
        <v>1516</v>
      </c>
      <c r="C2170" s="200">
        <v>1</v>
      </c>
      <c r="D2170" s="245">
        <v>0.52500000000000002</v>
      </c>
      <c r="E2170" s="245">
        <f>24.33-4.8875</f>
        <v>19.442499999999999</v>
      </c>
      <c r="F2170" s="202">
        <f t="shared" si="196"/>
        <v>10.2073125</v>
      </c>
      <c r="G2170" s="202">
        <f t="shared" si="197"/>
        <v>19.442499999999999</v>
      </c>
      <c r="H2170" s="115"/>
      <c r="I2170" s="82"/>
      <c r="J2170" s="114"/>
      <c r="BB2170" s="117"/>
      <c r="BC2170" s="117"/>
      <c r="BD2170" s="117"/>
    </row>
    <row r="2171" spans="1:56">
      <c r="A2171" s="114"/>
      <c r="B2171" s="244" t="s">
        <v>2143</v>
      </c>
      <c r="C2171" s="200">
        <v>1</v>
      </c>
      <c r="D2171" s="245">
        <v>0.35</v>
      </c>
      <c r="E2171" s="245">
        <v>4.8875000000000002</v>
      </c>
      <c r="F2171" s="202">
        <f t="shared" ref="F2171" si="198">D2171*E2171</f>
        <v>1.7106250000000001</v>
      </c>
      <c r="G2171" s="202">
        <f t="shared" ref="G2171" si="199">E2171</f>
        <v>4.8875000000000002</v>
      </c>
      <c r="H2171" s="115"/>
      <c r="I2171" s="82"/>
      <c r="J2171" s="114"/>
      <c r="BB2171" s="117"/>
      <c r="BC2171" s="117"/>
      <c r="BD2171" s="117"/>
    </row>
    <row r="2172" spans="1:56">
      <c r="A2172" s="114"/>
      <c r="B2172" s="244" t="s">
        <v>1517</v>
      </c>
      <c r="C2172" s="200">
        <v>1</v>
      </c>
      <c r="D2172" s="245">
        <v>0.58750000000000002</v>
      </c>
      <c r="E2172" s="245">
        <f>4.6+5.155+4.6+5.155</f>
        <v>19.509999999999998</v>
      </c>
      <c r="F2172" s="202">
        <f t="shared" si="196"/>
        <v>11.462124999999999</v>
      </c>
      <c r="G2172" s="202">
        <f t="shared" si="197"/>
        <v>19.509999999999998</v>
      </c>
      <c r="H2172" s="115"/>
      <c r="I2172" s="82"/>
      <c r="J2172" s="114"/>
      <c r="BB2172" s="117"/>
      <c r="BC2172" s="117"/>
      <c r="BD2172" s="117"/>
    </row>
    <row r="2173" spans="1:56">
      <c r="A2173" s="114"/>
      <c r="B2173" s="114"/>
      <c r="C2173" s="114"/>
      <c r="D2173" s="114"/>
      <c r="E2173" s="254" t="s">
        <v>767</v>
      </c>
      <c r="F2173" s="258">
        <f>SUM(F2168:F2172)</f>
        <v>40.225720500000001</v>
      </c>
      <c r="G2173" s="258">
        <f>SUM(G2168:G2172)</f>
        <v>193.15349999999995</v>
      </c>
      <c r="H2173" s="115"/>
      <c r="I2173" s="82"/>
      <c r="J2173" s="114"/>
      <c r="BB2173" s="117"/>
      <c r="BC2173" s="117"/>
      <c r="BD2173" s="117"/>
    </row>
    <row r="2174" spans="1:56" s="259" customFormat="1" ht="15">
      <c r="A2174" s="114"/>
      <c r="B2174" s="293"/>
      <c r="C2174" s="81"/>
      <c r="D2174" s="81"/>
      <c r="E2174" s="81"/>
      <c r="F2174" s="349"/>
      <c r="G2174" s="81"/>
      <c r="H2174" s="82"/>
      <c r="I2174" s="82"/>
      <c r="J2174" s="114"/>
      <c r="K2174" s="114"/>
      <c r="L2174" s="114"/>
      <c r="M2174" s="114"/>
      <c r="N2174" s="114"/>
      <c r="O2174" s="114"/>
      <c r="P2174" s="114"/>
      <c r="Q2174" s="114"/>
      <c r="R2174" s="114"/>
      <c r="S2174" s="114"/>
      <c r="T2174" s="114"/>
      <c r="U2174" s="114"/>
      <c r="V2174" s="114"/>
      <c r="W2174" s="114"/>
      <c r="X2174" s="114"/>
      <c r="Y2174" s="114"/>
      <c r="Z2174" s="114"/>
      <c r="AA2174" s="114"/>
      <c r="AB2174" s="114"/>
      <c r="AC2174" s="114"/>
      <c r="AD2174" s="114"/>
      <c r="AE2174" s="114"/>
      <c r="AF2174" s="114"/>
      <c r="AG2174" s="114"/>
      <c r="AH2174" s="114"/>
      <c r="AI2174" s="114"/>
      <c r="AJ2174" s="114"/>
      <c r="AK2174" s="114"/>
      <c r="AL2174" s="114"/>
      <c r="AM2174" s="114"/>
      <c r="AN2174" s="114"/>
      <c r="AO2174" s="114"/>
      <c r="AP2174" s="114"/>
      <c r="AQ2174" s="114"/>
      <c r="AR2174" s="114"/>
      <c r="AS2174" s="114"/>
      <c r="AT2174" s="114"/>
      <c r="AU2174" s="114"/>
      <c r="AV2174" s="114"/>
      <c r="AW2174" s="114"/>
      <c r="AX2174" s="114"/>
      <c r="AY2174" s="114"/>
      <c r="AZ2174" s="114"/>
      <c r="BA2174" s="114"/>
    </row>
    <row r="2175" spans="1:56">
      <c r="A2175" s="114"/>
      <c r="B2175" s="242" t="s">
        <v>1512</v>
      </c>
      <c r="C2175" s="199" t="s">
        <v>61</v>
      </c>
      <c r="D2175" s="199" t="s">
        <v>768</v>
      </c>
      <c r="E2175" s="199" t="s">
        <v>769</v>
      </c>
      <c r="F2175" s="199" t="s">
        <v>1511</v>
      </c>
      <c r="G2175" s="243" t="s">
        <v>63</v>
      </c>
      <c r="H2175" s="243" t="s">
        <v>1674</v>
      </c>
      <c r="I2175" s="243" t="s">
        <v>1513</v>
      </c>
      <c r="J2175" s="115"/>
      <c r="K2175" s="115"/>
      <c r="L2175" s="82"/>
    </row>
    <row r="2176" spans="1:56">
      <c r="A2176" s="114"/>
      <c r="B2176" s="244" t="s">
        <v>770</v>
      </c>
      <c r="C2176" s="200">
        <v>1</v>
      </c>
      <c r="D2176" s="245">
        <f>54.08+60.35+56.057+60.47+67.177+62.7+155.6875+155.6875+155.6875+134.5375+134.5375+143.9375+143.9375+143.9375+51.99+51.99+51.99</f>
        <v>1684.7540000000001</v>
      </c>
      <c r="E2176" s="245">
        <v>0.81</v>
      </c>
      <c r="F2176" s="245">
        <v>0.223</v>
      </c>
      <c r="G2176" s="350">
        <f>F2176*D2176</f>
        <v>375.70014200000003</v>
      </c>
      <c r="H2176" s="350">
        <f>D2176</f>
        <v>1684.7540000000001</v>
      </c>
      <c r="I2176" s="350">
        <f>D2176/E2176</f>
        <v>2079.9432098765433</v>
      </c>
      <c r="J2176" s="115"/>
      <c r="K2176" s="115"/>
      <c r="L2176" s="82"/>
    </row>
    <row r="2177" spans="1:56" ht="15">
      <c r="A2177" s="114"/>
      <c r="B2177" s="114"/>
      <c r="C2177" s="114"/>
      <c r="D2177" s="114"/>
      <c r="E2177" s="117"/>
      <c r="F2177" s="254" t="s">
        <v>767</v>
      </c>
      <c r="G2177" s="258">
        <f>G2176</f>
        <v>375.70014200000003</v>
      </c>
      <c r="H2177" s="650">
        <f>H2176</f>
        <v>1684.7540000000001</v>
      </c>
      <c r="I2177" s="258">
        <f>I2176</f>
        <v>2079.9432098765433</v>
      </c>
      <c r="J2177" s="82"/>
      <c r="BC2177" s="117"/>
      <c r="BD2177" s="117"/>
    </row>
    <row r="2178" spans="1:56" ht="15">
      <c r="A2178" s="114"/>
      <c r="B2178" s="114"/>
      <c r="C2178" s="114"/>
      <c r="D2178" s="114"/>
      <c r="E2178" s="114"/>
      <c r="F2178" s="114"/>
      <c r="G2178" s="114"/>
      <c r="H2178" s="114"/>
      <c r="I2178" s="82"/>
      <c r="J2178" s="114"/>
      <c r="BB2178" s="117"/>
      <c r="BC2178" s="117"/>
      <c r="BD2178" s="117"/>
    </row>
    <row r="2179" spans="1:56" ht="15">
      <c r="A2179" s="114"/>
      <c r="B2179" s="293"/>
      <c r="C2179" s="81"/>
      <c r="D2179" s="81"/>
      <c r="E2179" s="81"/>
      <c r="F2179" s="349"/>
      <c r="G2179" s="81"/>
      <c r="H2179" s="82"/>
      <c r="I2179" s="82"/>
      <c r="J2179" s="114"/>
      <c r="BB2179" s="117"/>
      <c r="BC2179" s="117"/>
      <c r="BD2179" s="117"/>
    </row>
    <row r="2180" spans="1:56" ht="15">
      <c r="A2180" s="114"/>
      <c r="B2180" s="627" t="s">
        <v>2317</v>
      </c>
      <c r="C2180" s="623"/>
      <c r="D2180" s="623"/>
      <c r="E2180" s="623"/>
      <c r="F2180" s="623"/>
      <c r="G2180" s="623"/>
      <c r="H2180" s="624"/>
      <c r="I2180" s="624"/>
      <c r="J2180" s="625"/>
      <c r="BB2180" s="117"/>
      <c r="BC2180" s="117"/>
      <c r="BD2180" s="117"/>
    </row>
    <row r="2181" spans="1:56" ht="15">
      <c r="A2181" s="114"/>
      <c r="B2181" s="293"/>
      <c r="C2181" s="81"/>
      <c r="D2181" s="81"/>
      <c r="E2181" s="81"/>
      <c r="F2181" s="349"/>
      <c r="G2181" s="81"/>
      <c r="H2181" s="82"/>
      <c r="I2181" s="82"/>
      <c r="J2181" s="114"/>
      <c r="BB2181" s="117"/>
      <c r="BC2181" s="117"/>
      <c r="BD2181" s="117"/>
    </row>
    <row r="2182" spans="1:56" ht="15">
      <c r="A2182" s="114"/>
      <c r="B2182" s="242" t="s">
        <v>97</v>
      </c>
      <c r="C2182" s="199" t="s">
        <v>61</v>
      </c>
      <c r="D2182" s="199" t="s">
        <v>82</v>
      </c>
      <c r="E2182" s="199" t="s">
        <v>66</v>
      </c>
      <c r="F2182" s="199" t="s">
        <v>62</v>
      </c>
      <c r="G2182" s="243" t="s">
        <v>99</v>
      </c>
      <c r="H2182" s="243" t="s">
        <v>68</v>
      </c>
      <c r="I2182" s="82"/>
      <c r="J2182" s="114"/>
      <c r="BB2182" s="117"/>
      <c r="BC2182" s="117"/>
      <c r="BD2182" s="117"/>
    </row>
    <row r="2183" spans="1:56" ht="15">
      <c r="A2183" s="114"/>
      <c r="B2183" s="244" t="s">
        <v>1019</v>
      </c>
      <c r="C2183" s="200">
        <v>1</v>
      </c>
      <c r="D2183" s="245">
        <v>0.2</v>
      </c>
      <c r="E2183" s="201">
        <v>0.35</v>
      </c>
      <c r="F2183" s="201">
        <v>3.1</v>
      </c>
      <c r="G2183" s="202">
        <f t="shared" ref="G2183:G2208" si="200">D2183*E2183*F2183*C2183</f>
        <v>0.21699999999999997</v>
      </c>
      <c r="H2183" s="202">
        <f t="shared" ref="H2183:H2208" si="201">((E2183*2)+D2183)*F2183*C2183</f>
        <v>2.7899999999999996</v>
      </c>
      <c r="I2183" s="82"/>
      <c r="J2183" s="114"/>
      <c r="BB2183" s="117"/>
      <c r="BC2183" s="117"/>
      <c r="BD2183" s="117"/>
    </row>
    <row r="2184" spans="1:56" ht="15">
      <c r="A2184" s="114"/>
      <c r="B2184" s="244" t="s">
        <v>1485</v>
      </c>
      <c r="C2184" s="200">
        <v>1</v>
      </c>
      <c r="D2184" s="245">
        <v>0.2</v>
      </c>
      <c r="E2184" s="201">
        <v>0.6</v>
      </c>
      <c r="F2184" s="201">
        <v>5.57</v>
      </c>
      <c r="G2184" s="202">
        <f t="shared" ref="G2184" si="202">D2184*E2184*F2184*C2184</f>
        <v>0.66839999999999999</v>
      </c>
      <c r="H2184" s="202">
        <f t="shared" ref="H2184" si="203">((E2184*2)+D2184)*F2184*C2184</f>
        <v>7.798</v>
      </c>
      <c r="I2184" s="82"/>
      <c r="J2184" s="114"/>
      <c r="BB2184" s="117"/>
      <c r="BC2184" s="117"/>
      <c r="BD2184" s="117"/>
    </row>
    <row r="2185" spans="1:56" ht="15">
      <c r="A2185" s="114"/>
      <c r="B2185" s="244" t="s">
        <v>1020</v>
      </c>
      <c r="C2185" s="200">
        <v>1</v>
      </c>
      <c r="D2185" s="245">
        <v>0.2</v>
      </c>
      <c r="E2185" s="201">
        <v>0.6</v>
      </c>
      <c r="F2185" s="201">
        <v>5.57</v>
      </c>
      <c r="G2185" s="202">
        <f t="shared" si="200"/>
        <v>0.66839999999999999</v>
      </c>
      <c r="H2185" s="202">
        <f t="shared" si="201"/>
        <v>7.798</v>
      </c>
      <c r="I2185" s="82"/>
      <c r="J2185" s="114"/>
      <c r="BB2185" s="117"/>
      <c r="BC2185" s="117"/>
      <c r="BD2185" s="117"/>
    </row>
    <row r="2186" spans="1:56" ht="15">
      <c r="A2186" s="114"/>
      <c r="B2186" s="244" t="s">
        <v>1021</v>
      </c>
      <c r="C2186" s="200">
        <v>1</v>
      </c>
      <c r="D2186" s="245">
        <v>0.75</v>
      </c>
      <c r="E2186" s="201">
        <v>0.83</v>
      </c>
      <c r="F2186" s="201">
        <v>11.75</v>
      </c>
      <c r="G2186" s="202">
        <f t="shared" si="200"/>
        <v>7.3143749999999992</v>
      </c>
      <c r="H2186" s="202">
        <f t="shared" si="201"/>
        <v>28.317500000000003</v>
      </c>
      <c r="I2186" s="82"/>
      <c r="J2186" s="114"/>
      <c r="BB2186" s="117"/>
      <c r="BC2186" s="117"/>
      <c r="BD2186" s="117"/>
    </row>
    <row r="2187" spans="1:56" ht="15">
      <c r="A2187" s="114"/>
      <c r="B2187" s="244" t="s">
        <v>1022</v>
      </c>
      <c r="C2187" s="200">
        <v>1</v>
      </c>
      <c r="D2187" s="245">
        <v>0.75</v>
      </c>
      <c r="E2187" s="201">
        <v>0.83</v>
      </c>
      <c r="F2187" s="201">
        <v>11.75</v>
      </c>
      <c r="G2187" s="202">
        <f t="shared" si="200"/>
        <v>7.3143749999999992</v>
      </c>
      <c r="H2187" s="202">
        <f t="shared" si="201"/>
        <v>28.317500000000003</v>
      </c>
      <c r="I2187" s="82"/>
      <c r="J2187" s="114"/>
      <c r="BB2187" s="117"/>
      <c r="BC2187" s="117"/>
      <c r="BD2187" s="117"/>
    </row>
    <row r="2188" spans="1:56" ht="15">
      <c r="A2188" s="114"/>
      <c r="B2188" s="244" t="s">
        <v>1023</v>
      </c>
      <c r="C2188" s="200">
        <v>1</v>
      </c>
      <c r="D2188" s="245">
        <v>0.7</v>
      </c>
      <c r="E2188" s="201">
        <v>0.45</v>
      </c>
      <c r="F2188" s="201">
        <f>1.07+11.45</f>
        <v>12.52</v>
      </c>
      <c r="G2188" s="202">
        <f t="shared" si="200"/>
        <v>3.9438</v>
      </c>
      <c r="H2188" s="202">
        <f t="shared" si="201"/>
        <v>20.032</v>
      </c>
      <c r="I2188" s="82"/>
      <c r="J2188" s="114"/>
      <c r="BB2188" s="117"/>
      <c r="BC2188" s="117"/>
      <c r="BD2188" s="117"/>
    </row>
    <row r="2189" spans="1:56" ht="15">
      <c r="A2189" s="114"/>
      <c r="B2189" s="244" t="s">
        <v>1024</v>
      </c>
      <c r="C2189" s="200">
        <v>1</v>
      </c>
      <c r="D2189" s="245">
        <v>0.7</v>
      </c>
      <c r="E2189" s="201">
        <v>0.45</v>
      </c>
      <c r="F2189" s="201">
        <f>11.45+13.25</f>
        <v>24.7</v>
      </c>
      <c r="G2189" s="202">
        <f t="shared" si="200"/>
        <v>7.7805</v>
      </c>
      <c r="H2189" s="202">
        <f t="shared" si="201"/>
        <v>39.520000000000003</v>
      </c>
      <c r="I2189" s="82"/>
      <c r="J2189" s="114"/>
      <c r="BB2189" s="117"/>
      <c r="BC2189" s="117"/>
      <c r="BD2189" s="117"/>
    </row>
    <row r="2190" spans="1:56" ht="15">
      <c r="A2190" s="114"/>
      <c r="B2190" s="244" t="s">
        <v>1025</v>
      </c>
      <c r="C2190" s="200">
        <v>1</v>
      </c>
      <c r="D2190" s="245">
        <v>0.75</v>
      </c>
      <c r="E2190" s="201">
        <v>0.83</v>
      </c>
      <c r="F2190" s="201">
        <f>11.37+11.75+11.75</f>
        <v>34.869999999999997</v>
      </c>
      <c r="G2190" s="202">
        <f t="shared" si="200"/>
        <v>21.706574999999997</v>
      </c>
      <c r="H2190" s="202">
        <f t="shared" si="201"/>
        <v>84.036699999999996</v>
      </c>
      <c r="I2190" s="82"/>
      <c r="J2190" s="114"/>
      <c r="BB2190" s="117"/>
      <c r="BC2190" s="117"/>
      <c r="BD2190" s="117"/>
    </row>
    <row r="2191" spans="1:56" ht="15">
      <c r="A2191" s="114"/>
      <c r="B2191" s="244" t="s">
        <v>1026</v>
      </c>
      <c r="C2191" s="200">
        <v>1</v>
      </c>
      <c r="D2191" s="245">
        <v>1.84</v>
      </c>
      <c r="E2191" s="201">
        <v>0.75</v>
      </c>
      <c r="F2191" s="201">
        <f>36.365-1.8</f>
        <v>34.565000000000005</v>
      </c>
      <c r="G2191" s="202">
        <f t="shared" si="200"/>
        <v>47.699700000000014</v>
      </c>
      <c r="H2191" s="202">
        <f t="shared" si="201"/>
        <v>115.44710000000001</v>
      </c>
      <c r="I2191" s="82"/>
      <c r="J2191" s="114"/>
      <c r="BB2191" s="117"/>
      <c r="BC2191" s="117"/>
      <c r="BD2191" s="117"/>
    </row>
    <row r="2192" spans="1:56" ht="15">
      <c r="A2192" s="114"/>
      <c r="B2192" s="244" t="s">
        <v>1027</v>
      </c>
      <c r="C2192" s="200">
        <v>1</v>
      </c>
      <c r="D2192" s="245">
        <v>0.6</v>
      </c>
      <c r="E2192" s="201">
        <v>0.75</v>
      </c>
      <c r="F2192" s="201">
        <v>36.365000000000002</v>
      </c>
      <c r="G2192" s="202">
        <f t="shared" si="200"/>
        <v>16.364249999999998</v>
      </c>
      <c r="H2192" s="202">
        <f t="shared" si="201"/>
        <v>76.366500000000002</v>
      </c>
      <c r="I2192" s="82"/>
      <c r="J2192" s="114"/>
      <c r="BB2192" s="117"/>
      <c r="BC2192" s="117"/>
      <c r="BD2192" s="117"/>
    </row>
    <row r="2193" spans="1:56" ht="15">
      <c r="A2193" s="114"/>
      <c r="B2193" s="244" t="s">
        <v>1028</v>
      </c>
      <c r="C2193" s="200">
        <v>1</v>
      </c>
      <c r="D2193" s="245">
        <v>0.75</v>
      </c>
      <c r="E2193" s="201">
        <v>0.83</v>
      </c>
      <c r="F2193" s="201">
        <v>11.75</v>
      </c>
      <c r="G2193" s="202">
        <f t="shared" si="200"/>
        <v>7.3143749999999992</v>
      </c>
      <c r="H2193" s="202">
        <f t="shared" si="201"/>
        <v>28.317500000000003</v>
      </c>
      <c r="I2193" s="82"/>
      <c r="J2193" s="114"/>
      <c r="BB2193" s="117"/>
      <c r="BC2193" s="117"/>
      <c r="BD2193" s="117"/>
    </row>
    <row r="2194" spans="1:56" ht="15">
      <c r="A2194" s="114"/>
      <c r="B2194" s="244" t="s">
        <v>1029</v>
      </c>
      <c r="C2194" s="200">
        <v>1</v>
      </c>
      <c r="D2194" s="245">
        <v>0.75</v>
      </c>
      <c r="E2194" s="201">
        <v>0.52500000000000002</v>
      </c>
      <c r="F2194" s="201">
        <v>2.13</v>
      </c>
      <c r="G2194" s="202">
        <f t="shared" si="200"/>
        <v>0.83868750000000003</v>
      </c>
      <c r="H2194" s="202">
        <f t="shared" si="201"/>
        <v>3.8340000000000001</v>
      </c>
      <c r="I2194" s="82"/>
      <c r="J2194" s="114"/>
      <c r="BB2194" s="117"/>
      <c r="BC2194" s="117"/>
      <c r="BD2194" s="117"/>
    </row>
    <row r="2195" spans="1:56" ht="15">
      <c r="A2195" s="114"/>
      <c r="B2195" s="244" t="s">
        <v>1030</v>
      </c>
      <c r="C2195" s="200">
        <v>1</v>
      </c>
      <c r="D2195" s="245">
        <v>0.33</v>
      </c>
      <c r="E2195" s="201">
        <v>0.83</v>
      </c>
      <c r="F2195" s="201">
        <f>7.49+3.86</f>
        <v>11.35</v>
      </c>
      <c r="G2195" s="202">
        <f t="shared" si="200"/>
        <v>3.1087649999999996</v>
      </c>
      <c r="H2195" s="202">
        <f t="shared" si="201"/>
        <v>22.586500000000001</v>
      </c>
      <c r="I2195" s="82"/>
      <c r="J2195" s="114"/>
      <c r="BB2195" s="117"/>
      <c r="BC2195" s="117"/>
      <c r="BD2195" s="117"/>
    </row>
    <row r="2196" spans="1:56" ht="15">
      <c r="A2196" s="114"/>
      <c r="B2196" s="244" t="s">
        <v>1031</v>
      </c>
      <c r="C2196" s="200">
        <v>1</v>
      </c>
      <c r="D2196" s="245">
        <v>0.33</v>
      </c>
      <c r="E2196" s="201">
        <v>0.83</v>
      </c>
      <c r="F2196" s="201">
        <v>11.35</v>
      </c>
      <c r="G2196" s="202">
        <f t="shared" si="200"/>
        <v>3.1087649999999996</v>
      </c>
      <c r="H2196" s="202">
        <f t="shared" si="201"/>
        <v>22.586500000000001</v>
      </c>
      <c r="I2196" s="82"/>
      <c r="J2196" s="114"/>
      <c r="BB2196" s="117"/>
      <c r="BC2196" s="117"/>
      <c r="BD2196" s="117"/>
    </row>
    <row r="2197" spans="1:56" ht="15">
      <c r="A2197" s="114"/>
      <c r="B2197" s="244" t="s">
        <v>1032</v>
      </c>
      <c r="C2197" s="200">
        <v>1</v>
      </c>
      <c r="D2197" s="245">
        <v>0.75</v>
      </c>
      <c r="E2197" s="201">
        <v>0.83</v>
      </c>
      <c r="F2197" s="201">
        <v>11.75</v>
      </c>
      <c r="G2197" s="202">
        <f t="shared" si="200"/>
        <v>7.3143749999999992</v>
      </c>
      <c r="H2197" s="202">
        <f t="shared" si="201"/>
        <v>28.317500000000003</v>
      </c>
      <c r="I2197" s="82"/>
      <c r="J2197" s="114"/>
      <c r="BB2197" s="117"/>
      <c r="BC2197" s="117"/>
      <c r="BD2197" s="117"/>
    </row>
    <row r="2198" spans="1:56" ht="15">
      <c r="A2198" s="114"/>
      <c r="B2198" s="244" t="s">
        <v>1033</v>
      </c>
      <c r="C2198" s="200">
        <v>1</v>
      </c>
      <c r="D2198" s="245">
        <v>0.75</v>
      </c>
      <c r="E2198" s="201">
        <v>0.52500000000000002</v>
      </c>
      <c r="F2198" s="201">
        <v>2.125</v>
      </c>
      <c r="G2198" s="202">
        <f t="shared" si="200"/>
        <v>0.83671875000000007</v>
      </c>
      <c r="H2198" s="202">
        <f t="shared" si="201"/>
        <v>3.8250000000000002</v>
      </c>
      <c r="I2198" s="82"/>
      <c r="J2198" s="114"/>
      <c r="BB2198" s="117"/>
      <c r="BC2198" s="117"/>
      <c r="BD2198" s="117"/>
    </row>
    <row r="2199" spans="1:56" ht="15">
      <c r="A2199" s="114"/>
      <c r="B2199" s="244" t="s">
        <v>1034</v>
      </c>
      <c r="C2199" s="200">
        <v>1</v>
      </c>
      <c r="D2199" s="245">
        <v>0.75</v>
      </c>
      <c r="E2199" s="201">
        <v>0.83</v>
      </c>
      <c r="F2199" s="201">
        <f>11.45+13.25</f>
        <v>24.7</v>
      </c>
      <c r="G2199" s="202">
        <f t="shared" si="200"/>
        <v>15.375749999999998</v>
      </c>
      <c r="H2199" s="202">
        <f t="shared" si="201"/>
        <v>59.527000000000001</v>
      </c>
      <c r="I2199" s="82"/>
      <c r="J2199" s="114"/>
      <c r="BB2199" s="117"/>
      <c r="BC2199" s="117"/>
      <c r="BD2199" s="117"/>
    </row>
    <row r="2200" spans="1:56" ht="15">
      <c r="A2200" s="114"/>
      <c r="B2200" s="244" t="s">
        <v>2268</v>
      </c>
      <c r="C2200" s="200">
        <v>1</v>
      </c>
      <c r="D2200" s="245">
        <v>0.9</v>
      </c>
      <c r="E2200" s="201">
        <v>0.75</v>
      </c>
      <c r="F2200" s="201">
        <v>11.824999999999999</v>
      </c>
      <c r="G2200" s="202">
        <f t="shared" ref="G2200" si="204">D2200*E2200*F2200*C2200</f>
        <v>7.9818749999999996</v>
      </c>
      <c r="H2200" s="202">
        <f t="shared" ref="H2200" si="205">((E2200*2)+D2200)*F2200*C2200</f>
        <v>28.38</v>
      </c>
      <c r="I2200" s="82"/>
      <c r="J2200" s="114"/>
      <c r="BB2200" s="117"/>
      <c r="BC2200" s="117"/>
      <c r="BD2200" s="117"/>
    </row>
    <row r="2201" spans="1:56" ht="15">
      <c r="A2201" s="114"/>
      <c r="B2201" s="244" t="s">
        <v>1035</v>
      </c>
      <c r="C2201" s="200">
        <v>1</v>
      </c>
      <c r="D2201" s="245">
        <v>0.75</v>
      </c>
      <c r="E2201" s="201">
        <v>0.83</v>
      </c>
      <c r="F2201" s="201">
        <f>11.45+13.25</f>
        <v>24.7</v>
      </c>
      <c r="G2201" s="202">
        <f t="shared" si="200"/>
        <v>15.375749999999998</v>
      </c>
      <c r="H2201" s="202">
        <f t="shared" si="201"/>
        <v>59.527000000000001</v>
      </c>
      <c r="I2201" s="82"/>
      <c r="J2201" s="114"/>
      <c r="BB2201" s="117"/>
      <c r="BC2201" s="117"/>
      <c r="BD2201" s="117"/>
    </row>
    <row r="2202" spans="1:56" ht="15">
      <c r="A2202" s="114"/>
      <c r="B2202" s="244" t="s">
        <v>2269</v>
      </c>
      <c r="C2202" s="200">
        <v>1</v>
      </c>
      <c r="D2202" s="245">
        <v>0.75</v>
      </c>
      <c r="E2202" s="201">
        <v>0.83</v>
      </c>
      <c r="F2202" s="201">
        <v>11.824999999999999</v>
      </c>
      <c r="G2202" s="202">
        <f t="shared" ref="G2202" si="206">D2202*E2202*F2202*C2202</f>
        <v>7.3610624999999992</v>
      </c>
      <c r="H2202" s="202">
        <f t="shared" ref="H2202" si="207">((E2202*2)+D2202)*F2202*C2202</f>
        <v>28.498249999999999</v>
      </c>
      <c r="I2202" s="82"/>
      <c r="J2202" s="114"/>
      <c r="BB2202" s="117"/>
      <c r="BC2202" s="117"/>
      <c r="BD2202" s="117"/>
    </row>
    <row r="2203" spans="1:56" ht="15">
      <c r="A2203" s="114"/>
      <c r="B2203" s="244" t="s">
        <v>1036</v>
      </c>
      <c r="C2203" s="200">
        <v>1</v>
      </c>
      <c r="D2203" s="245">
        <v>0.4</v>
      </c>
      <c r="E2203" s="201">
        <v>0.83</v>
      </c>
      <c r="F2203" s="201">
        <v>11.525</v>
      </c>
      <c r="G2203" s="202">
        <f t="shared" si="200"/>
        <v>3.8263000000000003</v>
      </c>
      <c r="H2203" s="202">
        <f t="shared" si="201"/>
        <v>23.741500000000002</v>
      </c>
      <c r="I2203" s="82"/>
      <c r="J2203" s="114"/>
      <c r="BB2203" s="117"/>
      <c r="BC2203" s="117"/>
      <c r="BD2203" s="117"/>
    </row>
    <row r="2204" spans="1:56" ht="15">
      <c r="A2204" s="114"/>
      <c r="B2204" s="244" t="s">
        <v>1037</v>
      </c>
      <c r="C2204" s="200">
        <v>1</v>
      </c>
      <c r="D2204" s="245">
        <v>0.2</v>
      </c>
      <c r="E2204" s="201">
        <v>0.5</v>
      </c>
      <c r="F2204" s="201">
        <v>3.86</v>
      </c>
      <c r="G2204" s="202">
        <f t="shared" si="200"/>
        <v>0.38600000000000001</v>
      </c>
      <c r="H2204" s="202">
        <f t="shared" si="201"/>
        <v>4.6319999999999997</v>
      </c>
      <c r="I2204" s="82"/>
      <c r="J2204" s="114"/>
      <c r="BB2204" s="117"/>
      <c r="BC2204" s="117"/>
      <c r="BD2204" s="117"/>
    </row>
    <row r="2205" spans="1:56" ht="15">
      <c r="A2205" s="114"/>
      <c r="B2205" s="244" t="s">
        <v>1038</v>
      </c>
      <c r="C2205" s="200">
        <v>1</v>
      </c>
      <c r="D2205" s="245">
        <v>0.75</v>
      </c>
      <c r="E2205" s="201">
        <v>0.83</v>
      </c>
      <c r="F2205" s="201">
        <f>4.2+12.25+11.45+13.25</f>
        <v>41.15</v>
      </c>
      <c r="G2205" s="202">
        <f t="shared" si="200"/>
        <v>25.615874999999996</v>
      </c>
      <c r="H2205" s="202">
        <f t="shared" si="201"/>
        <v>99.171500000000009</v>
      </c>
      <c r="I2205" s="82"/>
      <c r="J2205" s="114"/>
      <c r="BB2205" s="117"/>
      <c r="BC2205" s="117"/>
      <c r="BD2205" s="117"/>
    </row>
    <row r="2206" spans="1:56" ht="15">
      <c r="A2206" s="114"/>
      <c r="B2206" s="244" t="s">
        <v>1039</v>
      </c>
      <c r="C2206" s="200">
        <v>1</v>
      </c>
      <c r="D2206" s="245">
        <v>0.5</v>
      </c>
      <c r="E2206" s="201">
        <v>0.52500000000000002</v>
      </c>
      <c r="F2206" s="201">
        <v>17.2</v>
      </c>
      <c r="G2206" s="202">
        <f t="shared" si="200"/>
        <v>4.5149999999999997</v>
      </c>
      <c r="H2206" s="202">
        <f t="shared" si="201"/>
        <v>26.66</v>
      </c>
      <c r="I2206" s="82"/>
      <c r="J2206" s="114"/>
      <c r="BB2206" s="117"/>
      <c r="BC2206" s="117"/>
      <c r="BD2206" s="117"/>
    </row>
    <row r="2207" spans="1:56" ht="15">
      <c r="A2207" s="114"/>
      <c r="B2207" s="244" t="s">
        <v>1040</v>
      </c>
      <c r="C2207" s="200">
        <v>1</v>
      </c>
      <c r="D2207" s="245">
        <v>0.5</v>
      </c>
      <c r="E2207" s="201">
        <v>0.52500000000000002</v>
      </c>
      <c r="F2207" s="201">
        <v>13.475</v>
      </c>
      <c r="G2207" s="202">
        <f t="shared" si="200"/>
        <v>3.5371874999999999</v>
      </c>
      <c r="H2207" s="202">
        <f t="shared" si="201"/>
        <v>20.88625</v>
      </c>
      <c r="I2207" s="82"/>
      <c r="J2207" s="114"/>
      <c r="BB2207" s="117"/>
      <c r="BC2207" s="117"/>
      <c r="BD2207" s="117"/>
    </row>
    <row r="2208" spans="1:56" ht="15">
      <c r="A2208" s="114"/>
      <c r="B2208" s="244" t="s">
        <v>1041</v>
      </c>
      <c r="C2208" s="200">
        <v>1</v>
      </c>
      <c r="D2208" s="245">
        <v>0.75</v>
      </c>
      <c r="E2208" s="201">
        <v>0.52500000000000002</v>
      </c>
      <c r="F2208" s="201">
        <v>2.125</v>
      </c>
      <c r="G2208" s="202">
        <f t="shared" si="200"/>
        <v>0.83671875000000007</v>
      </c>
      <c r="H2208" s="202">
        <f t="shared" si="201"/>
        <v>3.8250000000000002</v>
      </c>
      <c r="I2208" s="82"/>
      <c r="J2208" s="114"/>
      <c r="BB2208" s="117"/>
      <c r="BC2208" s="117"/>
      <c r="BD2208" s="117"/>
    </row>
    <row r="2209" spans="1:56" ht="15">
      <c r="A2209" s="114"/>
      <c r="B2209" s="114"/>
      <c r="C2209" s="114"/>
      <c r="D2209" s="114"/>
      <c r="E2209" s="114"/>
      <c r="F2209" s="254" t="s">
        <v>76</v>
      </c>
      <c r="G2209" s="258">
        <f>SUM(G2183:G2208)</f>
        <v>221.01058</v>
      </c>
      <c r="H2209" s="258">
        <f>SUM(H2183:H2208)</f>
        <v>874.7388000000002</v>
      </c>
      <c r="I2209" s="82"/>
      <c r="J2209" s="114"/>
      <c r="BB2209" s="117"/>
      <c r="BC2209" s="117"/>
      <c r="BD2209" s="117"/>
    </row>
    <row r="2210" spans="1:56" ht="15">
      <c r="A2210" s="114"/>
      <c r="B2210" s="114"/>
      <c r="C2210" s="114"/>
      <c r="D2210" s="114"/>
      <c r="E2210" s="114"/>
      <c r="F2210" s="114"/>
      <c r="G2210" s="114"/>
      <c r="H2210" s="114"/>
      <c r="I2210" s="82"/>
      <c r="J2210" s="114"/>
      <c r="BB2210" s="117"/>
      <c r="BC2210" s="117"/>
      <c r="BD2210" s="117"/>
    </row>
    <row r="2211" spans="1:56">
      <c r="A2211" s="114"/>
      <c r="B2211" s="242" t="s">
        <v>1540</v>
      </c>
      <c r="C2211" s="199" t="s">
        <v>61</v>
      </c>
      <c r="D2211" s="199" t="s">
        <v>155</v>
      </c>
      <c r="E2211" s="199" t="s">
        <v>82</v>
      </c>
      <c r="F2211" s="199" t="s">
        <v>62</v>
      </c>
      <c r="G2211" s="243" t="s">
        <v>99</v>
      </c>
      <c r="H2211" s="243" t="s">
        <v>68</v>
      </c>
      <c r="I2211" s="115"/>
      <c r="J2211" s="82"/>
      <c r="BC2211" s="117"/>
      <c r="BD2211" s="117"/>
    </row>
    <row r="2212" spans="1:56">
      <c r="A2212" s="114"/>
      <c r="B2212" s="244" t="s">
        <v>1528</v>
      </c>
      <c r="C2212" s="200">
        <v>14</v>
      </c>
      <c r="D2212" s="629">
        <v>0.125</v>
      </c>
      <c r="E2212" s="245">
        <v>0.52500000000000002</v>
      </c>
      <c r="F2212" s="245">
        <v>2.125</v>
      </c>
      <c r="G2212" s="202">
        <f t="shared" ref="G2212:G2213" si="208">D2212*E2212*F2212*C2212</f>
        <v>1.9523437500000003</v>
      </c>
      <c r="H2212" s="202">
        <f t="shared" ref="H2212:H2213" si="209">((E2212*2)+D2212)*F2212*C2212</f>
        <v>34.956250000000004</v>
      </c>
      <c r="I2212" s="115"/>
      <c r="J2212" s="82"/>
      <c r="BC2212" s="117"/>
      <c r="BD2212" s="117"/>
    </row>
    <row r="2213" spans="1:56">
      <c r="A2213" s="114"/>
      <c r="B2213" s="244" t="s">
        <v>1541</v>
      </c>
      <c r="C2213" s="200">
        <v>1</v>
      </c>
      <c r="D2213" s="629">
        <v>0.16250000000000001</v>
      </c>
      <c r="E2213" s="245">
        <v>0.52500000000000002</v>
      </c>
      <c r="F2213" s="245">
        <v>2.125</v>
      </c>
      <c r="G2213" s="202">
        <f t="shared" si="208"/>
        <v>0.18128906250000004</v>
      </c>
      <c r="H2213" s="202">
        <f t="shared" si="209"/>
        <v>2.5765625000000001</v>
      </c>
      <c r="I2213" s="115"/>
      <c r="J2213" s="82"/>
      <c r="BC2213" s="117"/>
      <c r="BD2213" s="117"/>
    </row>
    <row r="2214" spans="1:56" ht="15">
      <c r="A2214" s="114"/>
      <c r="B2214" s="114"/>
      <c r="C2214" s="114"/>
      <c r="D2214" s="114"/>
      <c r="E2214" s="117"/>
      <c r="F2214" s="254" t="s">
        <v>767</v>
      </c>
      <c r="G2214" s="258">
        <f>SUM(G2212:G2213)</f>
        <v>2.1336328125000001</v>
      </c>
      <c r="H2214" s="258">
        <f>SUM(H2212:H2213)</f>
        <v>37.532812500000006</v>
      </c>
      <c r="I2214" s="82"/>
      <c r="J2214" s="114"/>
      <c r="BB2214" s="117"/>
      <c r="BC2214" s="117"/>
      <c r="BD2214" s="117"/>
    </row>
    <row r="2215" spans="1:56" ht="15">
      <c r="A2215" s="114"/>
      <c r="B2215" s="114"/>
      <c r="C2215" s="114"/>
      <c r="D2215" s="114"/>
      <c r="E2215" s="114"/>
      <c r="F2215" s="114"/>
      <c r="G2215" s="114"/>
      <c r="H2215" s="114"/>
      <c r="I2215" s="82"/>
      <c r="J2215" s="114"/>
      <c r="BB2215" s="117"/>
      <c r="BC2215" s="117"/>
      <c r="BD2215" s="117"/>
    </row>
    <row r="2216" spans="1:56">
      <c r="A2216" s="114"/>
      <c r="B2216" s="115"/>
      <c r="C2216" s="115"/>
      <c r="D2216" s="115"/>
      <c r="E2216" s="115"/>
      <c r="F2216" s="115"/>
      <c r="G2216" s="115"/>
      <c r="H2216" s="115"/>
      <c r="I2216" s="115"/>
      <c r="J2216" s="114"/>
      <c r="BB2216" s="117"/>
      <c r="BC2216" s="117"/>
      <c r="BD2216" s="117"/>
    </row>
    <row r="2217" spans="1:56">
      <c r="A2217" s="114"/>
      <c r="B2217" s="242" t="s">
        <v>1518</v>
      </c>
      <c r="C2217" s="199" t="s">
        <v>61</v>
      </c>
      <c r="D2217" s="199" t="s">
        <v>82</v>
      </c>
      <c r="E2217" s="199" t="s">
        <v>768</v>
      </c>
      <c r="F2217" s="243" t="s">
        <v>99</v>
      </c>
      <c r="G2217" s="243" t="s">
        <v>68</v>
      </c>
      <c r="H2217" s="115"/>
      <c r="I2217" s="82"/>
      <c r="J2217" s="114"/>
      <c r="BB2217" s="117"/>
      <c r="BC2217" s="117"/>
      <c r="BD2217" s="117"/>
    </row>
    <row r="2218" spans="1:56">
      <c r="A2218" s="114"/>
      <c r="B2218" s="244" t="s">
        <v>1539</v>
      </c>
      <c r="C2218" s="200">
        <v>1</v>
      </c>
      <c r="D2218" s="245">
        <v>0.1</v>
      </c>
      <c r="E2218" s="245">
        <v>26.22</v>
      </c>
      <c r="F2218" s="202">
        <f>D2218*E2218*C2218</f>
        <v>2.6219999999999999</v>
      </c>
      <c r="G2218" s="202">
        <f>E2218*C2218</f>
        <v>26.22</v>
      </c>
      <c r="H2218" s="115"/>
      <c r="I2218" s="82"/>
      <c r="J2218" s="114"/>
      <c r="BB2218" s="117"/>
      <c r="BC2218" s="117"/>
      <c r="BD2218" s="117"/>
    </row>
    <row r="2219" spans="1:56">
      <c r="A2219" s="114"/>
      <c r="B2219" s="244" t="s">
        <v>1533</v>
      </c>
      <c r="C2219" s="200">
        <v>1</v>
      </c>
      <c r="D2219" s="245">
        <v>0.18</v>
      </c>
      <c r="E2219" s="245">
        <f>20.78+26.96+33.07+3.774+11.1168</f>
        <v>95.700800000000001</v>
      </c>
      <c r="F2219" s="202">
        <f t="shared" ref="F2219:F2221" si="210">D2219*E2219</f>
        <v>17.226143999999998</v>
      </c>
      <c r="G2219" s="202">
        <f t="shared" ref="G2219:G2221" si="211">E2219</f>
        <v>95.700800000000001</v>
      </c>
      <c r="H2219" s="115"/>
      <c r="I2219" s="82"/>
      <c r="J2219" s="114"/>
      <c r="BB2219" s="117"/>
      <c r="BC2219" s="117"/>
      <c r="BD2219" s="117"/>
    </row>
    <row r="2220" spans="1:56">
      <c r="A2220" s="114"/>
      <c r="B2220" s="244" t="s">
        <v>1516</v>
      </c>
      <c r="C2220" s="200">
        <v>1</v>
      </c>
      <c r="D2220" s="245">
        <v>0.52500000000000002</v>
      </c>
      <c r="E2220" s="245">
        <f>24.33+26.03+8.925</f>
        <v>59.284999999999997</v>
      </c>
      <c r="F2220" s="202">
        <f t="shared" si="210"/>
        <v>31.124624999999998</v>
      </c>
      <c r="G2220" s="202">
        <f t="shared" si="211"/>
        <v>59.284999999999997</v>
      </c>
      <c r="H2220" s="115"/>
      <c r="I2220" s="82"/>
      <c r="J2220" s="114"/>
      <c r="BB2220" s="117"/>
      <c r="BC2220" s="117"/>
      <c r="BD2220" s="117"/>
    </row>
    <row r="2221" spans="1:56">
      <c r="A2221" s="114"/>
      <c r="B2221" s="244" t="s">
        <v>1517</v>
      </c>
      <c r="C2221" s="200">
        <v>1</v>
      </c>
      <c r="D2221" s="245">
        <v>0.58750000000000002</v>
      </c>
      <c r="E2221" s="245">
        <f>4.6395+5.19+4.6395+5.19</f>
        <v>19.658999999999999</v>
      </c>
      <c r="F2221" s="202">
        <f t="shared" si="210"/>
        <v>11.5496625</v>
      </c>
      <c r="G2221" s="202">
        <f t="shared" si="211"/>
        <v>19.658999999999999</v>
      </c>
      <c r="H2221" s="115"/>
      <c r="I2221" s="82"/>
      <c r="J2221" s="114"/>
      <c r="BB2221" s="117"/>
      <c r="BC2221" s="117"/>
      <c r="BD2221" s="117"/>
    </row>
    <row r="2222" spans="1:56">
      <c r="A2222" s="114"/>
      <c r="B2222" s="114"/>
      <c r="C2222" s="114"/>
      <c r="D2222" s="114"/>
      <c r="E2222" s="254" t="s">
        <v>767</v>
      </c>
      <c r="F2222" s="258">
        <f>SUM(F2218:F2221)</f>
        <v>62.522431499999996</v>
      </c>
      <c r="G2222" s="258">
        <f>SUM(G2218:G2221)</f>
        <v>200.8648</v>
      </c>
      <c r="H2222" s="115"/>
      <c r="I2222" s="82"/>
      <c r="J2222" s="114"/>
      <c r="BB2222" s="117"/>
      <c r="BC2222" s="117"/>
      <c r="BD2222" s="117"/>
    </row>
    <row r="2223" spans="1:56" ht="15">
      <c r="A2223" s="114"/>
      <c r="B2223" s="293"/>
      <c r="C2223" s="387"/>
      <c r="D2223" s="387"/>
      <c r="E2223" s="387"/>
      <c r="F2223" s="387"/>
      <c r="G2223" s="387"/>
      <c r="H2223" s="386"/>
      <c r="I2223" s="386"/>
      <c r="J2223" s="6"/>
      <c r="BB2223" s="117"/>
      <c r="BC2223" s="117"/>
      <c r="BD2223" s="117"/>
    </row>
    <row r="2224" spans="1:56" ht="15">
      <c r="A2224" s="114"/>
      <c r="B2224" s="801" t="s">
        <v>2170</v>
      </c>
      <c r="C2224" s="751" t="s">
        <v>2063</v>
      </c>
      <c r="D2224" s="751" t="s">
        <v>82</v>
      </c>
      <c r="E2224" s="802" t="s">
        <v>99</v>
      </c>
      <c r="F2224" s="802" t="s">
        <v>68</v>
      </c>
      <c r="G2224" s="386"/>
      <c r="H2224" s="907"/>
      <c r="I2224" s="114"/>
      <c r="J2224" s="114"/>
      <c r="AZ2224" s="117"/>
      <c r="BA2224" s="117"/>
      <c r="BB2224" s="117"/>
      <c r="BC2224" s="117"/>
      <c r="BD2224" s="117"/>
    </row>
    <row r="2225" spans="1:56" ht="15">
      <c r="A2225" s="114"/>
      <c r="B2225" s="803" t="s">
        <v>2164</v>
      </c>
      <c r="C2225" s="755">
        <v>0.6</v>
      </c>
      <c r="D2225" s="756">
        <v>0.1</v>
      </c>
      <c r="E2225" s="828">
        <f>C2225*D2225</f>
        <v>0.06</v>
      </c>
      <c r="F2225" s="828">
        <v>0</v>
      </c>
      <c r="G2225" s="386"/>
      <c r="H2225" s="907"/>
      <c r="I2225" s="114"/>
      <c r="J2225" s="114"/>
      <c r="AZ2225" s="117"/>
      <c r="BA2225" s="117"/>
      <c r="BB2225" s="117"/>
      <c r="BC2225" s="117"/>
      <c r="BD2225" s="117"/>
    </row>
    <row r="2226" spans="1:56" ht="15">
      <c r="A2226" s="114"/>
      <c r="B2226" s="803" t="s">
        <v>2165</v>
      </c>
      <c r="C2226" s="755">
        <f>9*0.28</f>
        <v>2.5200000000000005</v>
      </c>
      <c r="D2226" s="756">
        <v>0.1</v>
      </c>
      <c r="E2226" s="828">
        <f t="shared" ref="E2226:E2230" si="212">C2226*D2226</f>
        <v>0.25200000000000006</v>
      </c>
      <c r="F2226" s="828">
        <v>0</v>
      </c>
      <c r="G2226" s="386"/>
      <c r="H2226" s="907"/>
      <c r="I2226" s="114"/>
      <c r="J2226" s="114"/>
      <c r="AZ2226" s="117"/>
      <c r="BA2226" s="117"/>
      <c r="BB2226" s="117"/>
      <c r="BC2226" s="117"/>
      <c r="BD2226" s="117"/>
    </row>
    <row r="2227" spans="1:56" ht="15">
      <c r="A2227" s="114"/>
      <c r="B2227" s="803" t="s">
        <v>2166</v>
      </c>
      <c r="C2227" s="755">
        <f>3*0.28</f>
        <v>0.84000000000000008</v>
      </c>
      <c r="D2227" s="756">
        <v>0.1</v>
      </c>
      <c r="E2227" s="828">
        <f t="shared" ref="E2227:E2229" si="213">C2227*D2227</f>
        <v>8.4000000000000019E-2</v>
      </c>
      <c r="F2227" s="828">
        <v>0</v>
      </c>
      <c r="G2227" s="386"/>
      <c r="H2227" s="907"/>
      <c r="I2227" s="114"/>
      <c r="J2227" s="114"/>
      <c r="AZ2227" s="117"/>
      <c r="BA2227" s="117"/>
      <c r="BB2227" s="117"/>
      <c r="BC2227" s="117"/>
      <c r="BD2227" s="117"/>
    </row>
    <row r="2228" spans="1:56" ht="15">
      <c r="A2228" s="114"/>
      <c r="B2228" s="803" t="s">
        <v>2167</v>
      </c>
      <c r="C2228" s="755">
        <f>3*0.6241</f>
        <v>1.8723000000000001</v>
      </c>
      <c r="D2228" s="756">
        <v>0.18</v>
      </c>
      <c r="E2228" s="828">
        <f t="shared" si="213"/>
        <v>0.33701399999999998</v>
      </c>
      <c r="F2228" s="828">
        <f t="shared" ref="F2228:F2229" si="214">C2228*2</f>
        <v>3.7446000000000002</v>
      </c>
      <c r="G2228" s="386"/>
      <c r="H2228" s="907"/>
      <c r="I2228" s="114"/>
      <c r="J2228" s="114"/>
      <c r="AZ2228" s="117"/>
      <c r="BA2228" s="117"/>
      <c r="BB2228" s="117"/>
      <c r="BC2228" s="117"/>
      <c r="BD2228" s="117"/>
    </row>
    <row r="2229" spans="1:56" ht="15">
      <c r="A2229" s="114"/>
      <c r="B2229" s="803" t="s">
        <v>2168</v>
      </c>
      <c r="C2229" s="755">
        <v>0.43559999999999999</v>
      </c>
      <c r="D2229" s="756">
        <v>0.18</v>
      </c>
      <c r="E2229" s="828">
        <f t="shared" si="213"/>
        <v>7.8407999999999992E-2</v>
      </c>
      <c r="F2229" s="828">
        <f t="shared" si="214"/>
        <v>0.87119999999999997</v>
      </c>
      <c r="G2229" s="386"/>
      <c r="H2229" s="907"/>
      <c r="I2229" s="114"/>
      <c r="J2229" s="114"/>
      <c r="AZ2229" s="117"/>
      <c r="BA2229" s="117"/>
      <c r="BB2229" s="117"/>
      <c r="BC2229" s="117"/>
      <c r="BD2229" s="117"/>
    </row>
    <row r="2230" spans="1:56" ht="15">
      <c r="A2230" s="114"/>
      <c r="B2230" s="803" t="s">
        <v>2169</v>
      </c>
      <c r="C2230" s="755">
        <f>2*0.4356</f>
        <v>0.87119999999999997</v>
      </c>
      <c r="D2230" s="756">
        <v>0.18</v>
      </c>
      <c r="E2230" s="828">
        <f t="shared" si="212"/>
        <v>0.15681599999999998</v>
      </c>
      <c r="F2230" s="828">
        <f t="shared" ref="F2230" si="215">C2230*2</f>
        <v>1.7423999999999999</v>
      </c>
      <c r="G2230" s="386"/>
      <c r="H2230" s="907"/>
      <c r="I2230" s="114"/>
      <c r="J2230" s="114"/>
      <c r="AZ2230" s="117"/>
      <c r="BA2230" s="117"/>
      <c r="BB2230" s="117"/>
      <c r="BC2230" s="117"/>
      <c r="BD2230" s="117"/>
    </row>
    <row r="2231" spans="1:56" ht="15">
      <c r="A2231" s="114"/>
      <c r="B2231" s="114"/>
      <c r="C2231" s="114"/>
      <c r="D2231" s="758" t="s">
        <v>76</v>
      </c>
      <c r="E2231" s="228">
        <f>-SUM(E2225:E2230)</f>
        <v>-0.96823800000000004</v>
      </c>
      <c r="F2231" s="228">
        <f>-SUM(F2225:F2230)</f>
        <v>-6.3582000000000001</v>
      </c>
      <c r="G2231" s="386"/>
      <c r="H2231" s="907"/>
      <c r="I2231" s="114"/>
      <c r="J2231" s="114"/>
      <c r="AZ2231" s="117"/>
      <c r="BA2231" s="117"/>
      <c r="BB2231" s="117"/>
      <c r="BC2231" s="117"/>
      <c r="BD2231" s="117"/>
    </row>
    <row r="2232" spans="1:56" customFormat="1" ht="12.75"/>
    <row r="2233" spans="1:56" s="259" customFormat="1" ht="15">
      <c r="A2233" s="114"/>
      <c r="B2233" s="293"/>
      <c r="C2233" s="81"/>
      <c r="D2233" s="81"/>
      <c r="E2233" s="81"/>
      <c r="F2233" s="349"/>
      <c r="G2233" s="81"/>
      <c r="H2233" s="82"/>
      <c r="I2233" s="82"/>
      <c r="J2233" s="114"/>
      <c r="K2233" s="114"/>
      <c r="L2233" s="114"/>
      <c r="M2233" s="114"/>
      <c r="N2233" s="114"/>
      <c r="O2233" s="114"/>
      <c r="P2233" s="114"/>
      <c r="Q2233" s="114"/>
      <c r="R2233" s="114"/>
      <c r="S2233" s="114"/>
      <c r="T2233" s="114"/>
      <c r="U2233" s="114"/>
      <c r="V2233" s="114"/>
      <c r="W2233" s="114"/>
      <c r="X2233" s="114"/>
      <c r="Y2233" s="114"/>
      <c r="Z2233" s="114"/>
      <c r="AA2233" s="114"/>
      <c r="AB2233" s="114"/>
      <c r="AC2233" s="114"/>
      <c r="AD2233" s="114"/>
      <c r="AE2233" s="114"/>
      <c r="AF2233" s="114"/>
      <c r="AG2233" s="114"/>
      <c r="AH2233" s="114"/>
      <c r="AI2233" s="114"/>
      <c r="AJ2233" s="114"/>
      <c r="AK2233" s="114"/>
      <c r="AL2233" s="114"/>
      <c r="AM2233" s="114"/>
      <c r="AN2233" s="114"/>
      <c r="AO2233" s="114"/>
      <c r="AP2233" s="114"/>
      <c r="AQ2233" s="114"/>
      <c r="AR2233" s="114"/>
      <c r="AS2233" s="114"/>
      <c r="AT2233" s="114"/>
      <c r="AU2233" s="114"/>
      <c r="AV2233" s="114"/>
      <c r="AW2233" s="114"/>
      <c r="AX2233" s="114"/>
      <c r="AY2233" s="114"/>
      <c r="AZ2233" s="114"/>
      <c r="BA2233" s="114"/>
    </row>
    <row r="2234" spans="1:56">
      <c r="A2234" s="114"/>
      <c r="B2234" s="242" t="s">
        <v>1512</v>
      </c>
      <c r="C2234" s="199" t="s">
        <v>61</v>
      </c>
      <c r="D2234" s="199" t="s">
        <v>768</v>
      </c>
      <c r="E2234" s="199" t="s">
        <v>769</v>
      </c>
      <c r="F2234" s="199" t="s">
        <v>1511</v>
      </c>
      <c r="G2234" s="243" t="s">
        <v>63</v>
      </c>
      <c r="H2234" s="243" t="s">
        <v>1674</v>
      </c>
      <c r="I2234" s="243" t="s">
        <v>1513</v>
      </c>
      <c r="J2234" s="115"/>
      <c r="K2234" s="115"/>
      <c r="L2234" s="82"/>
    </row>
    <row r="2235" spans="1:56">
      <c r="A2235" s="114"/>
      <c r="B2235" s="244" t="s">
        <v>770</v>
      </c>
      <c r="C2235" s="200">
        <v>1</v>
      </c>
      <c r="D2235" s="245">
        <f>53.56+59.8+57.09+59.95+66.93+63.9+151.25+155.68+130.7-C2225-C2226-C2227</f>
        <v>794.90000000000009</v>
      </c>
      <c r="E2235" s="245">
        <v>0.81</v>
      </c>
      <c r="F2235" s="245">
        <v>0.223</v>
      </c>
      <c r="G2235" s="340">
        <f>F2235*D2235</f>
        <v>177.26270000000002</v>
      </c>
      <c r="H2235" s="350">
        <f>D2235</f>
        <v>794.90000000000009</v>
      </c>
      <c r="I2235" s="631">
        <f>D2235/E2235</f>
        <v>981.35802469135808</v>
      </c>
      <c r="J2235" s="115"/>
      <c r="K2235" s="115"/>
      <c r="L2235" s="82"/>
    </row>
    <row r="2236" spans="1:56" ht="15">
      <c r="A2236" s="114"/>
      <c r="B2236" s="114"/>
      <c r="C2236" s="114"/>
      <c r="D2236" s="114"/>
      <c r="E2236" s="117"/>
      <c r="F2236" s="254" t="s">
        <v>767</v>
      </c>
      <c r="G2236" s="258">
        <f>G2235</f>
        <v>177.26270000000002</v>
      </c>
      <c r="H2236" s="650">
        <f>H2235</f>
        <v>794.90000000000009</v>
      </c>
      <c r="I2236" s="258">
        <f>I2235</f>
        <v>981.35802469135808</v>
      </c>
      <c r="J2236" s="82"/>
      <c r="BC2236" s="117"/>
      <c r="BD2236" s="117"/>
    </row>
    <row r="2237" spans="1:56">
      <c r="A2237" s="114"/>
      <c r="B2237" s="115"/>
      <c r="C2237" s="115"/>
      <c r="D2237" s="115"/>
      <c r="E2237" s="115"/>
      <c r="F2237" s="115"/>
      <c r="G2237" s="115"/>
      <c r="H2237" s="115"/>
      <c r="I2237" s="115"/>
      <c r="J2237" s="114"/>
      <c r="BB2237" s="117"/>
      <c r="BC2237" s="117"/>
      <c r="BD2237" s="117"/>
    </row>
    <row r="2238" spans="1:56" ht="15">
      <c r="A2238" s="114"/>
      <c r="B2238" s="627" t="s">
        <v>2318</v>
      </c>
      <c r="C2238" s="623"/>
      <c r="D2238" s="623"/>
      <c r="E2238" s="623"/>
      <c r="F2238" s="623"/>
      <c r="G2238" s="623"/>
      <c r="H2238" s="624"/>
      <c r="I2238" s="624"/>
      <c r="J2238" s="625"/>
      <c r="BB2238" s="117"/>
      <c r="BC2238" s="117"/>
      <c r="BD2238" s="117"/>
    </row>
    <row r="2239" spans="1:56">
      <c r="A2239" s="114"/>
      <c r="B2239" s="115"/>
      <c r="C2239" s="115"/>
      <c r="D2239" s="115"/>
      <c r="E2239" s="115"/>
      <c r="F2239" s="115"/>
      <c r="G2239" s="115"/>
      <c r="H2239" s="115"/>
      <c r="I2239" s="115"/>
      <c r="J2239" s="114"/>
      <c r="BB2239" s="117"/>
      <c r="BC2239" s="117"/>
      <c r="BD2239" s="117"/>
    </row>
    <row r="2240" spans="1:56" ht="15">
      <c r="A2240" s="114"/>
      <c r="B2240" s="242" t="s">
        <v>97</v>
      </c>
      <c r="C2240" s="199" t="s">
        <v>61</v>
      </c>
      <c r="D2240" s="199" t="s">
        <v>82</v>
      </c>
      <c r="E2240" s="199" t="s">
        <v>66</v>
      </c>
      <c r="F2240" s="199" t="s">
        <v>62</v>
      </c>
      <c r="G2240" s="243" t="s">
        <v>99</v>
      </c>
      <c r="H2240" s="243" t="s">
        <v>68</v>
      </c>
      <c r="I2240" s="82"/>
      <c r="J2240" s="114"/>
      <c r="BB2240" s="117"/>
      <c r="BC2240" s="117"/>
      <c r="BD2240" s="117"/>
    </row>
    <row r="2241" spans="1:56" ht="15">
      <c r="A2241" s="114"/>
      <c r="B2241" s="244" t="s">
        <v>1045</v>
      </c>
      <c r="C2241" s="200">
        <v>1</v>
      </c>
      <c r="D2241" s="245">
        <v>0.36499999999999999</v>
      </c>
      <c r="E2241" s="201">
        <v>0.55000000000000004</v>
      </c>
      <c r="F2241" s="201">
        <v>11.45</v>
      </c>
      <c r="G2241" s="202">
        <f t="shared" ref="G2241:G2266" si="216">D2241*E2241*F2241*C2241</f>
        <v>2.2985875</v>
      </c>
      <c r="H2241" s="202">
        <f t="shared" ref="H2241:H2266" si="217">((E2241*2)+D2241)*F2241*C2241</f>
        <v>16.774249999999999</v>
      </c>
      <c r="I2241" s="82"/>
      <c r="J2241" s="114"/>
      <c r="BB2241" s="117"/>
      <c r="BC2241" s="117"/>
      <c r="BD2241" s="117"/>
    </row>
    <row r="2242" spans="1:56" ht="15">
      <c r="A2242" s="114"/>
      <c r="B2242" s="244" t="s">
        <v>1046</v>
      </c>
      <c r="C2242" s="200">
        <v>1</v>
      </c>
      <c r="D2242" s="245">
        <v>0.75</v>
      </c>
      <c r="E2242" s="201">
        <v>0.55000000000000004</v>
      </c>
      <c r="F2242" s="201">
        <v>11.45</v>
      </c>
      <c r="G2242" s="202">
        <f t="shared" si="216"/>
        <v>4.7231250000000005</v>
      </c>
      <c r="H2242" s="202">
        <f t="shared" si="217"/>
        <v>21.182500000000001</v>
      </c>
      <c r="I2242" s="82"/>
      <c r="J2242" s="114"/>
      <c r="BB2242" s="117"/>
      <c r="BC2242" s="117"/>
      <c r="BD2242" s="117"/>
    </row>
    <row r="2243" spans="1:56" ht="15">
      <c r="A2243" s="114"/>
      <c r="B2243" s="244" t="s">
        <v>1047</v>
      </c>
      <c r="C2243" s="200">
        <v>1</v>
      </c>
      <c r="D2243" s="245">
        <v>0.75</v>
      </c>
      <c r="E2243" s="201">
        <v>0.55000000000000004</v>
      </c>
      <c r="F2243" s="201">
        <v>11.45</v>
      </c>
      <c r="G2243" s="202">
        <f t="shared" si="216"/>
        <v>4.7231250000000005</v>
      </c>
      <c r="H2243" s="202">
        <f t="shared" si="217"/>
        <v>21.182500000000001</v>
      </c>
      <c r="I2243" s="82"/>
      <c r="J2243" s="114"/>
      <c r="BB2243" s="117"/>
      <c r="BC2243" s="117"/>
      <c r="BD2243" s="117"/>
    </row>
    <row r="2244" spans="1:56" ht="15">
      <c r="A2244" s="114"/>
      <c r="B2244" s="244" t="s">
        <v>1048</v>
      </c>
      <c r="C2244" s="200">
        <v>1</v>
      </c>
      <c r="D2244" s="245">
        <v>0.25</v>
      </c>
      <c r="E2244" s="201">
        <v>0.55000000000000004</v>
      </c>
      <c r="F2244" s="201">
        <v>4.45</v>
      </c>
      <c r="G2244" s="202">
        <f t="shared" si="216"/>
        <v>0.61187500000000006</v>
      </c>
      <c r="H2244" s="202">
        <f t="shared" si="217"/>
        <v>6.0075000000000003</v>
      </c>
      <c r="I2244" s="82"/>
      <c r="J2244" s="114"/>
      <c r="BB2244" s="117"/>
      <c r="BC2244" s="117"/>
      <c r="BD2244" s="117"/>
    </row>
    <row r="2245" spans="1:56" ht="15">
      <c r="A2245" s="114"/>
      <c r="B2245" s="244" t="s">
        <v>1049</v>
      </c>
      <c r="C2245" s="200">
        <v>1</v>
      </c>
      <c r="D2245" s="245">
        <v>1.6</v>
      </c>
      <c r="E2245" s="201">
        <v>0.55000000000000004</v>
      </c>
      <c r="F2245" s="201">
        <v>11.45</v>
      </c>
      <c r="G2245" s="202">
        <f t="shared" si="216"/>
        <v>10.076000000000001</v>
      </c>
      <c r="H2245" s="202">
        <f t="shared" si="217"/>
        <v>30.914999999999999</v>
      </c>
      <c r="I2245" s="82"/>
      <c r="J2245" s="114"/>
      <c r="BB2245" s="117"/>
      <c r="BC2245" s="117"/>
      <c r="BD2245" s="117"/>
    </row>
    <row r="2246" spans="1:56" ht="15">
      <c r="A2246" s="114"/>
      <c r="B2246" s="244" t="s">
        <v>1050</v>
      </c>
      <c r="C2246" s="200">
        <v>1</v>
      </c>
      <c r="D2246" s="245">
        <v>0.25</v>
      </c>
      <c r="E2246" s="201">
        <v>0.55000000000000004</v>
      </c>
      <c r="F2246" s="201">
        <v>4.45</v>
      </c>
      <c r="G2246" s="202">
        <f t="shared" si="216"/>
        <v>0.61187500000000006</v>
      </c>
      <c r="H2246" s="202">
        <f t="shared" si="217"/>
        <v>6.0075000000000003</v>
      </c>
      <c r="I2246" s="82"/>
      <c r="J2246" s="114"/>
      <c r="BB2246" s="117"/>
      <c r="BC2246" s="117"/>
      <c r="BD2246" s="117"/>
    </row>
    <row r="2247" spans="1:56" ht="15">
      <c r="A2247" s="114"/>
      <c r="B2247" s="244" t="s">
        <v>1051</v>
      </c>
      <c r="C2247" s="200">
        <v>1</v>
      </c>
      <c r="D2247" s="245">
        <v>0.75</v>
      </c>
      <c r="E2247" s="201">
        <v>0.55000000000000004</v>
      </c>
      <c r="F2247" s="201">
        <v>11.45</v>
      </c>
      <c r="G2247" s="202">
        <f t="shared" si="216"/>
        <v>4.7231250000000005</v>
      </c>
      <c r="H2247" s="202">
        <f t="shared" si="217"/>
        <v>21.182500000000001</v>
      </c>
      <c r="I2247" s="82"/>
      <c r="J2247" s="114"/>
      <c r="BB2247" s="117"/>
      <c r="BC2247" s="117"/>
      <c r="BD2247" s="117"/>
    </row>
    <row r="2248" spans="1:56" ht="15">
      <c r="A2248" s="114"/>
      <c r="B2248" s="244" t="s">
        <v>1052</v>
      </c>
      <c r="C2248" s="200">
        <v>1</v>
      </c>
      <c r="D2248" s="245">
        <v>0.75</v>
      </c>
      <c r="E2248" s="201">
        <v>0.55000000000000004</v>
      </c>
      <c r="F2248" s="201">
        <v>11.45</v>
      </c>
      <c r="G2248" s="202">
        <f t="shared" si="216"/>
        <v>4.7231250000000005</v>
      </c>
      <c r="H2248" s="202">
        <f t="shared" si="217"/>
        <v>21.182500000000001</v>
      </c>
      <c r="I2248" s="82"/>
      <c r="J2248" s="114"/>
      <c r="BB2248" s="117"/>
      <c r="BC2248" s="117"/>
      <c r="BD2248" s="117"/>
    </row>
    <row r="2249" spans="1:56" ht="15">
      <c r="A2249" s="114"/>
      <c r="B2249" s="244" t="s">
        <v>1053</v>
      </c>
      <c r="C2249" s="200">
        <v>1</v>
      </c>
      <c r="D2249" s="245">
        <v>0.75</v>
      </c>
      <c r="E2249" s="201">
        <v>0.55000000000000004</v>
      </c>
      <c r="F2249" s="201">
        <v>11.45</v>
      </c>
      <c r="G2249" s="202">
        <f t="shared" si="216"/>
        <v>4.7231250000000005</v>
      </c>
      <c r="H2249" s="202">
        <f t="shared" si="217"/>
        <v>21.182500000000001</v>
      </c>
      <c r="I2249" s="82"/>
      <c r="J2249" s="114"/>
      <c r="BB2249" s="117"/>
      <c r="BC2249" s="117"/>
      <c r="BD2249" s="117"/>
    </row>
    <row r="2250" spans="1:56" ht="15">
      <c r="A2250" s="114"/>
      <c r="B2250" s="244" t="s">
        <v>1054</v>
      </c>
      <c r="C2250" s="200">
        <v>1</v>
      </c>
      <c r="D2250" s="245">
        <v>0.75</v>
      </c>
      <c r="E2250" s="201">
        <v>0.55000000000000004</v>
      </c>
      <c r="F2250" s="201">
        <v>11.45</v>
      </c>
      <c r="G2250" s="202">
        <f t="shared" si="216"/>
        <v>4.7231250000000005</v>
      </c>
      <c r="H2250" s="202">
        <f t="shared" si="217"/>
        <v>21.182500000000001</v>
      </c>
      <c r="I2250" s="82"/>
      <c r="J2250" s="114"/>
      <c r="BB2250" s="117"/>
      <c r="BC2250" s="117"/>
      <c r="BD2250" s="117"/>
    </row>
    <row r="2251" spans="1:56" ht="15">
      <c r="A2251" s="114"/>
      <c r="B2251" s="244" t="s">
        <v>1055</v>
      </c>
      <c r="C2251" s="200">
        <v>1</v>
      </c>
      <c r="D2251" s="245">
        <v>0.75</v>
      </c>
      <c r="E2251" s="201">
        <v>0.55000000000000004</v>
      </c>
      <c r="F2251" s="201">
        <v>11.45</v>
      </c>
      <c r="G2251" s="202">
        <f t="shared" si="216"/>
        <v>4.7231250000000005</v>
      </c>
      <c r="H2251" s="202">
        <f t="shared" si="217"/>
        <v>21.182500000000001</v>
      </c>
      <c r="I2251" s="82"/>
      <c r="J2251" s="114"/>
      <c r="BB2251" s="117"/>
      <c r="BC2251" s="117"/>
      <c r="BD2251" s="117"/>
    </row>
    <row r="2252" spans="1:56" ht="15">
      <c r="A2252" s="114"/>
      <c r="B2252" s="244" t="s">
        <v>1056</v>
      </c>
      <c r="C2252" s="200">
        <v>1</v>
      </c>
      <c r="D2252" s="245">
        <v>0.3</v>
      </c>
      <c r="E2252" s="201">
        <v>0.55000000000000004</v>
      </c>
      <c r="F2252" s="201">
        <v>3.6</v>
      </c>
      <c r="G2252" s="202">
        <f t="shared" si="216"/>
        <v>0.59400000000000008</v>
      </c>
      <c r="H2252" s="202">
        <f t="shared" si="217"/>
        <v>5.0400000000000009</v>
      </c>
      <c r="I2252" s="82"/>
      <c r="J2252" s="114"/>
      <c r="BB2252" s="117"/>
      <c r="BC2252" s="117"/>
      <c r="BD2252" s="117"/>
    </row>
    <row r="2253" spans="1:56" ht="15">
      <c r="A2253" s="114"/>
      <c r="B2253" s="244" t="s">
        <v>1057</v>
      </c>
      <c r="C2253" s="200">
        <v>1</v>
      </c>
      <c r="D2253" s="245">
        <v>1.6</v>
      </c>
      <c r="E2253" s="201">
        <v>0.55000000000000004</v>
      </c>
      <c r="F2253" s="201">
        <v>11.81</v>
      </c>
      <c r="G2253" s="202">
        <f t="shared" si="216"/>
        <v>10.392800000000001</v>
      </c>
      <c r="H2253" s="202">
        <f t="shared" si="217"/>
        <v>31.887000000000004</v>
      </c>
      <c r="I2253" s="82"/>
      <c r="J2253" s="114"/>
      <c r="BB2253" s="117"/>
      <c r="BC2253" s="117"/>
      <c r="BD2253" s="117"/>
    </row>
    <row r="2254" spans="1:56" ht="15">
      <c r="A2254" s="114"/>
      <c r="B2254" s="244" t="s">
        <v>1059</v>
      </c>
      <c r="C2254" s="200">
        <v>1</v>
      </c>
      <c r="D2254" s="245">
        <v>0.3</v>
      </c>
      <c r="E2254" s="201">
        <v>0.55000000000000004</v>
      </c>
      <c r="F2254" s="201">
        <v>13</v>
      </c>
      <c r="G2254" s="202">
        <f t="shared" si="216"/>
        <v>2.145</v>
      </c>
      <c r="H2254" s="202">
        <f t="shared" si="217"/>
        <v>18.200000000000003</v>
      </c>
      <c r="I2254" s="82"/>
      <c r="J2254" s="114"/>
      <c r="BB2254" s="117"/>
      <c r="BC2254" s="117"/>
      <c r="BD2254" s="117"/>
    </row>
    <row r="2255" spans="1:56" ht="15">
      <c r="A2255" s="114"/>
      <c r="B2255" s="244" t="s">
        <v>1060</v>
      </c>
      <c r="C2255" s="200">
        <v>1</v>
      </c>
      <c r="D2255" s="245">
        <v>0.3</v>
      </c>
      <c r="E2255" s="201">
        <v>0.55000000000000004</v>
      </c>
      <c r="F2255" s="201">
        <v>6.75</v>
      </c>
      <c r="G2255" s="202">
        <f t="shared" si="216"/>
        <v>1.11375</v>
      </c>
      <c r="H2255" s="202">
        <f t="shared" si="217"/>
        <v>9.4500000000000011</v>
      </c>
      <c r="I2255" s="82"/>
      <c r="J2255" s="114"/>
      <c r="BB2255" s="117"/>
      <c r="BC2255" s="117"/>
      <c r="BD2255" s="117"/>
    </row>
    <row r="2256" spans="1:56" ht="15">
      <c r="A2256" s="114"/>
      <c r="B2256" s="244" t="s">
        <v>1061</v>
      </c>
      <c r="C2256" s="200">
        <v>1</v>
      </c>
      <c r="D2256" s="245">
        <v>0.3</v>
      </c>
      <c r="E2256" s="201">
        <v>0.55000000000000004</v>
      </c>
      <c r="F2256" s="201">
        <v>6.75</v>
      </c>
      <c r="G2256" s="202">
        <f t="shared" si="216"/>
        <v>1.11375</v>
      </c>
      <c r="H2256" s="202">
        <f t="shared" si="217"/>
        <v>9.4500000000000011</v>
      </c>
      <c r="I2256" s="82"/>
      <c r="J2256" s="114"/>
      <c r="BB2256" s="117"/>
      <c r="BC2256" s="117"/>
      <c r="BD2256" s="117"/>
    </row>
    <row r="2257" spans="1:56" ht="15">
      <c r="A2257" s="114"/>
      <c r="B2257" s="244" t="s">
        <v>1063</v>
      </c>
      <c r="C2257" s="200">
        <v>1</v>
      </c>
      <c r="D2257" s="245">
        <v>0.7</v>
      </c>
      <c r="E2257" s="201">
        <v>0.45</v>
      </c>
      <c r="F2257" s="201">
        <v>11.45</v>
      </c>
      <c r="G2257" s="202">
        <f t="shared" si="216"/>
        <v>3.6067499999999999</v>
      </c>
      <c r="H2257" s="202">
        <f t="shared" si="217"/>
        <v>18.32</v>
      </c>
      <c r="I2257" s="82"/>
      <c r="J2257" s="114"/>
      <c r="BB2257" s="117"/>
      <c r="BC2257" s="117"/>
      <c r="BD2257" s="117"/>
    </row>
    <row r="2258" spans="1:56" ht="15">
      <c r="A2258" s="114"/>
      <c r="B2258" s="244" t="s">
        <v>1064</v>
      </c>
      <c r="C2258" s="200">
        <v>1</v>
      </c>
      <c r="D2258" s="245">
        <v>0.85</v>
      </c>
      <c r="E2258" s="201">
        <v>0.45</v>
      </c>
      <c r="F2258" s="201">
        <v>11.45</v>
      </c>
      <c r="G2258" s="202">
        <f t="shared" si="216"/>
        <v>4.3796249999999999</v>
      </c>
      <c r="H2258" s="202">
        <f t="shared" si="217"/>
        <v>20.037499999999998</v>
      </c>
      <c r="I2258" s="82"/>
      <c r="J2258" s="114"/>
      <c r="BB2258" s="117"/>
      <c r="BC2258" s="117"/>
      <c r="BD2258" s="117"/>
    </row>
    <row r="2259" spans="1:56" ht="15">
      <c r="A2259" s="114"/>
      <c r="B2259" s="244" t="s">
        <v>1065</v>
      </c>
      <c r="C2259" s="200">
        <v>1</v>
      </c>
      <c r="D2259" s="245">
        <v>0.85</v>
      </c>
      <c r="E2259" s="201">
        <v>0.45</v>
      </c>
      <c r="F2259" s="201">
        <v>11.45</v>
      </c>
      <c r="G2259" s="202">
        <f t="shared" si="216"/>
        <v>4.3796249999999999</v>
      </c>
      <c r="H2259" s="202">
        <f t="shared" si="217"/>
        <v>20.037499999999998</v>
      </c>
      <c r="I2259" s="82"/>
      <c r="J2259" s="114"/>
      <c r="BB2259" s="117"/>
      <c r="BC2259" s="117"/>
      <c r="BD2259" s="117"/>
    </row>
    <row r="2260" spans="1:56" ht="15">
      <c r="A2260" s="114"/>
      <c r="B2260" s="244" t="s">
        <v>1066</v>
      </c>
      <c r="C2260" s="200">
        <v>1</v>
      </c>
      <c r="D2260" s="245">
        <v>0.7</v>
      </c>
      <c r="E2260" s="201">
        <v>0.45</v>
      </c>
      <c r="F2260" s="201">
        <v>11.45</v>
      </c>
      <c r="G2260" s="202">
        <f t="shared" si="216"/>
        <v>3.6067499999999999</v>
      </c>
      <c r="H2260" s="202">
        <f t="shared" si="217"/>
        <v>18.32</v>
      </c>
      <c r="I2260" s="82"/>
      <c r="J2260" s="114"/>
      <c r="BB2260" s="117"/>
      <c r="BC2260" s="117"/>
      <c r="BD2260" s="117"/>
    </row>
    <row r="2261" spans="1:56" ht="15">
      <c r="A2261" s="114"/>
      <c r="B2261" s="244" t="s">
        <v>1067</v>
      </c>
      <c r="C2261" s="200">
        <v>1</v>
      </c>
      <c r="D2261" s="245">
        <v>0.33</v>
      </c>
      <c r="E2261" s="201">
        <v>0.45</v>
      </c>
      <c r="F2261" s="201">
        <v>3.86</v>
      </c>
      <c r="G2261" s="202">
        <f t="shared" si="216"/>
        <v>0.57321000000000011</v>
      </c>
      <c r="H2261" s="202">
        <f t="shared" si="217"/>
        <v>4.7477999999999998</v>
      </c>
      <c r="I2261" s="82"/>
      <c r="J2261" s="114"/>
      <c r="BB2261" s="117"/>
      <c r="BC2261" s="117"/>
      <c r="BD2261" s="117"/>
    </row>
    <row r="2262" spans="1:56" ht="15">
      <c r="A2262" s="114"/>
      <c r="B2262" s="244" t="s">
        <v>1068</v>
      </c>
      <c r="C2262" s="200">
        <v>1</v>
      </c>
      <c r="D2262" s="245">
        <v>0.33</v>
      </c>
      <c r="E2262" s="201">
        <v>0.45</v>
      </c>
      <c r="F2262" s="201">
        <v>3.86</v>
      </c>
      <c r="G2262" s="202">
        <f t="shared" si="216"/>
        <v>0.57321000000000011</v>
      </c>
      <c r="H2262" s="202">
        <f t="shared" si="217"/>
        <v>4.7477999999999998</v>
      </c>
      <c r="I2262" s="82"/>
      <c r="J2262" s="114"/>
      <c r="BB2262" s="117"/>
      <c r="BC2262" s="117"/>
      <c r="BD2262" s="117"/>
    </row>
    <row r="2263" spans="1:56" ht="15">
      <c r="A2263" s="114"/>
      <c r="B2263" s="244" t="s">
        <v>1069</v>
      </c>
      <c r="C2263" s="200">
        <v>1</v>
      </c>
      <c r="D2263" s="245">
        <v>0.2</v>
      </c>
      <c r="E2263" s="201">
        <v>0.45</v>
      </c>
      <c r="F2263" s="201">
        <v>3.86</v>
      </c>
      <c r="G2263" s="202">
        <f t="shared" si="216"/>
        <v>0.34740000000000004</v>
      </c>
      <c r="H2263" s="202">
        <f t="shared" si="217"/>
        <v>4.2460000000000004</v>
      </c>
      <c r="I2263" s="82"/>
      <c r="J2263" s="114"/>
      <c r="BB2263" s="117"/>
      <c r="BC2263" s="117"/>
      <c r="BD2263" s="117"/>
    </row>
    <row r="2264" spans="1:56" ht="15">
      <c r="A2264" s="114"/>
      <c r="B2264" s="244" t="s">
        <v>1070</v>
      </c>
      <c r="C2264" s="200">
        <v>1</v>
      </c>
      <c r="D2264" s="245">
        <v>0.75</v>
      </c>
      <c r="E2264" s="245">
        <v>0.75</v>
      </c>
      <c r="F2264" s="201">
        <v>11.45</v>
      </c>
      <c r="G2264" s="202">
        <f t="shared" si="216"/>
        <v>6.4406249999999998</v>
      </c>
      <c r="H2264" s="202">
        <f t="shared" si="217"/>
        <v>25.762499999999999</v>
      </c>
      <c r="I2264" s="82"/>
      <c r="J2264" s="114"/>
      <c r="BB2264" s="117"/>
      <c r="BC2264" s="117"/>
      <c r="BD2264" s="117"/>
    </row>
    <row r="2265" spans="1:56" ht="15">
      <c r="A2265" s="114"/>
      <c r="B2265" s="244" t="s">
        <v>1071</v>
      </c>
      <c r="C2265" s="200">
        <v>1</v>
      </c>
      <c r="D2265" s="245">
        <v>0.75</v>
      </c>
      <c r="E2265" s="201">
        <v>3.88</v>
      </c>
      <c r="F2265" s="201">
        <v>36.619999999999997</v>
      </c>
      <c r="G2265" s="202">
        <f t="shared" si="216"/>
        <v>106.5642</v>
      </c>
      <c r="H2265" s="202">
        <f t="shared" si="217"/>
        <v>311.63619999999997</v>
      </c>
      <c r="I2265" s="82"/>
      <c r="J2265" s="114"/>
      <c r="BB2265" s="117"/>
      <c r="BC2265" s="117"/>
      <c r="BD2265" s="117"/>
    </row>
    <row r="2266" spans="1:56" ht="15">
      <c r="A2266" s="114"/>
      <c r="B2266" s="244" t="s">
        <v>1072</v>
      </c>
      <c r="C2266" s="200">
        <v>1</v>
      </c>
      <c r="D2266" s="245">
        <v>0.75</v>
      </c>
      <c r="E2266" s="201">
        <v>3.88</v>
      </c>
      <c r="F2266" s="201">
        <v>35.25</v>
      </c>
      <c r="G2266" s="202">
        <f t="shared" si="216"/>
        <v>102.5775</v>
      </c>
      <c r="H2266" s="202">
        <f t="shared" si="217"/>
        <v>299.97750000000002</v>
      </c>
      <c r="I2266" s="82"/>
      <c r="J2266" s="114"/>
      <c r="BB2266" s="117"/>
      <c r="BC2266" s="117"/>
      <c r="BD2266" s="117"/>
    </row>
    <row r="2267" spans="1:56" ht="15">
      <c r="A2267" s="114"/>
      <c r="B2267" s="114"/>
      <c r="C2267" s="114"/>
      <c r="D2267" s="114"/>
      <c r="E2267" s="114"/>
      <c r="F2267" s="254" t="s">
        <v>76</v>
      </c>
      <c r="G2267" s="258">
        <f>SUM(G2241:G2266)</f>
        <v>295.06840750000003</v>
      </c>
      <c r="H2267" s="258">
        <f>SUM(H2241:H2266)</f>
        <v>1009.8415499999999</v>
      </c>
      <c r="I2267" s="82"/>
      <c r="J2267" s="114"/>
      <c r="BB2267" s="117"/>
      <c r="BC2267" s="117"/>
      <c r="BD2267" s="117"/>
    </row>
    <row r="2268" spans="1:56">
      <c r="A2268" s="114"/>
      <c r="B2268" s="115"/>
      <c r="C2268" s="115"/>
      <c r="D2268" s="115"/>
      <c r="E2268" s="115"/>
      <c r="F2268" s="115"/>
      <c r="G2268" s="115"/>
      <c r="H2268" s="115"/>
      <c r="I2268" s="115"/>
      <c r="J2268" s="114"/>
      <c r="BB2268" s="117"/>
      <c r="BC2268" s="117"/>
      <c r="BD2268" s="117"/>
    </row>
    <row r="2269" spans="1:56" ht="15">
      <c r="A2269" s="114"/>
      <c r="B2269" s="114"/>
      <c r="C2269" s="114"/>
      <c r="D2269" s="114"/>
      <c r="E2269" s="114"/>
      <c r="F2269" s="114"/>
      <c r="G2269" s="114"/>
      <c r="H2269" s="114"/>
      <c r="I2269" s="82"/>
      <c r="J2269" s="114"/>
      <c r="BB2269" s="117"/>
      <c r="BC2269" s="117"/>
      <c r="BD2269" s="117"/>
    </row>
    <row r="2270" spans="1:56">
      <c r="A2270" s="114"/>
      <c r="B2270" s="242" t="s">
        <v>1647</v>
      </c>
      <c r="C2270" s="199" t="s">
        <v>61</v>
      </c>
      <c r="D2270" s="199" t="s">
        <v>82</v>
      </c>
      <c r="E2270" s="199" t="s">
        <v>768</v>
      </c>
      <c r="F2270" s="243" t="s">
        <v>99</v>
      </c>
      <c r="G2270" s="243" t="s">
        <v>68</v>
      </c>
      <c r="H2270" s="115"/>
      <c r="I2270" s="82"/>
      <c r="J2270" s="114"/>
      <c r="BB2270" s="117"/>
      <c r="BC2270" s="117"/>
      <c r="BD2270" s="117"/>
    </row>
    <row r="2271" spans="1:56">
      <c r="A2271" s="114"/>
      <c r="B2271" s="244" t="s">
        <v>1071</v>
      </c>
      <c r="C2271" s="648">
        <v>-1</v>
      </c>
      <c r="D2271" s="245">
        <v>0.75</v>
      </c>
      <c r="E2271" s="245">
        <f>0.2975+0.2975+0.3075</f>
        <v>0.90249999999999997</v>
      </c>
      <c r="F2271" s="202">
        <f>D2271*E2271*C2271</f>
        <v>-0.676875</v>
      </c>
      <c r="G2271" s="202">
        <f>E2271*2*C2271</f>
        <v>-1.8049999999999999</v>
      </c>
      <c r="H2271" s="115"/>
      <c r="I2271" s="82"/>
      <c r="J2271" s="114"/>
      <c r="BB2271" s="117"/>
      <c r="BC2271" s="117"/>
      <c r="BD2271" s="117"/>
    </row>
    <row r="2272" spans="1:56">
      <c r="A2272" s="114"/>
      <c r="B2272" s="244" t="s">
        <v>1072</v>
      </c>
      <c r="C2272" s="648">
        <v>-1</v>
      </c>
      <c r="D2272" s="245">
        <v>0.75</v>
      </c>
      <c r="E2272" s="245">
        <f>0.5025+0.6375+1.59+1.65+0.2975+0.2975+0.2975+0.2975</f>
        <v>5.5700000000000012</v>
      </c>
      <c r="F2272" s="202">
        <f>D2272*E2272*C2272</f>
        <v>-4.1775000000000011</v>
      </c>
      <c r="G2272" s="202">
        <f>E2272*2*C2272</f>
        <v>-11.140000000000002</v>
      </c>
      <c r="H2272" s="115"/>
      <c r="I2272" s="82"/>
      <c r="J2272" s="114"/>
      <c r="BB2272" s="117"/>
      <c r="BC2272" s="117"/>
      <c r="BD2272" s="117"/>
    </row>
    <row r="2273" spans="1:56">
      <c r="A2273" s="114"/>
      <c r="B2273" s="114"/>
      <c r="C2273" s="114"/>
      <c r="D2273" s="114"/>
      <c r="E2273" s="254" t="s">
        <v>767</v>
      </c>
      <c r="F2273" s="258">
        <f>SUM(F2271:F2272)</f>
        <v>-4.854375000000001</v>
      </c>
      <c r="G2273" s="258">
        <f>SUM(G2271:G2272)</f>
        <v>-12.945000000000002</v>
      </c>
      <c r="H2273" s="115"/>
      <c r="I2273" s="82"/>
      <c r="J2273" s="114"/>
      <c r="BB2273" s="117"/>
      <c r="BC2273" s="117"/>
      <c r="BD2273" s="117"/>
    </row>
    <row r="2274" spans="1:56" s="259" customFormat="1" ht="15">
      <c r="A2274" s="114"/>
      <c r="B2274" s="293"/>
      <c r="C2274" s="81"/>
      <c r="D2274" s="81"/>
      <c r="E2274" s="81"/>
      <c r="F2274" s="349"/>
      <c r="G2274" s="81"/>
      <c r="H2274" s="82"/>
      <c r="I2274" s="82"/>
      <c r="J2274" s="114"/>
      <c r="K2274" s="114"/>
      <c r="L2274" s="114"/>
      <c r="M2274" s="114"/>
      <c r="N2274" s="114"/>
      <c r="O2274" s="114"/>
      <c r="P2274" s="114"/>
      <c r="Q2274" s="114"/>
      <c r="R2274" s="114"/>
      <c r="S2274" s="114"/>
      <c r="T2274" s="114"/>
      <c r="U2274" s="114"/>
      <c r="V2274" s="114"/>
      <c r="W2274" s="114"/>
      <c r="X2274" s="114"/>
      <c r="Y2274" s="114"/>
      <c r="Z2274" s="114"/>
      <c r="AA2274" s="114"/>
      <c r="AB2274" s="114"/>
      <c r="AC2274" s="114"/>
      <c r="AD2274" s="114"/>
      <c r="AE2274" s="114"/>
      <c r="AF2274" s="114"/>
      <c r="AG2274" s="114"/>
      <c r="AH2274" s="114"/>
      <c r="AI2274" s="114"/>
      <c r="AJ2274" s="114"/>
      <c r="AK2274" s="114"/>
      <c r="AL2274" s="114"/>
      <c r="AM2274" s="114"/>
      <c r="AN2274" s="114"/>
      <c r="AO2274" s="114"/>
      <c r="AP2274" s="114"/>
      <c r="AQ2274" s="114"/>
      <c r="AR2274" s="114"/>
      <c r="AS2274" s="114"/>
      <c r="AT2274" s="114"/>
      <c r="AU2274" s="114"/>
      <c r="AV2274" s="114"/>
      <c r="AW2274" s="114"/>
      <c r="AX2274" s="114"/>
      <c r="AY2274" s="114"/>
      <c r="AZ2274" s="114"/>
      <c r="BA2274" s="114"/>
    </row>
    <row r="2275" spans="1:56" ht="15">
      <c r="A2275" s="114"/>
      <c r="B2275" s="114"/>
      <c r="C2275" s="114"/>
      <c r="D2275" s="114"/>
      <c r="E2275" s="114"/>
      <c r="F2275" s="114"/>
      <c r="G2275" s="114"/>
      <c r="H2275" s="114"/>
      <c r="I2275" s="82"/>
      <c r="J2275" s="114"/>
      <c r="BB2275" s="117"/>
      <c r="BC2275" s="117"/>
      <c r="BD2275" s="117"/>
    </row>
    <row r="2276" spans="1:56">
      <c r="A2276" s="114"/>
      <c r="B2276" s="242" t="s">
        <v>1536</v>
      </c>
      <c r="C2276" s="199" t="s">
        <v>61</v>
      </c>
      <c r="D2276" s="199" t="s">
        <v>155</v>
      </c>
      <c r="E2276" s="199" t="s">
        <v>82</v>
      </c>
      <c r="F2276" s="199" t="s">
        <v>62</v>
      </c>
      <c r="G2276" s="243" t="s">
        <v>99</v>
      </c>
      <c r="H2276" s="243" t="s">
        <v>68</v>
      </c>
      <c r="I2276" s="115"/>
      <c r="J2276" s="82"/>
      <c r="BC2276" s="117"/>
      <c r="BD2276" s="117"/>
    </row>
    <row r="2277" spans="1:56">
      <c r="A2277" s="114"/>
      <c r="B2277" s="244" t="s">
        <v>1534</v>
      </c>
      <c r="C2277" s="200">
        <v>1</v>
      </c>
      <c r="D2277" s="245">
        <v>0.25</v>
      </c>
      <c r="E2277" s="245">
        <v>0.45</v>
      </c>
      <c r="F2277" s="245">
        <f>11.365+145.6+11.65+145.6+7.14+89.6</f>
        <v>410.95500000000004</v>
      </c>
      <c r="G2277" s="202">
        <f t="shared" ref="G2277" si="218">D2277*E2277*F2277*C2277</f>
        <v>46.232437500000003</v>
      </c>
      <c r="H2277" s="202">
        <f t="shared" ref="H2277" si="219">((E2277*2)+D2277)*F2277*C2277</f>
        <v>472.59825000000001</v>
      </c>
      <c r="I2277" s="115"/>
      <c r="J2277" s="82"/>
      <c r="BC2277" s="117"/>
      <c r="BD2277" s="117"/>
    </row>
    <row r="2278" spans="1:56" ht="15">
      <c r="A2278" s="114"/>
      <c r="B2278" s="114"/>
      <c r="C2278" s="114"/>
      <c r="D2278" s="114"/>
      <c r="E2278" s="117"/>
      <c r="F2278" s="254" t="s">
        <v>767</v>
      </c>
      <c r="G2278" s="258">
        <f>SUM(G2277:G2277)</f>
        <v>46.232437500000003</v>
      </c>
      <c r="H2278" s="258">
        <f>SUM(H2277:H2277)</f>
        <v>472.59825000000001</v>
      </c>
      <c r="I2278" s="82"/>
      <c r="J2278" s="114"/>
      <c r="BB2278" s="117"/>
      <c r="BC2278" s="117"/>
      <c r="BD2278" s="117"/>
    </row>
    <row r="2279" spans="1:56" ht="15">
      <c r="A2279" s="114"/>
      <c r="B2279" s="114"/>
      <c r="C2279" s="114"/>
      <c r="D2279" s="114"/>
      <c r="E2279" s="114"/>
      <c r="F2279" s="114"/>
      <c r="G2279" s="114"/>
      <c r="H2279" s="114"/>
      <c r="I2279" s="82"/>
      <c r="J2279" s="114"/>
      <c r="BB2279" s="117"/>
      <c r="BC2279" s="117"/>
      <c r="BD2279" s="117"/>
    </row>
    <row r="2280" spans="1:56">
      <c r="A2280" s="114"/>
      <c r="B2280" s="242" t="s">
        <v>93</v>
      </c>
      <c r="C2280" s="199" t="s">
        <v>61</v>
      </c>
      <c r="D2280" s="199" t="s">
        <v>82</v>
      </c>
      <c r="E2280" s="199" t="s">
        <v>768</v>
      </c>
      <c r="F2280" s="243" t="s">
        <v>99</v>
      </c>
      <c r="G2280" s="243" t="s">
        <v>68</v>
      </c>
      <c r="H2280" s="115"/>
      <c r="I2280" s="82"/>
      <c r="J2280" s="114"/>
      <c r="BB2280" s="117"/>
      <c r="BC2280" s="117"/>
      <c r="BD2280" s="117"/>
    </row>
    <row r="2281" spans="1:56">
      <c r="A2281" s="114"/>
      <c r="B2281" s="244" t="s">
        <v>1519</v>
      </c>
      <c r="C2281" s="200">
        <v>1</v>
      </c>
      <c r="D2281" s="245">
        <v>0.1</v>
      </c>
      <c r="E2281" s="245">
        <f>345.27-(D2277*F2277)</f>
        <v>242.53124999999997</v>
      </c>
      <c r="F2281" s="202">
        <f t="shared" ref="F2281:F2283" si="220">D2281*E2281</f>
        <v>24.253124999999997</v>
      </c>
      <c r="G2281" s="202">
        <f t="shared" ref="G2281:G2283" si="221">E2281</f>
        <v>242.53124999999997</v>
      </c>
      <c r="H2281" s="115"/>
      <c r="I2281" s="632">
        <f>130.13+133.39+81.75</f>
        <v>345.27</v>
      </c>
      <c r="J2281" s="114"/>
      <c r="BB2281" s="117"/>
      <c r="BC2281" s="117"/>
      <c r="BD2281" s="117"/>
    </row>
    <row r="2282" spans="1:56">
      <c r="A2282" s="114"/>
      <c r="B2282" s="244" t="s">
        <v>1510</v>
      </c>
      <c r="C2282" s="200">
        <v>1</v>
      </c>
      <c r="D2282" s="245">
        <v>0.12</v>
      </c>
      <c r="E2282" s="245">
        <f>21.38+21.337+9.234</f>
        <v>51.951000000000001</v>
      </c>
      <c r="F2282" s="202">
        <f t="shared" si="220"/>
        <v>6.2341199999999999</v>
      </c>
      <c r="G2282" s="202">
        <f t="shared" si="221"/>
        <v>51.951000000000001</v>
      </c>
      <c r="H2282" s="115"/>
      <c r="I2282" s="82"/>
      <c r="J2282" s="114"/>
      <c r="BB2282" s="117"/>
      <c r="BC2282" s="117"/>
      <c r="BD2282" s="117"/>
    </row>
    <row r="2283" spans="1:56">
      <c r="A2283" s="114"/>
      <c r="B2283" s="244" t="s">
        <v>1533</v>
      </c>
      <c r="C2283" s="200">
        <v>1</v>
      </c>
      <c r="D2283" s="245">
        <v>0.18</v>
      </c>
      <c r="E2283" s="245">
        <f>3.774+11.1168</f>
        <v>14.890799999999999</v>
      </c>
      <c r="F2283" s="202">
        <f t="shared" si="220"/>
        <v>2.6803439999999998</v>
      </c>
      <c r="G2283" s="202">
        <f t="shared" si="221"/>
        <v>14.890799999999999</v>
      </c>
      <c r="H2283" s="115"/>
      <c r="I2283" s="82"/>
      <c r="J2283" s="114"/>
      <c r="BB2283" s="117"/>
      <c r="BC2283" s="117"/>
      <c r="BD2283" s="117"/>
    </row>
    <row r="2284" spans="1:56">
      <c r="A2284" s="114"/>
      <c r="B2284" s="114"/>
      <c r="C2284" s="114"/>
      <c r="D2284" s="114"/>
      <c r="E2284" s="254" t="s">
        <v>767</v>
      </c>
      <c r="F2284" s="258">
        <f>SUM(F2281:F2283)</f>
        <v>33.167589</v>
      </c>
      <c r="G2284" s="258">
        <f>SUM(G2281:G2283)</f>
        <v>309.37304999999998</v>
      </c>
      <c r="H2284" s="115"/>
      <c r="I2284" s="82"/>
      <c r="J2284" s="114"/>
      <c r="BB2284" s="117"/>
      <c r="BC2284" s="117"/>
      <c r="BD2284" s="117"/>
    </row>
    <row r="2285" spans="1:56" s="259" customFormat="1" ht="15">
      <c r="A2285" s="114"/>
      <c r="B2285" s="293"/>
      <c r="C2285" s="81"/>
      <c r="D2285" s="81"/>
      <c r="E2285" s="81"/>
      <c r="F2285" s="349"/>
      <c r="G2285" s="81"/>
      <c r="H2285" s="82"/>
      <c r="I2285" s="82"/>
      <c r="J2285" s="114"/>
      <c r="K2285" s="114"/>
      <c r="L2285" s="114"/>
      <c r="M2285" s="114"/>
      <c r="N2285" s="114"/>
      <c r="O2285" s="114"/>
      <c r="P2285" s="114"/>
      <c r="Q2285" s="114"/>
      <c r="R2285" s="114"/>
      <c r="S2285" s="114"/>
      <c r="T2285" s="114"/>
      <c r="U2285" s="114"/>
      <c r="V2285" s="114"/>
      <c r="W2285" s="114"/>
      <c r="X2285" s="114"/>
      <c r="Y2285" s="114"/>
      <c r="Z2285" s="114"/>
      <c r="AA2285" s="114"/>
      <c r="AB2285" s="114"/>
      <c r="AC2285" s="114"/>
      <c r="AD2285" s="114"/>
      <c r="AE2285" s="114"/>
      <c r="AF2285" s="114"/>
      <c r="AG2285" s="114"/>
      <c r="AH2285" s="114"/>
      <c r="AI2285" s="114"/>
      <c r="AJ2285" s="114"/>
      <c r="AK2285" s="114"/>
      <c r="AL2285" s="114"/>
      <c r="AM2285" s="114"/>
      <c r="AN2285" s="114"/>
      <c r="AO2285" s="114"/>
      <c r="AP2285" s="114"/>
      <c r="AQ2285" s="114"/>
      <c r="AR2285" s="114"/>
      <c r="AS2285" s="114"/>
      <c r="AT2285" s="114"/>
      <c r="AU2285" s="114"/>
      <c r="AV2285" s="114"/>
      <c r="AW2285" s="114"/>
      <c r="AX2285" s="114"/>
      <c r="AY2285" s="114"/>
      <c r="AZ2285" s="114"/>
      <c r="BA2285" s="114"/>
    </row>
    <row r="2286" spans="1:56">
      <c r="A2286" s="114"/>
      <c r="B2286" s="115"/>
      <c r="C2286" s="115"/>
      <c r="D2286" s="115"/>
      <c r="E2286" s="115"/>
      <c r="F2286" s="115"/>
      <c r="G2286" s="115"/>
      <c r="H2286" s="115"/>
      <c r="I2286" s="82"/>
      <c r="J2286" s="114"/>
      <c r="BB2286" s="117"/>
      <c r="BC2286" s="117"/>
      <c r="BD2286" s="117"/>
    </row>
    <row r="2287" spans="1:56">
      <c r="A2287" s="114"/>
      <c r="B2287" s="115"/>
      <c r="C2287" s="115"/>
      <c r="D2287" s="115"/>
      <c r="E2287" s="115"/>
      <c r="F2287" s="115"/>
      <c r="G2287" s="115"/>
      <c r="H2287" s="115"/>
      <c r="I2287" s="82"/>
      <c r="J2287" s="114"/>
      <c r="BB2287" s="117"/>
      <c r="BC2287" s="117"/>
      <c r="BD2287" s="117"/>
    </row>
    <row r="2288" spans="1:56">
      <c r="A2288" s="114"/>
      <c r="B2288" s="1310" t="s">
        <v>1094</v>
      </c>
      <c r="C2288" s="1310"/>
      <c r="D2288" s="1310"/>
      <c r="E2288" s="1310"/>
      <c r="F2288" s="1311"/>
      <c r="G2288" s="115"/>
      <c r="H2288" s="115"/>
      <c r="I2288" s="82"/>
      <c r="J2288" s="114"/>
      <c r="BB2288" s="117"/>
      <c r="BC2288" s="117"/>
      <c r="BD2288" s="117"/>
    </row>
    <row r="2289" spans="1:56">
      <c r="A2289" s="114"/>
      <c r="B2289" s="278"/>
      <c r="C2289" s="115"/>
      <c r="D2289" s="115"/>
      <c r="E2289" s="115"/>
      <c r="F2289" s="357"/>
      <c r="G2289" s="115"/>
      <c r="H2289" s="115"/>
      <c r="I2289" s="82"/>
      <c r="J2289" s="114"/>
      <c r="BB2289" s="117"/>
      <c r="BC2289" s="117"/>
      <c r="BD2289" s="117"/>
    </row>
    <row r="2290" spans="1:56">
      <c r="A2290" s="114"/>
      <c r="B2290" s="279" t="s">
        <v>315</v>
      </c>
      <c r="C2290" s="203"/>
      <c r="D2290" s="204"/>
      <c r="E2290" s="205">
        <f>G2284+H2278+G2273+H2267+G2222+H2214+H2209+G2173+H2165+H2158+F2231</f>
        <v>4584.1910625</v>
      </c>
      <c r="F2290" s="206" t="s">
        <v>13</v>
      </c>
      <c r="G2290" s="115"/>
      <c r="H2290" s="115"/>
      <c r="I2290" s="82"/>
      <c r="J2290" s="114"/>
      <c r="BB2290" s="117"/>
      <c r="BC2290" s="117"/>
      <c r="BD2290" s="117"/>
    </row>
    <row r="2291" spans="1:56">
      <c r="A2291" s="114"/>
      <c r="B2291" s="279" t="s">
        <v>316</v>
      </c>
      <c r="C2291" s="203"/>
      <c r="D2291" s="204"/>
      <c r="E2291" s="205">
        <f>F2284+G2278+F2273+G2267+G2236+F2222+G2214+G2209+G2177+F2173+G2165+G2158+E2231</f>
        <v>1604.7693871875001</v>
      </c>
      <c r="F2291" s="206" t="s">
        <v>100</v>
      </c>
      <c r="G2291" s="115"/>
      <c r="H2291" s="115"/>
      <c r="I2291" s="82"/>
      <c r="J2291" s="114"/>
      <c r="BB2291" s="117"/>
      <c r="BC2291" s="117"/>
      <c r="BD2291" s="117"/>
    </row>
    <row r="2292" spans="1:56">
      <c r="A2292" s="114"/>
      <c r="B2292" s="279" t="s">
        <v>771</v>
      </c>
      <c r="C2292" s="231">
        <f>H2236+H2177</f>
        <v>2479.6540000000005</v>
      </c>
      <c r="D2292" s="206" t="s">
        <v>13</v>
      </c>
      <c r="E2292" s="231">
        <f>I2176</f>
        <v>2079.9432098765433</v>
      </c>
      <c r="F2292" s="206" t="s">
        <v>772</v>
      </c>
      <c r="G2292" s="115"/>
      <c r="H2292" s="115"/>
      <c r="I2292" s="82"/>
      <c r="J2292" s="114"/>
      <c r="BB2292" s="117"/>
      <c r="BC2292" s="117"/>
      <c r="BD2292" s="117"/>
    </row>
    <row r="2293" spans="1:56">
      <c r="A2293" s="114"/>
      <c r="B2293" s="237"/>
      <c r="C2293" s="237"/>
      <c r="D2293" s="237"/>
      <c r="E2293" s="237"/>
      <c r="F2293" s="237"/>
      <c r="G2293" s="115"/>
      <c r="H2293" s="115"/>
      <c r="I2293" s="82"/>
      <c r="J2293" s="114"/>
      <c r="BB2293" s="117"/>
      <c r="BC2293" s="117"/>
      <c r="BD2293" s="117"/>
    </row>
    <row r="2294" spans="1:56" s="356" customFormat="1" ht="15">
      <c r="A2294" s="353"/>
      <c r="B2294" s="354" t="s">
        <v>1489</v>
      </c>
      <c r="C2294" s="354"/>
      <c r="D2294" s="354"/>
      <c r="E2294" s="354"/>
      <c r="F2294" s="354"/>
      <c r="G2294" s="354"/>
      <c r="H2294" s="355"/>
      <c r="I2294" s="355"/>
      <c r="J2294" s="353"/>
      <c r="K2294" s="353"/>
      <c r="L2294" s="353"/>
      <c r="M2294" s="353"/>
      <c r="N2294" s="353"/>
      <c r="O2294" s="353"/>
      <c r="P2294" s="353"/>
      <c r="Q2294" s="353"/>
      <c r="R2294" s="353"/>
      <c r="S2294" s="353"/>
      <c r="T2294" s="353"/>
      <c r="U2294" s="353"/>
      <c r="V2294" s="353"/>
      <c r="W2294" s="353"/>
      <c r="X2294" s="353"/>
      <c r="Y2294" s="353"/>
      <c r="Z2294" s="353"/>
      <c r="AA2294" s="353"/>
      <c r="AB2294" s="353"/>
      <c r="AC2294" s="353"/>
      <c r="AD2294" s="353"/>
      <c r="AE2294" s="353"/>
      <c r="AF2294" s="353"/>
      <c r="AG2294" s="353"/>
      <c r="AH2294" s="353"/>
      <c r="AI2294" s="353"/>
      <c r="AJ2294" s="353"/>
      <c r="AK2294" s="353"/>
      <c r="AL2294" s="353"/>
      <c r="AM2294" s="353"/>
      <c r="AN2294" s="353"/>
      <c r="AO2294" s="353"/>
      <c r="AP2294" s="353"/>
      <c r="AQ2294" s="353"/>
      <c r="AR2294" s="353"/>
      <c r="AS2294" s="353"/>
      <c r="AT2294" s="353"/>
      <c r="AU2294" s="353"/>
      <c r="AV2294" s="353"/>
      <c r="AW2294" s="353"/>
      <c r="AX2294" s="353"/>
      <c r="AY2294" s="353"/>
      <c r="AZ2294" s="353"/>
      <c r="BA2294" s="353"/>
    </row>
    <row r="2295" spans="1:56">
      <c r="A2295" s="114"/>
      <c r="B2295" s="241" t="s">
        <v>1490</v>
      </c>
      <c r="C2295" s="237"/>
      <c r="D2295" s="237"/>
      <c r="E2295" s="237"/>
      <c r="F2295" s="237"/>
      <c r="G2295" s="115"/>
      <c r="H2295" s="115"/>
      <c r="I2295" s="82"/>
      <c r="J2295" s="114"/>
      <c r="BB2295" s="117"/>
      <c r="BC2295" s="117"/>
      <c r="BD2295" s="117"/>
    </row>
    <row r="2296" spans="1:56" ht="15">
      <c r="A2296" s="114"/>
      <c r="B2296" s="114"/>
      <c r="C2296" s="114"/>
      <c r="D2296" s="114"/>
      <c r="E2296" s="114"/>
      <c r="F2296" s="114"/>
      <c r="G2296" s="114"/>
      <c r="H2296" s="114"/>
      <c r="I2296" s="82"/>
      <c r="J2296" s="114"/>
      <c r="BB2296" s="117"/>
      <c r="BC2296" s="117"/>
      <c r="BD2296" s="117"/>
    </row>
    <row r="2297" spans="1:56" ht="15">
      <c r="A2297" s="114"/>
      <c r="B2297" s="242" t="s">
        <v>96</v>
      </c>
      <c r="C2297" s="199" t="s">
        <v>61</v>
      </c>
      <c r="D2297" s="199" t="s">
        <v>82</v>
      </c>
      <c r="E2297" s="199" t="s">
        <v>66</v>
      </c>
      <c r="F2297" s="199" t="s">
        <v>62</v>
      </c>
      <c r="G2297" s="243" t="s">
        <v>99</v>
      </c>
      <c r="H2297" s="243" t="s">
        <v>68</v>
      </c>
      <c r="I2297" s="82"/>
      <c r="J2297" s="114"/>
      <c r="BB2297" s="117"/>
      <c r="BC2297" s="117"/>
      <c r="BD2297" s="117"/>
    </row>
    <row r="2298" spans="1:56" ht="15">
      <c r="A2298" s="114"/>
      <c r="B2298" s="244" t="s">
        <v>647</v>
      </c>
      <c r="C2298" s="200">
        <v>1</v>
      </c>
      <c r="D2298" s="245">
        <v>0.75</v>
      </c>
      <c r="E2298" s="245">
        <v>0.75</v>
      </c>
      <c r="F2298" s="201">
        <v>6.35</v>
      </c>
      <c r="G2298" s="202">
        <f t="shared" ref="G2298:G2352" si="222">D2298*E2298*F2298*C2298</f>
        <v>3.5718749999999999</v>
      </c>
      <c r="H2298" s="202">
        <f t="shared" ref="H2298:H2352" si="223">(D2298+E2298)*2*F2298*C2298</f>
        <v>19.049999999999997</v>
      </c>
      <c r="I2298" s="82"/>
      <c r="J2298" s="114"/>
      <c r="BB2298" s="117"/>
      <c r="BC2298" s="117"/>
      <c r="BD2298" s="117"/>
    </row>
    <row r="2299" spans="1:56" ht="15">
      <c r="A2299" s="114"/>
      <c r="B2299" s="244" t="s">
        <v>648</v>
      </c>
      <c r="C2299" s="200">
        <v>1</v>
      </c>
      <c r="D2299" s="245">
        <v>0.75</v>
      </c>
      <c r="E2299" s="245">
        <v>0.75</v>
      </c>
      <c r="F2299" s="201">
        <v>6.35</v>
      </c>
      <c r="G2299" s="202">
        <f t="shared" si="222"/>
        <v>3.5718749999999999</v>
      </c>
      <c r="H2299" s="202">
        <f t="shared" si="223"/>
        <v>19.049999999999997</v>
      </c>
      <c r="I2299" s="82"/>
      <c r="J2299" s="114"/>
      <c r="BB2299" s="117"/>
      <c r="BC2299" s="117"/>
      <c r="BD2299" s="117"/>
    </row>
    <row r="2300" spans="1:56" ht="15">
      <c r="A2300" s="114"/>
      <c r="B2300" s="244" t="s">
        <v>649</v>
      </c>
      <c r="C2300" s="200">
        <v>1</v>
      </c>
      <c r="D2300" s="245">
        <v>0.36499999999999999</v>
      </c>
      <c r="E2300" s="245">
        <v>0.75</v>
      </c>
      <c r="F2300" s="201">
        <v>6.35</v>
      </c>
      <c r="G2300" s="202">
        <f t="shared" si="222"/>
        <v>1.7383124999999999</v>
      </c>
      <c r="H2300" s="202">
        <f t="shared" si="223"/>
        <v>14.160499999999999</v>
      </c>
      <c r="I2300" s="82"/>
      <c r="J2300" s="114"/>
      <c r="BB2300" s="117"/>
      <c r="BC2300" s="117"/>
      <c r="BD2300" s="117"/>
    </row>
    <row r="2301" spans="1:56" ht="15">
      <c r="A2301" s="114"/>
      <c r="B2301" s="244" t="s">
        <v>650</v>
      </c>
      <c r="C2301" s="200">
        <v>1</v>
      </c>
      <c r="D2301" s="245">
        <v>0.36499999999999999</v>
      </c>
      <c r="E2301" s="245">
        <v>0.75</v>
      </c>
      <c r="F2301" s="201">
        <v>6.35</v>
      </c>
      <c r="G2301" s="202">
        <f t="shared" si="222"/>
        <v>1.7383124999999999</v>
      </c>
      <c r="H2301" s="202">
        <f t="shared" si="223"/>
        <v>14.160499999999999</v>
      </c>
      <c r="I2301" s="82"/>
      <c r="J2301" s="114"/>
      <c r="BB2301" s="117"/>
      <c r="BC2301" s="117"/>
      <c r="BD2301" s="117"/>
    </row>
    <row r="2302" spans="1:56" ht="15">
      <c r="A2302" s="114"/>
      <c r="B2302" s="244" t="s">
        <v>651</v>
      </c>
      <c r="C2302" s="200">
        <v>1</v>
      </c>
      <c r="D2302" s="245">
        <v>0.75</v>
      </c>
      <c r="E2302" s="245">
        <v>0.75</v>
      </c>
      <c r="F2302" s="201">
        <v>6.35</v>
      </c>
      <c r="G2302" s="202">
        <f t="shared" si="222"/>
        <v>3.5718749999999999</v>
      </c>
      <c r="H2302" s="202">
        <f t="shared" si="223"/>
        <v>19.049999999999997</v>
      </c>
      <c r="I2302" s="82"/>
      <c r="J2302" s="114"/>
      <c r="BB2302" s="117"/>
      <c r="BC2302" s="117"/>
      <c r="BD2302" s="117"/>
    </row>
    <row r="2303" spans="1:56" ht="15">
      <c r="A2303" s="114"/>
      <c r="B2303" s="244" t="s">
        <v>652</v>
      </c>
      <c r="C2303" s="200">
        <v>1</v>
      </c>
      <c r="D2303" s="245">
        <v>0.75</v>
      </c>
      <c r="E2303" s="245">
        <v>0.75</v>
      </c>
      <c r="F2303" s="201">
        <v>6.35</v>
      </c>
      <c r="G2303" s="202">
        <f t="shared" si="222"/>
        <v>3.5718749999999999</v>
      </c>
      <c r="H2303" s="202">
        <f t="shared" si="223"/>
        <v>19.049999999999997</v>
      </c>
      <c r="I2303" s="82"/>
      <c r="J2303" s="114"/>
      <c r="BB2303" s="117"/>
      <c r="BC2303" s="117"/>
      <c r="BD2303" s="117"/>
    </row>
    <row r="2304" spans="1:56" ht="15">
      <c r="A2304" s="114"/>
      <c r="B2304" s="244" t="s">
        <v>653</v>
      </c>
      <c r="C2304" s="200">
        <v>1</v>
      </c>
      <c r="D2304" s="245">
        <v>0.36499999999999999</v>
      </c>
      <c r="E2304" s="245">
        <v>0.75</v>
      </c>
      <c r="F2304" s="201">
        <v>6.35</v>
      </c>
      <c r="G2304" s="202">
        <f t="shared" si="222"/>
        <v>1.7383124999999999</v>
      </c>
      <c r="H2304" s="202">
        <f t="shared" si="223"/>
        <v>14.160499999999999</v>
      </c>
      <c r="I2304" s="82"/>
      <c r="J2304" s="114"/>
      <c r="BB2304" s="117"/>
      <c r="BC2304" s="117"/>
      <c r="BD2304" s="117"/>
    </row>
    <row r="2305" spans="1:56" ht="15">
      <c r="A2305" s="114"/>
      <c r="B2305" s="244" t="s">
        <v>654</v>
      </c>
      <c r="C2305" s="200">
        <v>1</v>
      </c>
      <c r="D2305" s="245">
        <v>0.36499999999999999</v>
      </c>
      <c r="E2305" s="245">
        <v>0.75</v>
      </c>
      <c r="F2305" s="201">
        <v>6.35</v>
      </c>
      <c r="G2305" s="202">
        <f t="shared" si="222"/>
        <v>1.7383124999999999</v>
      </c>
      <c r="H2305" s="202">
        <f t="shared" si="223"/>
        <v>14.160499999999999</v>
      </c>
      <c r="I2305" s="82"/>
      <c r="J2305" s="114"/>
      <c r="BB2305" s="117"/>
      <c r="BC2305" s="117"/>
      <c r="BD2305" s="117"/>
    </row>
    <row r="2306" spans="1:56" ht="15">
      <c r="A2306" s="114"/>
      <c r="B2306" s="244" t="s">
        <v>655</v>
      </c>
      <c r="C2306" s="200">
        <v>1</v>
      </c>
      <c r="D2306" s="245">
        <v>0.75</v>
      </c>
      <c r="E2306" s="245">
        <v>0.75</v>
      </c>
      <c r="F2306" s="201">
        <v>6.35</v>
      </c>
      <c r="G2306" s="202">
        <f t="shared" si="222"/>
        <v>3.5718749999999999</v>
      </c>
      <c r="H2306" s="202">
        <f t="shared" si="223"/>
        <v>19.049999999999997</v>
      </c>
      <c r="I2306" s="82"/>
      <c r="J2306" s="114"/>
      <c r="BB2306" s="117"/>
      <c r="BC2306" s="117"/>
      <c r="BD2306" s="117"/>
    </row>
    <row r="2307" spans="1:56" ht="15">
      <c r="A2307" s="114"/>
      <c r="B2307" s="244" t="s">
        <v>656</v>
      </c>
      <c r="C2307" s="200">
        <v>1</v>
      </c>
      <c r="D2307" s="245">
        <v>0.75</v>
      </c>
      <c r="E2307" s="245">
        <v>0.75</v>
      </c>
      <c r="F2307" s="201">
        <v>6.35</v>
      </c>
      <c r="G2307" s="202">
        <f t="shared" si="222"/>
        <v>3.5718749999999999</v>
      </c>
      <c r="H2307" s="202">
        <f t="shared" si="223"/>
        <v>19.049999999999997</v>
      </c>
      <c r="I2307" s="82"/>
      <c r="J2307" s="114"/>
      <c r="BB2307" s="117"/>
      <c r="BC2307" s="117"/>
      <c r="BD2307" s="117"/>
    </row>
    <row r="2308" spans="1:56" ht="15">
      <c r="A2308" s="114"/>
      <c r="B2308" s="244" t="s">
        <v>657</v>
      </c>
      <c r="C2308" s="200">
        <v>1</v>
      </c>
      <c r="D2308" s="245">
        <v>0.36499999999999999</v>
      </c>
      <c r="E2308" s="245">
        <v>0.75</v>
      </c>
      <c r="F2308" s="201">
        <v>6.35</v>
      </c>
      <c r="G2308" s="202">
        <f t="shared" si="222"/>
        <v>1.7383124999999999</v>
      </c>
      <c r="H2308" s="202">
        <f t="shared" si="223"/>
        <v>14.160499999999999</v>
      </c>
      <c r="I2308" s="82"/>
      <c r="J2308" s="114"/>
      <c r="BB2308" s="117"/>
      <c r="BC2308" s="117"/>
      <c r="BD2308" s="117"/>
    </row>
    <row r="2309" spans="1:56" ht="15">
      <c r="A2309" s="114"/>
      <c r="B2309" s="244" t="s">
        <v>1508</v>
      </c>
      <c r="C2309" s="200">
        <v>1</v>
      </c>
      <c r="D2309" s="245">
        <v>0.36499999999999999</v>
      </c>
      <c r="E2309" s="245">
        <v>0.75</v>
      </c>
      <c r="F2309" s="201">
        <v>6.35</v>
      </c>
      <c r="G2309" s="202">
        <f t="shared" ref="G2309" si="224">D2309*E2309*F2309*C2309</f>
        <v>1.7383124999999999</v>
      </c>
      <c r="H2309" s="202">
        <f t="shared" ref="H2309" si="225">(D2309+E2309)*2*F2309*C2309</f>
        <v>14.160499999999999</v>
      </c>
      <c r="I2309" s="82"/>
      <c r="J2309" s="114"/>
      <c r="BB2309" s="117"/>
      <c r="BC2309" s="117"/>
      <c r="BD2309" s="117"/>
    </row>
    <row r="2310" spans="1:56" ht="15">
      <c r="A2310" s="114"/>
      <c r="B2310" s="244" t="s">
        <v>847</v>
      </c>
      <c r="C2310" s="200">
        <v>1</v>
      </c>
      <c r="D2310" s="245">
        <v>0.75</v>
      </c>
      <c r="E2310" s="245">
        <v>0.75</v>
      </c>
      <c r="F2310" s="201">
        <v>6.35</v>
      </c>
      <c r="G2310" s="202">
        <f t="shared" ref="G2310:G2324" si="226">D2310*E2310*F2310*C2310</f>
        <v>3.5718749999999999</v>
      </c>
      <c r="H2310" s="202">
        <f t="shared" ref="H2310:H2324" si="227">(D2310+E2310)*2*F2310*C2310</f>
        <v>19.049999999999997</v>
      </c>
      <c r="I2310" s="82"/>
      <c r="J2310" s="114"/>
      <c r="BB2310" s="117"/>
      <c r="BC2310" s="117"/>
      <c r="BD2310" s="117"/>
    </row>
    <row r="2311" spans="1:56" ht="15">
      <c r="A2311" s="114"/>
      <c r="B2311" s="244" t="s">
        <v>848</v>
      </c>
      <c r="C2311" s="200">
        <v>1</v>
      </c>
      <c r="D2311" s="245">
        <v>0.75</v>
      </c>
      <c r="E2311" s="245">
        <v>0.75</v>
      </c>
      <c r="F2311" s="201">
        <v>6.35</v>
      </c>
      <c r="G2311" s="202">
        <f t="shared" si="226"/>
        <v>3.5718749999999999</v>
      </c>
      <c r="H2311" s="202">
        <f t="shared" si="227"/>
        <v>19.049999999999997</v>
      </c>
      <c r="I2311" s="82"/>
      <c r="J2311" s="114"/>
      <c r="BB2311" s="117"/>
      <c r="BC2311" s="117"/>
      <c r="BD2311" s="117"/>
    </row>
    <row r="2312" spans="1:56" ht="15">
      <c r="A2312" s="114"/>
      <c r="B2312" s="244" t="s">
        <v>849</v>
      </c>
      <c r="C2312" s="200">
        <v>1</v>
      </c>
      <c r="D2312" s="245">
        <v>0.36499999999999999</v>
      </c>
      <c r="E2312" s="245">
        <v>0.75</v>
      </c>
      <c r="F2312" s="201">
        <v>6.35</v>
      </c>
      <c r="G2312" s="202">
        <f t="shared" si="226"/>
        <v>1.7383124999999999</v>
      </c>
      <c r="H2312" s="202">
        <f t="shared" si="227"/>
        <v>14.160499999999999</v>
      </c>
      <c r="I2312" s="82"/>
      <c r="J2312" s="114"/>
      <c r="BB2312" s="117"/>
      <c r="BC2312" s="117"/>
      <c r="BD2312" s="117"/>
    </row>
    <row r="2313" spans="1:56" ht="15">
      <c r="A2313" s="114"/>
      <c r="B2313" s="244" t="s">
        <v>850</v>
      </c>
      <c r="C2313" s="200">
        <v>1</v>
      </c>
      <c r="D2313" s="245">
        <v>0.36499999999999999</v>
      </c>
      <c r="E2313" s="245">
        <v>0.75</v>
      </c>
      <c r="F2313" s="201">
        <v>10.75</v>
      </c>
      <c r="G2313" s="202">
        <f t="shared" si="226"/>
        <v>2.9428125000000001</v>
      </c>
      <c r="H2313" s="202">
        <f t="shared" si="227"/>
        <v>23.9725</v>
      </c>
      <c r="I2313" s="82"/>
      <c r="J2313" s="114"/>
      <c r="BB2313" s="117"/>
      <c r="BC2313" s="117"/>
      <c r="BD2313" s="117"/>
    </row>
    <row r="2314" spans="1:56" ht="15">
      <c r="A2314" s="114"/>
      <c r="B2314" s="244" t="s">
        <v>851</v>
      </c>
      <c r="C2314" s="200">
        <v>1</v>
      </c>
      <c r="D2314" s="245">
        <v>0.75</v>
      </c>
      <c r="E2314" s="245">
        <v>0.75</v>
      </c>
      <c r="F2314" s="201">
        <v>10.75</v>
      </c>
      <c r="G2314" s="202">
        <f t="shared" si="226"/>
        <v>6.046875</v>
      </c>
      <c r="H2314" s="202">
        <f t="shared" si="227"/>
        <v>32.25</v>
      </c>
      <c r="I2314" s="82"/>
      <c r="J2314" s="114"/>
      <c r="BB2314" s="117"/>
      <c r="BC2314" s="117"/>
      <c r="BD2314" s="117"/>
    </row>
    <row r="2315" spans="1:56" ht="15">
      <c r="A2315" s="114"/>
      <c r="B2315" s="244" t="s">
        <v>852</v>
      </c>
      <c r="C2315" s="200">
        <v>1</v>
      </c>
      <c r="D2315" s="245">
        <v>0.75</v>
      </c>
      <c r="E2315" s="245">
        <v>0.75</v>
      </c>
      <c r="F2315" s="201">
        <v>10.75</v>
      </c>
      <c r="G2315" s="202">
        <f t="shared" si="226"/>
        <v>6.046875</v>
      </c>
      <c r="H2315" s="202">
        <f t="shared" si="227"/>
        <v>32.25</v>
      </c>
      <c r="I2315" s="82"/>
      <c r="J2315" s="114"/>
      <c r="BB2315" s="117"/>
      <c r="BC2315" s="117"/>
      <c r="BD2315" s="117"/>
    </row>
    <row r="2316" spans="1:56" ht="15">
      <c r="A2316" s="114"/>
      <c r="B2316" s="244" t="s">
        <v>853</v>
      </c>
      <c r="C2316" s="200">
        <v>1</v>
      </c>
      <c r="D2316" s="245">
        <v>0.36499999999999999</v>
      </c>
      <c r="E2316" s="245">
        <v>0.75</v>
      </c>
      <c r="F2316" s="201">
        <v>10.75</v>
      </c>
      <c r="G2316" s="202">
        <f t="shared" si="226"/>
        <v>2.9428125000000001</v>
      </c>
      <c r="H2316" s="202">
        <f t="shared" si="227"/>
        <v>23.9725</v>
      </c>
      <c r="I2316" s="82"/>
      <c r="J2316" s="114"/>
      <c r="BB2316" s="117"/>
      <c r="BC2316" s="117"/>
      <c r="BD2316" s="117"/>
    </row>
    <row r="2317" spans="1:56" ht="15">
      <c r="A2317" s="114"/>
      <c r="B2317" s="244" t="s">
        <v>854</v>
      </c>
      <c r="C2317" s="200">
        <v>1</v>
      </c>
      <c r="D2317" s="245">
        <v>0.36499999999999999</v>
      </c>
      <c r="E2317" s="245">
        <v>0.75</v>
      </c>
      <c r="F2317" s="201">
        <v>10.75</v>
      </c>
      <c r="G2317" s="202">
        <f t="shared" si="226"/>
        <v>2.9428125000000001</v>
      </c>
      <c r="H2317" s="202">
        <f t="shared" si="227"/>
        <v>23.9725</v>
      </c>
      <c r="I2317" s="82"/>
      <c r="J2317" s="114"/>
      <c r="BB2317" s="117"/>
      <c r="BC2317" s="117"/>
      <c r="BD2317" s="117"/>
    </row>
    <row r="2318" spans="1:56" ht="15">
      <c r="A2318" s="114"/>
      <c r="B2318" s="244" t="s">
        <v>855</v>
      </c>
      <c r="C2318" s="200">
        <v>1</v>
      </c>
      <c r="D2318" s="245">
        <v>0.75</v>
      </c>
      <c r="E2318" s="245">
        <v>0.75</v>
      </c>
      <c r="F2318" s="201">
        <v>10.75</v>
      </c>
      <c r="G2318" s="202">
        <f t="shared" si="226"/>
        <v>6.046875</v>
      </c>
      <c r="H2318" s="202">
        <f t="shared" si="227"/>
        <v>32.25</v>
      </c>
      <c r="I2318" s="82"/>
      <c r="J2318" s="114"/>
      <c r="BB2318" s="117"/>
      <c r="BC2318" s="117"/>
      <c r="BD2318" s="117"/>
    </row>
    <row r="2319" spans="1:56" ht="15">
      <c r="A2319" s="114"/>
      <c r="B2319" s="244" t="s">
        <v>995</v>
      </c>
      <c r="C2319" s="200">
        <v>1</v>
      </c>
      <c r="D2319" s="245">
        <v>0.75</v>
      </c>
      <c r="E2319" s="245">
        <v>0.75</v>
      </c>
      <c r="F2319" s="201">
        <v>10.75</v>
      </c>
      <c r="G2319" s="202">
        <f t="shared" si="226"/>
        <v>6.046875</v>
      </c>
      <c r="H2319" s="202">
        <f t="shared" si="227"/>
        <v>32.25</v>
      </c>
      <c r="I2319" s="82"/>
      <c r="J2319" s="114"/>
      <c r="BB2319" s="117"/>
      <c r="BC2319" s="117"/>
      <c r="BD2319" s="117"/>
    </row>
    <row r="2320" spans="1:56" ht="15">
      <c r="A2320" s="114"/>
      <c r="B2320" s="244" t="s">
        <v>996</v>
      </c>
      <c r="C2320" s="200">
        <v>1</v>
      </c>
      <c r="D2320" s="245">
        <v>0.36499999999999999</v>
      </c>
      <c r="E2320" s="245">
        <v>0.75</v>
      </c>
      <c r="F2320" s="201">
        <v>6.35</v>
      </c>
      <c r="G2320" s="202">
        <f t="shared" si="226"/>
        <v>1.7383124999999999</v>
      </c>
      <c r="H2320" s="202">
        <f t="shared" si="227"/>
        <v>14.160499999999999</v>
      </c>
      <c r="I2320" s="82"/>
      <c r="J2320" s="114"/>
      <c r="BB2320" s="117"/>
      <c r="BC2320" s="117"/>
      <c r="BD2320" s="117"/>
    </row>
    <row r="2321" spans="1:56" ht="15">
      <c r="A2321" s="114"/>
      <c r="B2321" s="244" t="s">
        <v>997</v>
      </c>
      <c r="C2321" s="200">
        <v>1</v>
      </c>
      <c r="D2321" s="245">
        <v>0.6</v>
      </c>
      <c r="E2321" s="245">
        <v>0.75</v>
      </c>
      <c r="F2321" s="201">
        <v>10.725</v>
      </c>
      <c r="G2321" s="202">
        <f t="shared" si="226"/>
        <v>4.826249999999999</v>
      </c>
      <c r="H2321" s="202">
        <f t="shared" si="227"/>
        <v>28.9575</v>
      </c>
      <c r="I2321" s="82"/>
      <c r="J2321" s="114"/>
      <c r="BB2321" s="117"/>
      <c r="BC2321" s="117"/>
      <c r="BD2321" s="117"/>
    </row>
    <row r="2322" spans="1:56" ht="15">
      <c r="A2322" s="114"/>
      <c r="B2322" s="244" t="s">
        <v>998</v>
      </c>
      <c r="C2322" s="200">
        <v>1</v>
      </c>
      <c r="D2322" s="245">
        <v>0.75</v>
      </c>
      <c r="E2322" s="245">
        <v>0.75</v>
      </c>
      <c r="F2322" s="201">
        <v>10.725</v>
      </c>
      <c r="G2322" s="202">
        <f t="shared" si="226"/>
        <v>6.0328124999999995</v>
      </c>
      <c r="H2322" s="202">
        <f t="shared" si="227"/>
        <v>32.174999999999997</v>
      </c>
      <c r="I2322" s="82"/>
      <c r="J2322" s="114"/>
      <c r="BB2322" s="117"/>
      <c r="BC2322" s="117"/>
      <c r="BD2322" s="117"/>
    </row>
    <row r="2323" spans="1:56" ht="15">
      <c r="A2323" s="114"/>
      <c r="B2323" s="244" t="s">
        <v>999</v>
      </c>
      <c r="C2323" s="200">
        <v>1</v>
      </c>
      <c r="D2323" s="245">
        <v>0.75</v>
      </c>
      <c r="E2323" s="245">
        <v>0.75</v>
      </c>
      <c r="F2323" s="201">
        <v>10.725</v>
      </c>
      <c r="G2323" s="202">
        <f t="shared" si="226"/>
        <v>6.0328124999999995</v>
      </c>
      <c r="H2323" s="202">
        <f t="shared" si="227"/>
        <v>32.174999999999997</v>
      </c>
      <c r="I2323" s="82"/>
      <c r="J2323" s="114"/>
      <c r="BB2323" s="117"/>
      <c r="BC2323" s="117"/>
      <c r="BD2323" s="117"/>
    </row>
    <row r="2324" spans="1:56" ht="15">
      <c r="A2324" s="114"/>
      <c r="B2324" s="244" t="s">
        <v>1000</v>
      </c>
      <c r="C2324" s="200">
        <v>1</v>
      </c>
      <c r="D2324" s="245">
        <v>0.75</v>
      </c>
      <c r="E2324" s="245">
        <v>0.75</v>
      </c>
      <c r="F2324" s="201">
        <v>10.725</v>
      </c>
      <c r="G2324" s="202">
        <f t="shared" si="226"/>
        <v>6.0328124999999995</v>
      </c>
      <c r="H2324" s="202">
        <f t="shared" si="227"/>
        <v>32.174999999999997</v>
      </c>
      <c r="I2324" s="82"/>
      <c r="J2324" s="114"/>
      <c r="BB2324" s="117"/>
      <c r="BC2324" s="117"/>
      <c r="BD2324" s="117"/>
    </row>
    <row r="2325" spans="1:56" ht="15">
      <c r="A2325" s="114"/>
      <c r="B2325" s="244" t="s">
        <v>658</v>
      </c>
      <c r="C2325" s="200">
        <v>1</v>
      </c>
      <c r="D2325" s="245">
        <v>0.75</v>
      </c>
      <c r="E2325" s="245">
        <v>0.75</v>
      </c>
      <c r="F2325" s="201">
        <v>17.5</v>
      </c>
      <c r="G2325" s="202">
        <f t="shared" si="222"/>
        <v>9.84375</v>
      </c>
      <c r="H2325" s="202">
        <f t="shared" si="223"/>
        <v>52.5</v>
      </c>
      <c r="I2325" s="82"/>
      <c r="J2325" s="114"/>
      <c r="BB2325" s="117"/>
      <c r="BC2325" s="117"/>
      <c r="BD2325" s="117"/>
    </row>
    <row r="2326" spans="1:56" ht="15">
      <c r="A2326" s="114"/>
      <c r="B2326" s="244" t="s">
        <v>659</v>
      </c>
      <c r="C2326" s="200">
        <v>1</v>
      </c>
      <c r="D2326" s="245">
        <v>0.75</v>
      </c>
      <c r="E2326" s="245">
        <v>0.75</v>
      </c>
      <c r="F2326" s="201">
        <v>17.5</v>
      </c>
      <c r="G2326" s="202">
        <f t="shared" si="222"/>
        <v>9.84375</v>
      </c>
      <c r="H2326" s="202">
        <f t="shared" si="223"/>
        <v>52.5</v>
      </c>
      <c r="I2326" s="82"/>
      <c r="J2326" s="114"/>
      <c r="BB2326" s="117"/>
      <c r="BC2326" s="117"/>
      <c r="BD2326" s="117"/>
    </row>
    <row r="2327" spans="1:56" ht="15">
      <c r="A2327" s="114"/>
      <c r="B2327" s="244" t="s">
        <v>660</v>
      </c>
      <c r="C2327" s="200">
        <v>1</v>
      </c>
      <c r="D2327" s="245">
        <v>0.36499999999999999</v>
      </c>
      <c r="E2327" s="245">
        <v>0.75</v>
      </c>
      <c r="F2327" s="201">
        <v>17.5</v>
      </c>
      <c r="G2327" s="202">
        <f t="shared" si="222"/>
        <v>4.7906249999999995</v>
      </c>
      <c r="H2327" s="202">
        <f t="shared" si="223"/>
        <v>39.024999999999999</v>
      </c>
      <c r="I2327" s="82"/>
      <c r="J2327" s="114"/>
      <c r="BB2327" s="117"/>
      <c r="BC2327" s="117"/>
      <c r="BD2327" s="117"/>
    </row>
    <row r="2328" spans="1:56" ht="15">
      <c r="A2328" s="114"/>
      <c r="B2328" s="244" t="s">
        <v>661</v>
      </c>
      <c r="C2328" s="200">
        <v>1</v>
      </c>
      <c r="D2328" s="245">
        <v>0.36499999999999999</v>
      </c>
      <c r="E2328" s="245">
        <v>0.75</v>
      </c>
      <c r="F2328" s="201">
        <v>17.5</v>
      </c>
      <c r="G2328" s="202">
        <f t="shared" si="222"/>
        <v>4.7906249999999995</v>
      </c>
      <c r="H2328" s="202">
        <f t="shared" si="223"/>
        <v>39.024999999999999</v>
      </c>
      <c r="I2328" s="82"/>
      <c r="J2328" s="114"/>
      <c r="BB2328" s="117"/>
      <c r="BC2328" s="117"/>
      <c r="BD2328" s="117"/>
    </row>
    <row r="2329" spans="1:56" ht="15">
      <c r="A2329" s="114"/>
      <c r="B2329" s="244" t="s">
        <v>662</v>
      </c>
      <c r="C2329" s="200">
        <v>1</v>
      </c>
      <c r="D2329" s="245">
        <v>0.75</v>
      </c>
      <c r="E2329" s="245">
        <v>0.75</v>
      </c>
      <c r="F2329" s="201">
        <v>17.5</v>
      </c>
      <c r="G2329" s="202">
        <f t="shared" si="222"/>
        <v>9.84375</v>
      </c>
      <c r="H2329" s="202">
        <f t="shared" si="223"/>
        <v>52.5</v>
      </c>
      <c r="I2329" s="82"/>
      <c r="J2329" s="114"/>
      <c r="BB2329" s="117"/>
      <c r="BC2329" s="117"/>
      <c r="BD2329" s="117"/>
    </row>
    <row r="2330" spans="1:56" ht="15">
      <c r="A2330" s="114"/>
      <c r="B2330" s="244" t="s">
        <v>663</v>
      </c>
      <c r="C2330" s="200">
        <v>1</v>
      </c>
      <c r="D2330" s="245">
        <v>0.75</v>
      </c>
      <c r="E2330" s="245">
        <v>0.75</v>
      </c>
      <c r="F2330" s="201">
        <v>17.5</v>
      </c>
      <c r="G2330" s="202">
        <f t="shared" si="222"/>
        <v>9.84375</v>
      </c>
      <c r="H2330" s="202">
        <f t="shared" si="223"/>
        <v>52.5</v>
      </c>
      <c r="I2330" s="82"/>
      <c r="J2330" s="114"/>
      <c r="BB2330" s="117"/>
      <c r="BC2330" s="117"/>
      <c r="BD2330" s="117"/>
    </row>
    <row r="2331" spans="1:56" ht="15">
      <c r="A2331" s="114"/>
      <c r="B2331" s="244" t="s">
        <v>664</v>
      </c>
      <c r="C2331" s="200">
        <v>1</v>
      </c>
      <c r="D2331" s="245">
        <v>0.36499999999999999</v>
      </c>
      <c r="E2331" s="245">
        <v>0.75</v>
      </c>
      <c r="F2331" s="201">
        <v>17.5</v>
      </c>
      <c r="G2331" s="202">
        <f t="shared" si="222"/>
        <v>4.7906249999999995</v>
      </c>
      <c r="H2331" s="202">
        <f t="shared" si="223"/>
        <v>39.024999999999999</v>
      </c>
      <c r="I2331" s="82"/>
      <c r="J2331" s="114"/>
      <c r="BB2331" s="117"/>
      <c r="BC2331" s="117"/>
      <c r="BD2331" s="117"/>
    </row>
    <row r="2332" spans="1:56" ht="15">
      <c r="A2332" s="114"/>
      <c r="B2332" s="244" t="s">
        <v>665</v>
      </c>
      <c r="C2332" s="200">
        <v>1</v>
      </c>
      <c r="D2332" s="245">
        <v>0.36499999999999999</v>
      </c>
      <c r="E2332" s="245">
        <v>0.75</v>
      </c>
      <c r="F2332" s="201">
        <v>17.5</v>
      </c>
      <c r="G2332" s="202">
        <f t="shared" si="222"/>
        <v>4.7906249999999995</v>
      </c>
      <c r="H2332" s="202">
        <f t="shared" si="223"/>
        <v>39.024999999999999</v>
      </c>
      <c r="I2332" s="82"/>
      <c r="J2332" s="114"/>
      <c r="BB2332" s="117"/>
      <c r="BC2332" s="117"/>
      <c r="BD2332" s="117"/>
    </row>
    <row r="2333" spans="1:56" ht="15">
      <c r="A2333" s="114"/>
      <c r="B2333" s="244" t="s">
        <v>666</v>
      </c>
      <c r="C2333" s="200">
        <v>1</v>
      </c>
      <c r="D2333" s="245">
        <v>0.75</v>
      </c>
      <c r="E2333" s="245">
        <v>0.75</v>
      </c>
      <c r="F2333" s="201">
        <v>17.5</v>
      </c>
      <c r="G2333" s="202">
        <f t="shared" si="222"/>
        <v>9.84375</v>
      </c>
      <c r="H2333" s="202">
        <f t="shared" si="223"/>
        <v>52.5</v>
      </c>
      <c r="I2333" s="82"/>
      <c r="J2333" s="114"/>
      <c r="BB2333" s="117"/>
      <c r="BC2333" s="117"/>
      <c r="BD2333" s="117"/>
    </row>
    <row r="2334" spans="1:56" ht="15">
      <c r="A2334" s="114"/>
      <c r="B2334" s="244" t="s">
        <v>667</v>
      </c>
      <c r="C2334" s="200">
        <v>1</v>
      </c>
      <c r="D2334" s="245">
        <v>0.75</v>
      </c>
      <c r="E2334" s="245">
        <v>0.75</v>
      </c>
      <c r="F2334" s="201">
        <v>17.5</v>
      </c>
      <c r="G2334" s="202">
        <f t="shared" si="222"/>
        <v>9.84375</v>
      </c>
      <c r="H2334" s="202">
        <f t="shared" si="223"/>
        <v>52.5</v>
      </c>
      <c r="I2334" s="82"/>
      <c r="J2334" s="114"/>
      <c r="BB2334" s="117"/>
      <c r="BC2334" s="117"/>
      <c r="BD2334" s="117"/>
    </row>
    <row r="2335" spans="1:56" ht="15">
      <c r="A2335" s="114"/>
      <c r="B2335" s="244" t="s">
        <v>668</v>
      </c>
      <c r="C2335" s="200">
        <v>1</v>
      </c>
      <c r="D2335" s="245">
        <v>0.36499999999999999</v>
      </c>
      <c r="E2335" s="245">
        <v>0.75</v>
      </c>
      <c r="F2335" s="201">
        <v>17.5</v>
      </c>
      <c r="G2335" s="202">
        <f t="shared" si="222"/>
        <v>4.7906249999999995</v>
      </c>
      <c r="H2335" s="202">
        <f t="shared" si="223"/>
        <v>39.024999999999999</v>
      </c>
      <c r="I2335" s="82"/>
      <c r="J2335" s="114"/>
      <c r="BB2335" s="117"/>
      <c r="BC2335" s="117"/>
      <c r="BD2335" s="117"/>
    </row>
    <row r="2336" spans="1:56" ht="15">
      <c r="A2336" s="114"/>
      <c r="B2336" s="244" t="s">
        <v>669</v>
      </c>
      <c r="C2336" s="200">
        <v>1</v>
      </c>
      <c r="D2336" s="245">
        <v>0.36499999999999999</v>
      </c>
      <c r="E2336" s="245">
        <v>0.75</v>
      </c>
      <c r="F2336" s="201">
        <v>17.5</v>
      </c>
      <c r="G2336" s="202">
        <f t="shared" si="222"/>
        <v>4.7906249999999995</v>
      </c>
      <c r="H2336" s="202">
        <f t="shared" si="223"/>
        <v>39.024999999999999</v>
      </c>
      <c r="I2336" s="82"/>
      <c r="J2336" s="114"/>
      <c r="BB2336" s="117"/>
      <c r="BC2336" s="117"/>
      <c r="BD2336" s="117"/>
    </row>
    <row r="2337" spans="1:56" ht="15">
      <c r="A2337" s="114"/>
      <c r="B2337" s="244" t="s">
        <v>856</v>
      </c>
      <c r="C2337" s="200">
        <v>1</v>
      </c>
      <c r="D2337" s="245">
        <v>0.75</v>
      </c>
      <c r="E2337" s="245">
        <v>0.75</v>
      </c>
      <c r="F2337" s="201">
        <v>17.5</v>
      </c>
      <c r="G2337" s="202">
        <f t="shared" ref="G2337:G2351" si="228">D2337*E2337*F2337*C2337</f>
        <v>9.84375</v>
      </c>
      <c r="H2337" s="202">
        <f t="shared" ref="H2337:H2351" si="229">(D2337+E2337)*2*F2337*C2337</f>
        <v>52.5</v>
      </c>
      <c r="I2337" s="82"/>
      <c r="J2337" s="114"/>
      <c r="BB2337" s="117"/>
      <c r="BC2337" s="117"/>
      <c r="BD2337" s="117"/>
    </row>
    <row r="2338" spans="1:56" ht="15">
      <c r="A2338" s="114"/>
      <c r="B2338" s="244" t="s">
        <v>857</v>
      </c>
      <c r="C2338" s="200">
        <v>1</v>
      </c>
      <c r="D2338" s="245">
        <v>0.75</v>
      </c>
      <c r="E2338" s="245">
        <v>0.75</v>
      </c>
      <c r="F2338" s="201">
        <v>17.5</v>
      </c>
      <c r="G2338" s="202">
        <f t="shared" si="228"/>
        <v>9.84375</v>
      </c>
      <c r="H2338" s="202">
        <f t="shared" si="229"/>
        <v>52.5</v>
      </c>
      <c r="I2338" s="82"/>
      <c r="J2338" s="114"/>
      <c r="BB2338" s="117"/>
      <c r="BC2338" s="117"/>
      <c r="BD2338" s="117"/>
    </row>
    <row r="2339" spans="1:56" ht="15">
      <c r="A2339" s="114"/>
      <c r="B2339" s="244" t="s">
        <v>858</v>
      </c>
      <c r="C2339" s="200">
        <v>1</v>
      </c>
      <c r="D2339" s="245">
        <v>0.36499999999999999</v>
      </c>
      <c r="E2339" s="245">
        <v>0.75</v>
      </c>
      <c r="F2339" s="201">
        <v>17.5</v>
      </c>
      <c r="G2339" s="202">
        <f t="shared" si="228"/>
        <v>4.7906249999999995</v>
      </c>
      <c r="H2339" s="202">
        <f t="shared" si="229"/>
        <v>39.024999999999999</v>
      </c>
      <c r="I2339" s="82"/>
      <c r="J2339" s="114"/>
      <c r="BB2339" s="117"/>
      <c r="BC2339" s="117"/>
      <c r="BD2339" s="117"/>
    </row>
    <row r="2340" spans="1:56" ht="15">
      <c r="A2340" s="114"/>
      <c r="B2340" s="244" t="s">
        <v>859</v>
      </c>
      <c r="C2340" s="200">
        <v>1</v>
      </c>
      <c r="D2340" s="245">
        <v>0.36499999999999999</v>
      </c>
      <c r="E2340" s="245">
        <v>0.75</v>
      </c>
      <c r="F2340" s="201">
        <v>17.5</v>
      </c>
      <c r="G2340" s="202">
        <f t="shared" si="228"/>
        <v>4.7906249999999995</v>
      </c>
      <c r="H2340" s="202">
        <f t="shared" si="229"/>
        <v>39.024999999999999</v>
      </c>
      <c r="I2340" s="82"/>
      <c r="J2340" s="114"/>
      <c r="BB2340" s="117"/>
      <c r="BC2340" s="117"/>
      <c r="BD2340" s="117"/>
    </row>
    <row r="2341" spans="1:56" ht="15">
      <c r="A2341" s="114"/>
      <c r="B2341" s="244" t="s">
        <v>860</v>
      </c>
      <c r="C2341" s="200">
        <v>1</v>
      </c>
      <c r="D2341" s="245">
        <v>0.75</v>
      </c>
      <c r="E2341" s="245">
        <v>0.75</v>
      </c>
      <c r="F2341" s="201">
        <v>17.5</v>
      </c>
      <c r="G2341" s="202">
        <f t="shared" si="228"/>
        <v>9.84375</v>
      </c>
      <c r="H2341" s="202">
        <f t="shared" si="229"/>
        <v>52.5</v>
      </c>
      <c r="I2341" s="82"/>
      <c r="J2341" s="114"/>
      <c r="BB2341" s="117"/>
      <c r="BC2341" s="117"/>
      <c r="BD2341" s="117"/>
    </row>
    <row r="2342" spans="1:56" ht="15">
      <c r="A2342" s="114"/>
      <c r="B2342" s="244" t="s">
        <v>861</v>
      </c>
      <c r="C2342" s="200">
        <v>1</v>
      </c>
      <c r="D2342" s="245">
        <v>0.75</v>
      </c>
      <c r="E2342" s="245">
        <v>0.75</v>
      </c>
      <c r="F2342" s="201">
        <v>17.5</v>
      </c>
      <c r="G2342" s="202">
        <f t="shared" si="228"/>
        <v>9.84375</v>
      </c>
      <c r="H2342" s="202">
        <f t="shared" si="229"/>
        <v>52.5</v>
      </c>
      <c r="I2342" s="82"/>
      <c r="J2342" s="114"/>
      <c r="BB2342" s="117"/>
      <c r="BC2342" s="117"/>
      <c r="BD2342" s="117"/>
    </row>
    <row r="2343" spans="1:56" ht="15">
      <c r="A2343" s="114"/>
      <c r="B2343" s="244" t="s">
        <v>862</v>
      </c>
      <c r="C2343" s="200">
        <v>1</v>
      </c>
      <c r="D2343" s="245">
        <v>0.36499999999999999</v>
      </c>
      <c r="E2343" s="245">
        <v>0.75</v>
      </c>
      <c r="F2343" s="201">
        <v>17.5</v>
      </c>
      <c r="G2343" s="202">
        <f t="shared" si="228"/>
        <v>4.7906249999999995</v>
      </c>
      <c r="H2343" s="202">
        <f t="shared" si="229"/>
        <v>39.024999999999999</v>
      </c>
      <c r="I2343" s="82"/>
      <c r="J2343" s="114"/>
      <c r="BB2343" s="117"/>
      <c r="BC2343" s="117"/>
      <c r="BD2343" s="117"/>
    </row>
    <row r="2344" spans="1:56" ht="15">
      <c r="A2344" s="114"/>
      <c r="B2344" s="244" t="s">
        <v>863</v>
      </c>
      <c r="C2344" s="200">
        <v>1</v>
      </c>
      <c r="D2344" s="245">
        <v>0.36499999999999999</v>
      </c>
      <c r="E2344" s="245">
        <v>0.75</v>
      </c>
      <c r="F2344" s="201">
        <v>17.5</v>
      </c>
      <c r="G2344" s="202">
        <f t="shared" si="228"/>
        <v>4.7906249999999995</v>
      </c>
      <c r="H2344" s="202">
        <f t="shared" si="229"/>
        <v>39.024999999999999</v>
      </c>
      <c r="I2344" s="82"/>
      <c r="J2344" s="114"/>
      <c r="BB2344" s="117"/>
      <c r="BC2344" s="117"/>
      <c r="BD2344" s="117"/>
    </row>
    <row r="2345" spans="1:56" ht="15">
      <c r="A2345" s="114"/>
      <c r="B2345" s="244" t="s">
        <v>864</v>
      </c>
      <c r="C2345" s="200">
        <v>1</v>
      </c>
      <c r="D2345" s="245">
        <v>0.75</v>
      </c>
      <c r="E2345" s="245">
        <v>0.75</v>
      </c>
      <c r="F2345" s="201">
        <v>17.5</v>
      </c>
      <c r="G2345" s="202">
        <f t="shared" si="228"/>
        <v>9.84375</v>
      </c>
      <c r="H2345" s="202">
        <f t="shared" si="229"/>
        <v>52.5</v>
      </c>
      <c r="I2345" s="82"/>
      <c r="J2345" s="114"/>
      <c r="BB2345" s="117"/>
      <c r="BC2345" s="117"/>
      <c r="BD2345" s="117"/>
    </row>
    <row r="2346" spans="1:56" ht="15">
      <c r="A2346" s="114"/>
      <c r="B2346" s="244" t="s">
        <v>1001</v>
      </c>
      <c r="C2346" s="200">
        <v>1</v>
      </c>
      <c r="D2346" s="245">
        <v>0.75</v>
      </c>
      <c r="E2346" s="245">
        <v>0.75</v>
      </c>
      <c r="F2346" s="201">
        <v>17.5</v>
      </c>
      <c r="G2346" s="202">
        <f t="shared" si="228"/>
        <v>9.84375</v>
      </c>
      <c r="H2346" s="202">
        <f t="shared" si="229"/>
        <v>52.5</v>
      </c>
      <c r="I2346" s="82"/>
      <c r="J2346" s="114"/>
      <c r="BB2346" s="117"/>
      <c r="BC2346" s="117"/>
      <c r="BD2346" s="117"/>
    </row>
    <row r="2347" spans="1:56" ht="15">
      <c r="A2347" s="114"/>
      <c r="B2347" s="244" t="s">
        <v>1002</v>
      </c>
      <c r="C2347" s="200">
        <v>1</v>
      </c>
      <c r="D2347" s="245">
        <v>0.36499999999999999</v>
      </c>
      <c r="E2347" s="245">
        <v>0.75</v>
      </c>
      <c r="F2347" s="201">
        <v>17.5</v>
      </c>
      <c r="G2347" s="202">
        <f t="shared" si="228"/>
        <v>4.7906249999999995</v>
      </c>
      <c r="H2347" s="202">
        <f t="shared" si="229"/>
        <v>39.024999999999999</v>
      </c>
      <c r="I2347" s="82"/>
      <c r="J2347" s="114"/>
      <c r="BB2347" s="117"/>
      <c r="BC2347" s="117"/>
      <c r="BD2347" s="117"/>
    </row>
    <row r="2348" spans="1:56" ht="15">
      <c r="A2348" s="114"/>
      <c r="B2348" s="244" t="s">
        <v>1003</v>
      </c>
      <c r="C2348" s="200">
        <v>1</v>
      </c>
      <c r="D2348" s="245">
        <v>0.36499999999999999</v>
      </c>
      <c r="E2348" s="245">
        <v>0.75</v>
      </c>
      <c r="F2348" s="201">
        <v>17.5</v>
      </c>
      <c r="G2348" s="202">
        <f t="shared" si="228"/>
        <v>4.7906249999999995</v>
      </c>
      <c r="H2348" s="202">
        <f t="shared" si="229"/>
        <v>39.024999999999999</v>
      </c>
      <c r="I2348" s="82"/>
      <c r="J2348" s="114"/>
      <c r="BB2348" s="117"/>
      <c r="BC2348" s="117"/>
      <c r="BD2348" s="117"/>
    </row>
    <row r="2349" spans="1:56" ht="15">
      <c r="A2349" s="114"/>
      <c r="B2349" s="244" t="s">
        <v>1004</v>
      </c>
      <c r="C2349" s="200">
        <v>1</v>
      </c>
      <c r="D2349" s="245">
        <v>0.75</v>
      </c>
      <c r="E2349" s="245">
        <v>0.75</v>
      </c>
      <c r="F2349" s="201">
        <v>17.5</v>
      </c>
      <c r="G2349" s="202">
        <f t="shared" si="228"/>
        <v>9.84375</v>
      </c>
      <c r="H2349" s="202">
        <f t="shared" si="229"/>
        <v>52.5</v>
      </c>
      <c r="I2349" s="82"/>
      <c r="J2349" s="114"/>
      <c r="BB2349" s="117"/>
      <c r="BC2349" s="117"/>
      <c r="BD2349" s="117"/>
    </row>
    <row r="2350" spans="1:56" ht="15">
      <c r="A2350" s="114"/>
      <c r="B2350" s="244" t="s">
        <v>1005</v>
      </c>
      <c r="C2350" s="200">
        <v>1</v>
      </c>
      <c r="D2350" s="245">
        <v>0.75</v>
      </c>
      <c r="E2350" s="245">
        <v>0.75</v>
      </c>
      <c r="F2350" s="201">
        <v>17.5</v>
      </c>
      <c r="G2350" s="202">
        <f t="shared" si="228"/>
        <v>9.84375</v>
      </c>
      <c r="H2350" s="202">
        <f t="shared" si="229"/>
        <v>52.5</v>
      </c>
      <c r="I2350" s="82"/>
      <c r="J2350" s="114"/>
      <c r="BB2350" s="117"/>
      <c r="BC2350" s="117"/>
      <c r="BD2350" s="117"/>
    </row>
    <row r="2351" spans="1:56" ht="15">
      <c r="A2351" s="114"/>
      <c r="B2351" s="244" t="s">
        <v>1006</v>
      </c>
      <c r="C2351" s="200">
        <v>1</v>
      </c>
      <c r="D2351" s="245">
        <v>0.75</v>
      </c>
      <c r="E2351" s="245">
        <v>0.75</v>
      </c>
      <c r="F2351" s="201">
        <v>17.5</v>
      </c>
      <c r="G2351" s="202">
        <f t="shared" si="228"/>
        <v>9.84375</v>
      </c>
      <c r="H2351" s="202">
        <f t="shared" si="229"/>
        <v>52.5</v>
      </c>
      <c r="I2351" s="82"/>
      <c r="J2351" s="114"/>
      <c r="BB2351" s="117"/>
      <c r="BC2351" s="117"/>
      <c r="BD2351" s="117"/>
    </row>
    <row r="2352" spans="1:56" ht="15">
      <c r="A2352" s="114"/>
      <c r="B2352" s="244" t="s">
        <v>670</v>
      </c>
      <c r="C2352" s="200">
        <v>1</v>
      </c>
      <c r="D2352" s="245">
        <v>0.75</v>
      </c>
      <c r="E2352" s="245">
        <v>0.75</v>
      </c>
      <c r="F2352" s="201">
        <v>18.350000000000001</v>
      </c>
      <c r="G2352" s="202">
        <f t="shared" si="222"/>
        <v>10.321875</v>
      </c>
      <c r="H2352" s="202">
        <f t="shared" si="223"/>
        <v>55.050000000000004</v>
      </c>
      <c r="I2352" s="82"/>
      <c r="J2352" s="114"/>
      <c r="BB2352" s="117"/>
      <c r="BC2352" s="117"/>
      <c r="BD2352" s="117"/>
    </row>
    <row r="2353" spans="1:56" ht="15">
      <c r="A2353" s="114"/>
      <c r="B2353" s="244" t="s">
        <v>1484</v>
      </c>
      <c r="C2353" s="200">
        <v>1</v>
      </c>
      <c r="D2353" s="245">
        <v>3.0449999999999999</v>
      </c>
      <c r="E2353" s="245">
        <v>20.9</v>
      </c>
      <c r="F2353" s="201">
        <v>14.074999999999999</v>
      </c>
      <c r="G2353" s="202">
        <f>D2353*F2353*C2353</f>
        <v>42.858374999999995</v>
      </c>
      <c r="H2353" s="202">
        <f>F2353*E2353*C2353</f>
        <v>294.16749999999996</v>
      </c>
      <c r="I2353" s="82"/>
      <c r="J2353" s="114"/>
      <c r="BB2353" s="117"/>
      <c r="BC2353" s="117"/>
      <c r="BD2353" s="117"/>
    </row>
    <row r="2354" spans="1:56" ht="15">
      <c r="A2354" s="114"/>
      <c r="B2354" s="244" t="s">
        <v>671</v>
      </c>
      <c r="C2354" s="200">
        <v>1</v>
      </c>
      <c r="D2354" s="245">
        <v>0.75</v>
      </c>
      <c r="E2354" s="245">
        <v>0.75</v>
      </c>
      <c r="F2354" s="201">
        <v>17.5</v>
      </c>
      <c r="G2354" s="202">
        <f t="shared" ref="G2354:G2424" si="230">D2354*E2354*F2354*C2354</f>
        <v>9.84375</v>
      </c>
      <c r="H2354" s="202">
        <f t="shared" ref="H2354:H2424" si="231">(D2354+E2354)*2*F2354*C2354</f>
        <v>52.5</v>
      </c>
      <c r="I2354" s="82"/>
      <c r="J2354" s="114"/>
      <c r="BB2354" s="117"/>
      <c r="BC2354" s="117"/>
      <c r="BD2354" s="117"/>
    </row>
    <row r="2355" spans="1:56" ht="15">
      <c r="A2355" s="114"/>
      <c r="B2355" s="244" t="s">
        <v>672</v>
      </c>
      <c r="C2355" s="200">
        <v>1</v>
      </c>
      <c r="D2355" s="245">
        <v>0.36499999999999999</v>
      </c>
      <c r="E2355" s="245">
        <v>0.75</v>
      </c>
      <c r="F2355" s="201">
        <v>17.5</v>
      </c>
      <c r="G2355" s="202">
        <f t="shared" si="230"/>
        <v>4.7906249999999995</v>
      </c>
      <c r="H2355" s="202">
        <f t="shared" si="231"/>
        <v>39.024999999999999</v>
      </c>
      <c r="I2355" s="82"/>
      <c r="J2355" s="114"/>
      <c r="BB2355" s="117"/>
      <c r="BC2355" s="117"/>
      <c r="BD2355" s="117"/>
    </row>
    <row r="2356" spans="1:56" ht="15">
      <c r="A2356" s="114"/>
      <c r="B2356" s="244" t="s">
        <v>673</v>
      </c>
      <c r="C2356" s="200">
        <v>1</v>
      </c>
      <c r="D2356" s="245">
        <v>0.36499999999999999</v>
      </c>
      <c r="E2356" s="245">
        <v>0.75</v>
      </c>
      <c r="F2356" s="201">
        <v>17.5</v>
      </c>
      <c r="G2356" s="202">
        <f t="shared" si="230"/>
        <v>4.7906249999999995</v>
      </c>
      <c r="H2356" s="202">
        <f t="shared" si="231"/>
        <v>39.024999999999999</v>
      </c>
      <c r="I2356" s="82"/>
      <c r="J2356" s="114"/>
      <c r="BB2356" s="117"/>
      <c r="BC2356" s="117"/>
      <c r="BD2356" s="117"/>
    </row>
    <row r="2357" spans="1:56" ht="15">
      <c r="A2357" s="114"/>
      <c r="B2357" s="244" t="s">
        <v>674</v>
      </c>
      <c r="C2357" s="200">
        <v>1</v>
      </c>
      <c r="D2357" s="245">
        <v>0.75</v>
      </c>
      <c r="E2357" s="245">
        <v>0.75</v>
      </c>
      <c r="F2357" s="201">
        <v>17.5</v>
      </c>
      <c r="G2357" s="202">
        <f t="shared" si="230"/>
        <v>9.84375</v>
      </c>
      <c r="H2357" s="202">
        <f t="shared" si="231"/>
        <v>52.5</v>
      </c>
      <c r="I2357" s="82"/>
      <c r="J2357" s="114"/>
      <c r="BB2357" s="117"/>
      <c r="BC2357" s="117"/>
      <c r="BD2357" s="117"/>
    </row>
    <row r="2358" spans="1:56" ht="15">
      <c r="A2358" s="114"/>
      <c r="B2358" s="244" t="s">
        <v>675</v>
      </c>
      <c r="C2358" s="200">
        <v>1</v>
      </c>
      <c r="D2358" s="245">
        <v>0.75</v>
      </c>
      <c r="E2358" s="245">
        <v>0.75</v>
      </c>
      <c r="F2358" s="201">
        <v>17.5</v>
      </c>
      <c r="G2358" s="202">
        <f t="shared" si="230"/>
        <v>9.84375</v>
      </c>
      <c r="H2358" s="202">
        <f t="shared" si="231"/>
        <v>52.5</v>
      </c>
      <c r="I2358" s="82"/>
      <c r="J2358" s="114"/>
      <c r="BB2358" s="117"/>
      <c r="BC2358" s="117"/>
      <c r="BD2358" s="117"/>
    </row>
    <row r="2359" spans="1:56" ht="15">
      <c r="A2359" s="114"/>
      <c r="B2359" s="244" t="s">
        <v>676</v>
      </c>
      <c r="C2359" s="200">
        <v>1</v>
      </c>
      <c r="D2359" s="245">
        <v>0.36499999999999999</v>
      </c>
      <c r="E2359" s="245">
        <v>0.75</v>
      </c>
      <c r="F2359" s="201">
        <v>17.5</v>
      </c>
      <c r="G2359" s="202">
        <f t="shared" si="230"/>
        <v>4.7906249999999995</v>
      </c>
      <c r="H2359" s="202">
        <f t="shared" si="231"/>
        <v>39.024999999999999</v>
      </c>
      <c r="I2359" s="82"/>
      <c r="J2359" s="114"/>
      <c r="BB2359" s="117"/>
      <c r="BC2359" s="117"/>
      <c r="BD2359" s="117"/>
    </row>
    <row r="2360" spans="1:56" ht="15">
      <c r="A2360" s="114"/>
      <c r="B2360" s="244" t="s">
        <v>677</v>
      </c>
      <c r="C2360" s="200">
        <v>1</v>
      </c>
      <c r="D2360" s="245">
        <v>0.36499999999999999</v>
      </c>
      <c r="E2360" s="245">
        <v>0.75</v>
      </c>
      <c r="F2360" s="201">
        <v>17.5</v>
      </c>
      <c r="G2360" s="202">
        <f t="shared" si="230"/>
        <v>4.7906249999999995</v>
      </c>
      <c r="H2360" s="202">
        <f t="shared" si="231"/>
        <v>39.024999999999999</v>
      </c>
      <c r="I2360" s="82"/>
      <c r="J2360" s="114"/>
      <c r="BB2360" s="117"/>
      <c r="BC2360" s="117"/>
      <c r="BD2360" s="117"/>
    </row>
    <row r="2361" spans="1:56" ht="15">
      <c r="A2361" s="114"/>
      <c r="B2361" s="244" t="s">
        <v>678</v>
      </c>
      <c r="C2361" s="200">
        <v>1</v>
      </c>
      <c r="D2361" s="245">
        <v>0.75</v>
      </c>
      <c r="E2361" s="245">
        <v>0.75</v>
      </c>
      <c r="F2361" s="201">
        <v>17.5</v>
      </c>
      <c r="G2361" s="202">
        <f t="shared" si="230"/>
        <v>9.84375</v>
      </c>
      <c r="H2361" s="202">
        <f t="shared" si="231"/>
        <v>52.5</v>
      </c>
      <c r="I2361" s="82"/>
      <c r="J2361" s="114"/>
      <c r="BB2361" s="117"/>
      <c r="BC2361" s="117"/>
      <c r="BD2361" s="117"/>
    </row>
    <row r="2362" spans="1:56" ht="15">
      <c r="A2362" s="114"/>
      <c r="B2362" s="244" t="s">
        <v>679</v>
      </c>
      <c r="C2362" s="200">
        <v>1</v>
      </c>
      <c r="D2362" s="245">
        <v>0.75</v>
      </c>
      <c r="E2362" s="245">
        <v>0.75</v>
      </c>
      <c r="F2362" s="201">
        <v>17.5</v>
      </c>
      <c r="G2362" s="202">
        <f t="shared" si="230"/>
        <v>9.84375</v>
      </c>
      <c r="H2362" s="202">
        <f t="shared" si="231"/>
        <v>52.5</v>
      </c>
      <c r="I2362" s="82"/>
      <c r="J2362" s="114"/>
      <c r="BB2362" s="117"/>
      <c r="BC2362" s="117"/>
      <c r="BD2362" s="117"/>
    </row>
    <row r="2363" spans="1:56" ht="15">
      <c r="A2363" s="114"/>
      <c r="B2363" s="244" t="s">
        <v>680</v>
      </c>
      <c r="C2363" s="200">
        <v>1</v>
      </c>
      <c r="D2363" s="245">
        <v>0.36499999999999999</v>
      </c>
      <c r="E2363" s="245">
        <v>0.75</v>
      </c>
      <c r="F2363" s="201">
        <v>17.5</v>
      </c>
      <c r="G2363" s="202">
        <f t="shared" si="230"/>
        <v>4.7906249999999995</v>
      </c>
      <c r="H2363" s="202">
        <f t="shared" si="231"/>
        <v>39.024999999999999</v>
      </c>
      <c r="I2363" s="82"/>
      <c r="J2363" s="114"/>
      <c r="BB2363" s="117"/>
      <c r="BC2363" s="117"/>
      <c r="BD2363" s="117"/>
    </row>
    <row r="2364" spans="1:56" ht="15">
      <c r="A2364" s="114"/>
      <c r="B2364" s="244" t="s">
        <v>681</v>
      </c>
      <c r="C2364" s="200">
        <v>1</v>
      </c>
      <c r="D2364" s="245">
        <v>0.36499999999999999</v>
      </c>
      <c r="E2364" s="245">
        <v>0.75</v>
      </c>
      <c r="F2364" s="201">
        <v>17.5</v>
      </c>
      <c r="G2364" s="202">
        <f t="shared" ref="G2364:G2370" si="232">D2364*E2364*F2364*C2364</f>
        <v>4.7906249999999995</v>
      </c>
      <c r="H2364" s="202">
        <f t="shared" ref="H2364:H2370" si="233">(D2364+E2364)*2*F2364*C2364</f>
        <v>39.024999999999999</v>
      </c>
      <c r="I2364" s="82"/>
      <c r="J2364" s="114"/>
      <c r="BB2364" s="117"/>
      <c r="BC2364" s="117"/>
      <c r="BD2364" s="117"/>
    </row>
    <row r="2365" spans="1:56" ht="15">
      <c r="A2365" s="114"/>
      <c r="B2365" s="244" t="s">
        <v>865</v>
      </c>
      <c r="C2365" s="200">
        <v>1</v>
      </c>
      <c r="D2365" s="245">
        <v>0.75</v>
      </c>
      <c r="E2365" s="245">
        <v>0.75</v>
      </c>
      <c r="F2365" s="201">
        <v>17.5</v>
      </c>
      <c r="G2365" s="202">
        <f t="shared" si="232"/>
        <v>9.84375</v>
      </c>
      <c r="H2365" s="202">
        <f t="shared" si="233"/>
        <v>52.5</v>
      </c>
      <c r="I2365" s="82"/>
      <c r="J2365" s="114"/>
      <c r="BB2365" s="117"/>
      <c r="BC2365" s="117"/>
      <c r="BD2365" s="117"/>
    </row>
    <row r="2366" spans="1:56" ht="15">
      <c r="A2366" s="114"/>
      <c r="B2366" s="244" t="s">
        <v>866</v>
      </c>
      <c r="C2366" s="200">
        <v>1</v>
      </c>
      <c r="D2366" s="245">
        <v>0.75</v>
      </c>
      <c r="E2366" s="245">
        <v>0.75</v>
      </c>
      <c r="F2366" s="201">
        <v>17.5</v>
      </c>
      <c r="G2366" s="202">
        <f t="shared" si="232"/>
        <v>9.84375</v>
      </c>
      <c r="H2366" s="202">
        <f t="shared" si="233"/>
        <v>52.5</v>
      </c>
      <c r="I2366" s="82"/>
      <c r="J2366" s="114"/>
      <c r="BB2366" s="117"/>
      <c r="BC2366" s="117"/>
      <c r="BD2366" s="117"/>
    </row>
    <row r="2367" spans="1:56" ht="15">
      <c r="A2367" s="114"/>
      <c r="B2367" s="244" t="s">
        <v>867</v>
      </c>
      <c r="C2367" s="200">
        <v>1</v>
      </c>
      <c r="D2367" s="245">
        <v>0.36499999999999999</v>
      </c>
      <c r="E2367" s="245">
        <v>0.75</v>
      </c>
      <c r="F2367" s="201">
        <v>17.5</v>
      </c>
      <c r="G2367" s="202">
        <f t="shared" si="232"/>
        <v>4.7906249999999995</v>
      </c>
      <c r="H2367" s="202">
        <f t="shared" si="233"/>
        <v>39.024999999999999</v>
      </c>
      <c r="I2367" s="82"/>
      <c r="J2367" s="114"/>
      <c r="BB2367" s="117"/>
      <c r="BC2367" s="117"/>
      <c r="BD2367" s="117"/>
    </row>
    <row r="2368" spans="1:56" ht="15">
      <c r="A2368" s="114"/>
      <c r="B2368" s="244" t="s">
        <v>868</v>
      </c>
      <c r="C2368" s="200">
        <v>1</v>
      </c>
      <c r="D2368" s="245">
        <v>0.36499999999999999</v>
      </c>
      <c r="E2368" s="245">
        <v>0.75</v>
      </c>
      <c r="F2368" s="201">
        <v>17.5</v>
      </c>
      <c r="G2368" s="202">
        <f t="shared" si="232"/>
        <v>4.7906249999999995</v>
      </c>
      <c r="H2368" s="202">
        <f t="shared" si="233"/>
        <v>39.024999999999999</v>
      </c>
      <c r="I2368" s="82"/>
      <c r="J2368" s="114"/>
      <c r="BB2368" s="117"/>
      <c r="BC2368" s="117"/>
      <c r="BD2368" s="117"/>
    </row>
    <row r="2369" spans="1:56" ht="15">
      <c r="A2369" s="114"/>
      <c r="B2369" s="244" t="s">
        <v>869</v>
      </c>
      <c r="C2369" s="200">
        <v>1</v>
      </c>
      <c r="D2369" s="245">
        <v>0.75</v>
      </c>
      <c r="E2369" s="245">
        <v>0.75</v>
      </c>
      <c r="F2369" s="201">
        <v>17.5</v>
      </c>
      <c r="G2369" s="202">
        <f t="shared" si="232"/>
        <v>9.84375</v>
      </c>
      <c r="H2369" s="202">
        <f t="shared" si="233"/>
        <v>52.5</v>
      </c>
      <c r="I2369" s="82"/>
      <c r="J2369" s="114"/>
      <c r="BB2369" s="117"/>
      <c r="BC2369" s="117"/>
      <c r="BD2369" s="117"/>
    </row>
    <row r="2370" spans="1:56" ht="15">
      <c r="A2370" s="114"/>
      <c r="B2370" s="244" t="s">
        <v>870</v>
      </c>
      <c r="C2370" s="200">
        <v>1</v>
      </c>
      <c r="D2370" s="245">
        <v>0.75</v>
      </c>
      <c r="E2370" s="245">
        <v>0.75</v>
      </c>
      <c r="F2370" s="201">
        <v>17.5</v>
      </c>
      <c r="G2370" s="202">
        <f t="shared" si="232"/>
        <v>9.84375</v>
      </c>
      <c r="H2370" s="202">
        <f t="shared" si="233"/>
        <v>52.5</v>
      </c>
      <c r="I2370" s="82"/>
      <c r="J2370" s="114"/>
      <c r="BB2370" s="117"/>
      <c r="BC2370" s="117"/>
      <c r="BD2370" s="117"/>
    </row>
    <row r="2371" spans="1:56" ht="15">
      <c r="A2371" s="114"/>
      <c r="B2371" s="244" t="s">
        <v>1483</v>
      </c>
      <c r="C2371" s="200">
        <v>1</v>
      </c>
      <c r="D2371" s="245">
        <f>1.5975+0.42747</f>
        <v>2.0249699999999997</v>
      </c>
      <c r="E2371" s="245">
        <f>4.025+0.92</f>
        <v>4.9450000000000003</v>
      </c>
      <c r="F2371" s="201">
        <v>14.8</v>
      </c>
      <c r="G2371" s="202">
        <f>D2371*F2371*C2371</f>
        <v>29.969555999999997</v>
      </c>
      <c r="H2371" s="202">
        <f>F2371*E2371*C2371</f>
        <v>73.186000000000007</v>
      </c>
      <c r="I2371" s="82"/>
      <c r="J2371" s="114"/>
      <c r="BB2371" s="117"/>
      <c r="BC2371" s="117"/>
      <c r="BD2371" s="117"/>
    </row>
    <row r="2372" spans="1:56" ht="15">
      <c r="A2372" s="114"/>
      <c r="B2372" s="244" t="s">
        <v>871</v>
      </c>
      <c r="C2372" s="200">
        <v>1</v>
      </c>
      <c r="D2372" s="201">
        <v>0.36499999999999999</v>
      </c>
      <c r="E2372" s="201">
        <v>0.75</v>
      </c>
      <c r="F2372" s="201">
        <v>17.5</v>
      </c>
      <c r="G2372" s="202">
        <f t="shared" ref="G2372:G2380" si="234">D2372*E2372*F2372*C2372</f>
        <v>4.7906249999999995</v>
      </c>
      <c r="H2372" s="202">
        <f t="shared" ref="H2372:H2380" si="235">(D2372+E2372)*2*F2372*C2372</f>
        <v>39.024999999999999</v>
      </c>
      <c r="I2372" s="82"/>
      <c r="J2372" s="114"/>
      <c r="BB2372" s="117"/>
      <c r="BC2372" s="117"/>
      <c r="BD2372" s="117"/>
    </row>
    <row r="2373" spans="1:56" ht="15">
      <c r="A2373" s="114"/>
      <c r="B2373" s="244" t="s">
        <v>872</v>
      </c>
      <c r="C2373" s="200">
        <v>1</v>
      </c>
      <c r="D2373" s="245">
        <v>0.36499999999999999</v>
      </c>
      <c r="E2373" s="245">
        <v>0.75</v>
      </c>
      <c r="F2373" s="201">
        <v>17.5</v>
      </c>
      <c r="G2373" s="202">
        <f t="shared" si="234"/>
        <v>4.7906249999999995</v>
      </c>
      <c r="H2373" s="202">
        <f t="shared" si="235"/>
        <v>39.024999999999999</v>
      </c>
      <c r="I2373" s="82"/>
      <c r="J2373" s="114"/>
      <c r="BB2373" s="117"/>
      <c r="BC2373" s="117"/>
      <c r="BD2373" s="117"/>
    </row>
    <row r="2374" spans="1:56" ht="15">
      <c r="A2374" s="114"/>
      <c r="B2374" s="244" t="s">
        <v>873</v>
      </c>
      <c r="C2374" s="200">
        <v>1</v>
      </c>
      <c r="D2374" s="245">
        <v>0.75</v>
      </c>
      <c r="E2374" s="245">
        <v>0.75</v>
      </c>
      <c r="F2374" s="201">
        <v>17.5</v>
      </c>
      <c r="G2374" s="202">
        <f t="shared" si="234"/>
        <v>9.84375</v>
      </c>
      <c r="H2374" s="202">
        <f t="shared" si="235"/>
        <v>52.5</v>
      </c>
      <c r="I2374" s="82"/>
      <c r="J2374" s="114"/>
      <c r="BB2374" s="117"/>
      <c r="BC2374" s="117"/>
      <c r="BD2374" s="117"/>
    </row>
    <row r="2375" spans="1:56" ht="15">
      <c r="A2375" s="114"/>
      <c r="B2375" s="244" t="s">
        <v>1007</v>
      </c>
      <c r="C2375" s="200">
        <v>1</v>
      </c>
      <c r="D2375" s="245">
        <v>0.75</v>
      </c>
      <c r="E2375" s="245">
        <v>0.75</v>
      </c>
      <c r="F2375" s="201">
        <v>17.5</v>
      </c>
      <c r="G2375" s="202">
        <f t="shared" si="234"/>
        <v>9.84375</v>
      </c>
      <c r="H2375" s="202">
        <f t="shared" si="235"/>
        <v>52.5</v>
      </c>
      <c r="I2375" s="82"/>
      <c r="J2375" s="114"/>
      <c r="BB2375" s="117"/>
      <c r="BC2375" s="117"/>
      <c r="BD2375" s="117"/>
    </row>
    <row r="2376" spans="1:56" ht="15">
      <c r="A2376" s="114"/>
      <c r="B2376" s="244" t="s">
        <v>1008</v>
      </c>
      <c r="C2376" s="200">
        <v>1</v>
      </c>
      <c r="D2376" s="245">
        <v>0.36499999999999999</v>
      </c>
      <c r="E2376" s="245">
        <v>0.75</v>
      </c>
      <c r="F2376" s="201">
        <v>17.5</v>
      </c>
      <c r="G2376" s="202">
        <f t="shared" si="234"/>
        <v>4.7906249999999995</v>
      </c>
      <c r="H2376" s="202">
        <f t="shared" si="235"/>
        <v>39.024999999999999</v>
      </c>
      <c r="I2376" s="82"/>
      <c r="J2376" s="114"/>
      <c r="BB2376" s="117"/>
      <c r="BC2376" s="117"/>
      <c r="BD2376" s="117"/>
    </row>
    <row r="2377" spans="1:56" ht="15">
      <c r="A2377" s="114"/>
      <c r="B2377" s="244" t="s">
        <v>1009</v>
      </c>
      <c r="C2377" s="200">
        <v>1</v>
      </c>
      <c r="D2377" s="245">
        <v>0.36499999999999999</v>
      </c>
      <c r="E2377" s="245">
        <v>0.75</v>
      </c>
      <c r="F2377" s="201">
        <v>17.5</v>
      </c>
      <c r="G2377" s="202">
        <f t="shared" si="234"/>
        <v>4.7906249999999995</v>
      </c>
      <c r="H2377" s="202">
        <f t="shared" si="235"/>
        <v>39.024999999999999</v>
      </c>
      <c r="I2377" s="82"/>
      <c r="J2377" s="114"/>
      <c r="BB2377" s="117"/>
      <c r="BC2377" s="117"/>
      <c r="BD2377" s="117"/>
    </row>
    <row r="2378" spans="1:56" ht="15">
      <c r="A2378" s="114"/>
      <c r="B2378" s="244" t="s">
        <v>1010</v>
      </c>
      <c r="C2378" s="200">
        <v>1</v>
      </c>
      <c r="D2378" s="245">
        <v>0.75</v>
      </c>
      <c r="E2378" s="245">
        <v>0.75</v>
      </c>
      <c r="F2378" s="201">
        <v>17.5</v>
      </c>
      <c r="G2378" s="202">
        <f t="shared" si="234"/>
        <v>9.84375</v>
      </c>
      <c r="H2378" s="202">
        <f t="shared" si="235"/>
        <v>52.5</v>
      </c>
      <c r="I2378" s="82"/>
      <c r="J2378" s="114"/>
      <c r="BB2378" s="117"/>
      <c r="BC2378" s="117"/>
      <c r="BD2378" s="117"/>
    </row>
    <row r="2379" spans="1:56" ht="15">
      <c r="A2379" s="114"/>
      <c r="B2379" s="244" t="s">
        <v>1011</v>
      </c>
      <c r="C2379" s="200">
        <v>1</v>
      </c>
      <c r="D2379" s="245">
        <v>0.75</v>
      </c>
      <c r="E2379" s="245">
        <v>0.75</v>
      </c>
      <c r="F2379" s="201">
        <v>17.5</v>
      </c>
      <c r="G2379" s="202">
        <f t="shared" si="234"/>
        <v>9.84375</v>
      </c>
      <c r="H2379" s="202">
        <f t="shared" si="235"/>
        <v>52.5</v>
      </c>
      <c r="I2379" s="82"/>
      <c r="J2379" s="114"/>
      <c r="BB2379" s="117"/>
      <c r="BC2379" s="117"/>
      <c r="BD2379" s="117"/>
    </row>
    <row r="2380" spans="1:56" ht="15">
      <c r="A2380" s="114"/>
      <c r="B2380" s="244" t="s">
        <v>1012</v>
      </c>
      <c r="C2380" s="200">
        <v>1</v>
      </c>
      <c r="D2380" s="245">
        <v>0.75</v>
      </c>
      <c r="E2380" s="245">
        <v>0.75</v>
      </c>
      <c r="F2380" s="201">
        <v>17.5</v>
      </c>
      <c r="G2380" s="202">
        <f t="shared" si="234"/>
        <v>9.84375</v>
      </c>
      <c r="H2380" s="202">
        <f t="shared" si="235"/>
        <v>52.5</v>
      </c>
      <c r="I2380" s="82"/>
      <c r="J2380" s="114"/>
      <c r="BB2380" s="117"/>
      <c r="BC2380" s="117"/>
      <c r="BD2380" s="117"/>
    </row>
    <row r="2381" spans="1:56" ht="15">
      <c r="A2381" s="114"/>
      <c r="B2381" s="244" t="s">
        <v>682</v>
      </c>
      <c r="C2381" s="200">
        <v>1</v>
      </c>
      <c r="D2381" s="245">
        <v>0.75</v>
      </c>
      <c r="E2381" s="245">
        <v>0.75</v>
      </c>
      <c r="F2381" s="201">
        <v>6.35</v>
      </c>
      <c r="G2381" s="202">
        <f t="shared" si="230"/>
        <v>3.5718749999999999</v>
      </c>
      <c r="H2381" s="202">
        <f t="shared" si="231"/>
        <v>19.049999999999997</v>
      </c>
      <c r="I2381" s="82"/>
      <c r="J2381" s="114"/>
      <c r="BB2381" s="117"/>
      <c r="BC2381" s="117"/>
      <c r="BD2381" s="117"/>
    </row>
    <row r="2382" spans="1:56" ht="15">
      <c r="A2382" s="114"/>
      <c r="B2382" s="244" t="s">
        <v>683</v>
      </c>
      <c r="C2382" s="200">
        <v>1</v>
      </c>
      <c r="D2382" s="245">
        <v>0.75</v>
      </c>
      <c r="E2382" s="245">
        <v>0.75</v>
      </c>
      <c r="F2382" s="201">
        <v>6.35</v>
      </c>
      <c r="G2382" s="202">
        <f t="shared" si="230"/>
        <v>3.5718749999999999</v>
      </c>
      <c r="H2382" s="202">
        <f t="shared" si="231"/>
        <v>19.049999999999997</v>
      </c>
      <c r="I2382" s="82"/>
      <c r="J2382" s="114"/>
      <c r="BB2382" s="117"/>
      <c r="BC2382" s="117"/>
      <c r="BD2382" s="117"/>
    </row>
    <row r="2383" spans="1:56" ht="15">
      <c r="A2383" s="114"/>
      <c r="B2383" s="244" t="s">
        <v>684</v>
      </c>
      <c r="C2383" s="200">
        <v>1</v>
      </c>
      <c r="D2383" s="245">
        <v>0.36499999999999999</v>
      </c>
      <c r="E2383" s="245">
        <v>0.75</v>
      </c>
      <c r="F2383" s="201">
        <v>6.35</v>
      </c>
      <c r="G2383" s="202">
        <f t="shared" si="230"/>
        <v>1.7383124999999999</v>
      </c>
      <c r="H2383" s="202">
        <f t="shared" si="231"/>
        <v>14.160499999999999</v>
      </c>
      <c r="I2383" s="82"/>
      <c r="J2383" s="114"/>
      <c r="BB2383" s="117"/>
      <c r="BC2383" s="117"/>
      <c r="BD2383" s="117"/>
    </row>
    <row r="2384" spans="1:56" ht="15">
      <c r="A2384" s="114"/>
      <c r="B2384" s="244" t="s">
        <v>685</v>
      </c>
      <c r="C2384" s="200">
        <v>1</v>
      </c>
      <c r="D2384" s="245">
        <v>0.36499999999999999</v>
      </c>
      <c r="E2384" s="245">
        <v>0.75</v>
      </c>
      <c r="F2384" s="201">
        <v>6.35</v>
      </c>
      <c r="G2384" s="202">
        <f t="shared" si="230"/>
        <v>1.7383124999999999</v>
      </c>
      <c r="H2384" s="202">
        <f t="shared" si="231"/>
        <v>14.160499999999999</v>
      </c>
      <c r="I2384" s="82"/>
      <c r="J2384" s="114"/>
      <c r="BB2384" s="117"/>
      <c r="BC2384" s="117"/>
      <c r="BD2384" s="117"/>
    </row>
    <row r="2385" spans="1:56" ht="15">
      <c r="A2385" s="114"/>
      <c r="B2385" s="244" t="s">
        <v>686</v>
      </c>
      <c r="C2385" s="200">
        <v>1</v>
      </c>
      <c r="D2385" s="245">
        <v>0.75</v>
      </c>
      <c r="E2385" s="245">
        <v>0.75</v>
      </c>
      <c r="F2385" s="201">
        <v>6.35</v>
      </c>
      <c r="G2385" s="202">
        <f t="shared" si="230"/>
        <v>3.5718749999999999</v>
      </c>
      <c r="H2385" s="202">
        <f t="shared" si="231"/>
        <v>19.049999999999997</v>
      </c>
      <c r="I2385" s="82"/>
      <c r="J2385" s="114"/>
      <c r="BB2385" s="117"/>
      <c r="BC2385" s="117"/>
      <c r="BD2385" s="117"/>
    </row>
    <row r="2386" spans="1:56" ht="15">
      <c r="A2386" s="114"/>
      <c r="B2386" s="244" t="s">
        <v>687</v>
      </c>
      <c r="C2386" s="200">
        <v>1</v>
      </c>
      <c r="D2386" s="245">
        <v>0.75</v>
      </c>
      <c r="E2386" s="245">
        <v>0.75</v>
      </c>
      <c r="F2386" s="201">
        <v>6.35</v>
      </c>
      <c r="G2386" s="202">
        <f t="shared" si="230"/>
        <v>3.5718749999999999</v>
      </c>
      <c r="H2386" s="202">
        <f t="shared" si="231"/>
        <v>19.049999999999997</v>
      </c>
      <c r="I2386" s="82"/>
      <c r="J2386" s="114"/>
      <c r="BB2386" s="117"/>
      <c r="BC2386" s="117"/>
      <c r="BD2386" s="117"/>
    </row>
    <row r="2387" spans="1:56" ht="15">
      <c r="A2387" s="114"/>
      <c r="B2387" s="244" t="s">
        <v>688</v>
      </c>
      <c r="C2387" s="200">
        <v>1</v>
      </c>
      <c r="D2387" s="245">
        <v>0.36499999999999999</v>
      </c>
      <c r="E2387" s="245">
        <v>0.75</v>
      </c>
      <c r="F2387" s="201">
        <v>6.35</v>
      </c>
      <c r="G2387" s="202">
        <f t="shared" si="230"/>
        <v>1.7383124999999999</v>
      </c>
      <c r="H2387" s="202">
        <f t="shared" si="231"/>
        <v>14.160499999999999</v>
      </c>
      <c r="I2387" s="82"/>
      <c r="J2387" s="114"/>
      <c r="BB2387" s="117"/>
      <c r="BC2387" s="117"/>
      <c r="BD2387" s="117"/>
    </row>
    <row r="2388" spans="1:56" ht="15">
      <c r="A2388" s="114"/>
      <c r="B2388" s="244" t="s">
        <v>689</v>
      </c>
      <c r="C2388" s="200">
        <v>1</v>
      </c>
      <c r="D2388" s="245">
        <v>0.36499999999999999</v>
      </c>
      <c r="E2388" s="245">
        <v>0.75</v>
      </c>
      <c r="F2388" s="201">
        <v>6.35</v>
      </c>
      <c r="G2388" s="202">
        <f t="shared" si="230"/>
        <v>1.7383124999999999</v>
      </c>
      <c r="H2388" s="202">
        <f t="shared" si="231"/>
        <v>14.160499999999999</v>
      </c>
      <c r="I2388" s="82"/>
      <c r="J2388" s="114"/>
      <c r="BB2388" s="117"/>
      <c r="BC2388" s="117"/>
      <c r="BD2388" s="117"/>
    </row>
    <row r="2389" spans="1:56" ht="15">
      <c r="A2389" s="114"/>
      <c r="B2389" s="244" t="s">
        <v>690</v>
      </c>
      <c r="C2389" s="200">
        <v>1</v>
      </c>
      <c r="D2389" s="245">
        <v>0.75</v>
      </c>
      <c r="E2389" s="245">
        <v>0.75</v>
      </c>
      <c r="F2389" s="201">
        <v>6.35</v>
      </c>
      <c r="G2389" s="202">
        <f t="shared" si="230"/>
        <v>3.5718749999999999</v>
      </c>
      <c r="H2389" s="202">
        <f t="shared" si="231"/>
        <v>19.049999999999997</v>
      </c>
      <c r="I2389" s="82"/>
      <c r="J2389" s="114"/>
      <c r="BB2389" s="117"/>
      <c r="BC2389" s="117"/>
      <c r="BD2389" s="117"/>
    </row>
    <row r="2390" spans="1:56" ht="15">
      <c r="A2390" s="114"/>
      <c r="B2390" s="244" t="s">
        <v>691</v>
      </c>
      <c r="C2390" s="200">
        <v>1</v>
      </c>
      <c r="D2390" s="245">
        <v>0.75</v>
      </c>
      <c r="E2390" s="245">
        <v>0.75</v>
      </c>
      <c r="F2390" s="201">
        <v>6.35</v>
      </c>
      <c r="G2390" s="202">
        <f t="shared" si="230"/>
        <v>3.5718749999999999</v>
      </c>
      <c r="H2390" s="202">
        <f t="shared" si="231"/>
        <v>19.049999999999997</v>
      </c>
      <c r="I2390" s="82"/>
      <c r="J2390" s="114"/>
      <c r="BB2390" s="117"/>
      <c r="BC2390" s="117"/>
      <c r="BD2390" s="117"/>
    </row>
    <row r="2391" spans="1:56" ht="15">
      <c r="A2391" s="114"/>
      <c r="B2391" s="244" t="s">
        <v>692</v>
      </c>
      <c r="C2391" s="200">
        <v>1</v>
      </c>
      <c r="D2391" s="245">
        <v>0.36499999999999999</v>
      </c>
      <c r="E2391" s="245">
        <v>0.75</v>
      </c>
      <c r="F2391" s="201">
        <v>6.35</v>
      </c>
      <c r="G2391" s="202">
        <f t="shared" si="230"/>
        <v>1.7383124999999999</v>
      </c>
      <c r="H2391" s="202">
        <f t="shared" si="231"/>
        <v>14.160499999999999</v>
      </c>
      <c r="I2391" s="82"/>
      <c r="J2391" s="114"/>
      <c r="BB2391" s="117"/>
      <c r="BC2391" s="117"/>
      <c r="BD2391" s="117"/>
    </row>
    <row r="2392" spans="1:56" ht="15">
      <c r="A2392" s="114"/>
      <c r="B2392" s="244" t="s">
        <v>693</v>
      </c>
      <c r="C2392" s="200">
        <v>1</v>
      </c>
      <c r="D2392" s="245">
        <v>0.36499999999999999</v>
      </c>
      <c r="E2392" s="245">
        <v>0.75</v>
      </c>
      <c r="F2392" s="201">
        <v>6.35</v>
      </c>
      <c r="G2392" s="202">
        <f t="shared" ref="G2392:G2407" si="236">D2392*E2392*F2392*C2392</f>
        <v>1.7383124999999999</v>
      </c>
      <c r="H2392" s="202">
        <f t="shared" ref="H2392:H2407" si="237">(D2392+E2392)*2*F2392*C2392</f>
        <v>14.160499999999999</v>
      </c>
      <c r="I2392" s="82"/>
      <c r="J2392" s="114"/>
      <c r="BB2392" s="117"/>
      <c r="BC2392" s="117"/>
      <c r="BD2392" s="117"/>
    </row>
    <row r="2393" spans="1:56" ht="15">
      <c r="A2393" s="114"/>
      <c r="B2393" s="244" t="s">
        <v>874</v>
      </c>
      <c r="C2393" s="200">
        <v>1</v>
      </c>
      <c r="D2393" s="245">
        <v>0.75</v>
      </c>
      <c r="E2393" s="245">
        <v>0.75</v>
      </c>
      <c r="F2393" s="201">
        <v>6.35</v>
      </c>
      <c r="G2393" s="202">
        <f t="shared" si="236"/>
        <v>3.5718749999999999</v>
      </c>
      <c r="H2393" s="202">
        <f t="shared" si="237"/>
        <v>19.049999999999997</v>
      </c>
      <c r="I2393" s="82"/>
      <c r="J2393" s="114"/>
      <c r="BB2393" s="117"/>
      <c r="BC2393" s="117"/>
      <c r="BD2393" s="117"/>
    </row>
    <row r="2394" spans="1:56" ht="15">
      <c r="A2394" s="114"/>
      <c r="B2394" s="244" t="s">
        <v>875</v>
      </c>
      <c r="C2394" s="200">
        <v>1</v>
      </c>
      <c r="D2394" s="245">
        <v>0.75</v>
      </c>
      <c r="E2394" s="245">
        <v>0.75</v>
      </c>
      <c r="F2394" s="201">
        <v>6.35</v>
      </c>
      <c r="G2394" s="202">
        <f t="shared" si="236"/>
        <v>3.5718749999999999</v>
      </c>
      <c r="H2394" s="202">
        <f t="shared" si="237"/>
        <v>19.049999999999997</v>
      </c>
      <c r="I2394" s="82"/>
      <c r="J2394" s="114"/>
      <c r="BB2394" s="117"/>
      <c r="BC2394" s="117"/>
      <c r="BD2394" s="117"/>
    </row>
    <row r="2395" spans="1:56" ht="15">
      <c r="A2395" s="114"/>
      <c r="B2395" s="244" t="s">
        <v>876</v>
      </c>
      <c r="C2395" s="200">
        <v>1</v>
      </c>
      <c r="D2395" s="245">
        <v>0.36499999999999999</v>
      </c>
      <c r="E2395" s="245">
        <v>0.75</v>
      </c>
      <c r="F2395" s="201">
        <v>6.35</v>
      </c>
      <c r="G2395" s="202">
        <f t="shared" si="236"/>
        <v>1.7383124999999999</v>
      </c>
      <c r="H2395" s="202">
        <f t="shared" si="237"/>
        <v>14.160499999999999</v>
      </c>
      <c r="I2395" s="82"/>
      <c r="J2395" s="114"/>
      <c r="BB2395" s="117"/>
      <c r="BC2395" s="117"/>
      <c r="BD2395" s="117"/>
    </row>
    <row r="2396" spans="1:56" ht="15">
      <c r="A2396" s="114"/>
      <c r="B2396" s="244" t="s">
        <v>877</v>
      </c>
      <c r="C2396" s="200">
        <v>1</v>
      </c>
      <c r="D2396" s="245">
        <v>0.36499999999999999</v>
      </c>
      <c r="E2396" s="245">
        <v>0.75</v>
      </c>
      <c r="F2396" s="201">
        <v>6.35</v>
      </c>
      <c r="G2396" s="202">
        <f t="shared" si="236"/>
        <v>1.7383124999999999</v>
      </c>
      <c r="H2396" s="202">
        <f t="shared" si="237"/>
        <v>14.160499999999999</v>
      </c>
      <c r="I2396" s="82"/>
      <c r="J2396" s="114"/>
      <c r="BB2396" s="117"/>
      <c r="BC2396" s="117"/>
      <c r="BD2396" s="117"/>
    </row>
    <row r="2397" spans="1:56" ht="15">
      <c r="A2397" s="114"/>
      <c r="B2397" s="244" t="s">
        <v>878</v>
      </c>
      <c r="C2397" s="200">
        <v>1</v>
      </c>
      <c r="D2397" s="245">
        <v>0.75</v>
      </c>
      <c r="E2397" s="245">
        <v>0.75</v>
      </c>
      <c r="F2397" s="201">
        <v>6.35</v>
      </c>
      <c r="G2397" s="202">
        <f t="shared" si="236"/>
        <v>3.5718749999999999</v>
      </c>
      <c r="H2397" s="202">
        <f t="shared" si="237"/>
        <v>19.049999999999997</v>
      </c>
      <c r="I2397" s="82"/>
      <c r="J2397" s="114"/>
      <c r="BB2397" s="117"/>
      <c r="BC2397" s="117"/>
      <c r="BD2397" s="117"/>
    </row>
    <row r="2398" spans="1:56" ht="15">
      <c r="A2398" s="114"/>
      <c r="B2398" s="244" t="s">
        <v>879</v>
      </c>
      <c r="C2398" s="200">
        <v>1</v>
      </c>
      <c r="D2398" s="245">
        <v>0.75</v>
      </c>
      <c r="E2398" s="245">
        <v>0.75</v>
      </c>
      <c r="F2398" s="201">
        <v>6.35</v>
      </c>
      <c r="G2398" s="202">
        <f t="shared" si="236"/>
        <v>3.5718749999999999</v>
      </c>
      <c r="H2398" s="202">
        <f t="shared" si="237"/>
        <v>19.049999999999997</v>
      </c>
      <c r="I2398" s="82"/>
      <c r="J2398" s="114"/>
      <c r="BB2398" s="117"/>
      <c r="BC2398" s="117"/>
      <c r="BD2398" s="117"/>
    </row>
    <row r="2399" spans="1:56" ht="15">
      <c r="A2399" s="114"/>
      <c r="B2399" s="244" t="s">
        <v>880</v>
      </c>
      <c r="C2399" s="200">
        <v>1</v>
      </c>
      <c r="D2399" s="245">
        <v>0.36499999999999999</v>
      </c>
      <c r="E2399" s="245">
        <v>0.75</v>
      </c>
      <c r="F2399" s="201">
        <v>6.35</v>
      </c>
      <c r="G2399" s="202">
        <f t="shared" si="236"/>
        <v>1.7383124999999999</v>
      </c>
      <c r="H2399" s="202">
        <f t="shared" si="237"/>
        <v>14.160499999999999</v>
      </c>
      <c r="I2399" s="82"/>
      <c r="J2399" s="114"/>
      <c r="BB2399" s="117"/>
      <c r="BC2399" s="117"/>
      <c r="BD2399" s="117"/>
    </row>
    <row r="2400" spans="1:56" ht="15">
      <c r="A2400" s="114"/>
      <c r="B2400" s="244" t="s">
        <v>881</v>
      </c>
      <c r="C2400" s="200">
        <v>1</v>
      </c>
      <c r="D2400" s="245">
        <v>0.36499999999999999</v>
      </c>
      <c r="E2400" s="245">
        <v>0.75</v>
      </c>
      <c r="F2400" s="201">
        <v>6.35</v>
      </c>
      <c r="G2400" s="202">
        <f t="shared" si="236"/>
        <v>1.7383124999999999</v>
      </c>
      <c r="H2400" s="202">
        <f t="shared" si="237"/>
        <v>14.160499999999999</v>
      </c>
      <c r="I2400" s="82"/>
      <c r="J2400" s="114"/>
      <c r="BB2400" s="117"/>
      <c r="BC2400" s="117"/>
      <c r="BD2400" s="117"/>
    </row>
    <row r="2401" spans="1:56" ht="15">
      <c r="A2401" s="114"/>
      <c r="B2401" s="244" t="s">
        <v>882</v>
      </c>
      <c r="C2401" s="200">
        <v>1</v>
      </c>
      <c r="D2401" s="245">
        <v>0.75</v>
      </c>
      <c r="E2401" s="245">
        <v>0.75</v>
      </c>
      <c r="F2401" s="201">
        <v>6.35</v>
      </c>
      <c r="G2401" s="202">
        <f t="shared" si="236"/>
        <v>3.5718749999999999</v>
      </c>
      <c r="H2401" s="202">
        <f t="shared" si="237"/>
        <v>19.049999999999997</v>
      </c>
      <c r="I2401" s="82"/>
      <c r="J2401" s="114"/>
      <c r="BB2401" s="117"/>
      <c r="BC2401" s="117"/>
      <c r="BD2401" s="117"/>
    </row>
    <row r="2402" spans="1:56" ht="15">
      <c r="A2402" s="114"/>
      <c r="B2402" s="244" t="s">
        <v>1013</v>
      </c>
      <c r="C2402" s="200">
        <v>1</v>
      </c>
      <c r="D2402" s="245">
        <v>0.75</v>
      </c>
      <c r="E2402" s="245">
        <v>0.75</v>
      </c>
      <c r="F2402" s="201">
        <v>6.35</v>
      </c>
      <c r="G2402" s="202">
        <f t="shared" si="236"/>
        <v>3.5718749999999999</v>
      </c>
      <c r="H2402" s="202">
        <f t="shared" si="237"/>
        <v>19.049999999999997</v>
      </c>
      <c r="I2402" s="82"/>
      <c r="J2402" s="114"/>
      <c r="BB2402" s="117"/>
      <c r="BC2402" s="117"/>
      <c r="BD2402" s="117"/>
    </row>
    <row r="2403" spans="1:56" ht="15">
      <c r="A2403" s="114"/>
      <c r="B2403" s="244" t="s">
        <v>1014</v>
      </c>
      <c r="C2403" s="200">
        <v>1</v>
      </c>
      <c r="D2403" s="245">
        <v>0.36499999999999999</v>
      </c>
      <c r="E2403" s="245">
        <v>0.75</v>
      </c>
      <c r="F2403" s="201">
        <v>6.35</v>
      </c>
      <c r="G2403" s="202">
        <f t="shared" si="236"/>
        <v>1.7383124999999999</v>
      </c>
      <c r="H2403" s="202">
        <f t="shared" si="237"/>
        <v>14.160499999999999</v>
      </c>
      <c r="I2403" s="82"/>
      <c r="J2403" s="114"/>
      <c r="BB2403" s="117"/>
      <c r="BC2403" s="117"/>
      <c r="BD2403" s="117"/>
    </row>
    <row r="2404" spans="1:56" ht="15">
      <c r="A2404" s="114"/>
      <c r="B2404" s="244" t="s">
        <v>1015</v>
      </c>
      <c r="C2404" s="200">
        <v>1</v>
      </c>
      <c r="D2404" s="245">
        <v>0.36499999999999999</v>
      </c>
      <c r="E2404" s="245">
        <v>0.75</v>
      </c>
      <c r="F2404" s="201">
        <v>6.35</v>
      </c>
      <c r="G2404" s="202">
        <f t="shared" si="236"/>
        <v>1.7383124999999999</v>
      </c>
      <c r="H2404" s="202">
        <f t="shared" si="237"/>
        <v>14.160499999999999</v>
      </c>
      <c r="I2404" s="82"/>
      <c r="J2404" s="114"/>
      <c r="BB2404" s="117"/>
      <c r="BC2404" s="117"/>
      <c r="BD2404" s="117"/>
    </row>
    <row r="2405" spans="1:56" ht="15">
      <c r="A2405" s="114"/>
      <c r="B2405" s="244" t="s">
        <v>1016</v>
      </c>
      <c r="C2405" s="200">
        <v>1</v>
      </c>
      <c r="D2405" s="245">
        <v>0.75</v>
      </c>
      <c r="E2405" s="245">
        <v>0.75</v>
      </c>
      <c r="F2405" s="201">
        <v>6.35</v>
      </c>
      <c r="G2405" s="202">
        <f t="shared" si="236"/>
        <v>3.5718749999999999</v>
      </c>
      <c r="H2405" s="202">
        <f t="shared" si="237"/>
        <v>19.049999999999997</v>
      </c>
      <c r="I2405" s="82"/>
      <c r="J2405" s="114"/>
      <c r="BB2405" s="117"/>
      <c r="BC2405" s="117"/>
      <c r="BD2405" s="117"/>
    </row>
    <row r="2406" spans="1:56" ht="15">
      <c r="A2406" s="114"/>
      <c r="B2406" s="244" t="s">
        <v>1017</v>
      </c>
      <c r="C2406" s="200">
        <v>1</v>
      </c>
      <c r="D2406" s="245">
        <v>0.75</v>
      </c>
      <c r="E2406" s="245">
        <v>0.75</v>
      </c>
      <c r="F2406" s="201">
        <v>6.35</v>
      </c>
      <c r="G2406" s="202">
        <f t="shared" si="236"/>
        <v>3.5718749999999999</v>
      </c>
      <c r="H2406" s="202">
        <f t="shared" si="237"/>
        <v>19.049999999999997</v>
      </c>
      <c r="I2406" s="82"/>
      <c r="J2406" s="114"/>
      <c r="BB2406" s="117"/>
      <c r="BC2406" s="117"/>
      <c r="BD2406" s="117"/>
    </row>
    <row r="2407" spans="1:56" ht="15">
      <c r="A2407" s="114"/>
      <c r="B2407" s="244" t="s">
        <v>1018</v>
      </c>
      <c r="C2407" s="200">
        <v>1</v>
      </c>
      <c r="D2407" s="245">
        <v>0.75</v>
      </c>
      <c r="E2407" s="245">
        <v>0.75</v>
      </c>
      <c r="F2407" s="201">
        <v>10.725</v>
      </c>
      <c r="G2407" s="202">
        <f t="shared" si="236"/>
        <v>6.0328124999999995</v>
      </c>
      <c r="H2407" s="202">
        <f t="shared" si="237"/>
        <v>32.174999999999997</v>
      </c>
      <c r="I2407" s="82"/>
      <c r="J2407" s="114"/>
      <c r="BB2407" s="117"/>
      <c r="BC2407" s="117"/>
      <c r="BD2407" s="117"/>
    </row>
    <row r="2408" spans="1:56" ht="15">
      <c r="A2408" s="114"/>
      <c r="B2408" s="244" t="s">
        <v>1503</v>
      </c>
      <c r="C2408" s="200">
        <v>1</v>
      </c>
      <c r="D2408" s="245">
        <v>0.78500000000000003</v>
      </c>
      <c r="E2408" s="245">
        <v>3.14</v>
      </c>
      <c r="F2408" s="201">
        <v>6.35</v>
      </c>
      <c r="G2408" s="202">
        <f>F2408*D2408*C2408</f>
        <v>4.98475</v>
      </c>
      <c r="H2408" s="202">
        <f>F2408*E2408*C2408</f>
        <v>19.939</v>
      </c>
      <c r="I2408" s="82"/>
      <c r="J2408" s="114"/>
      <c r="BB2408" s="117"/>
      <c r="BC2408" s="117"/>
      <c r="BD2408" s="117"/>
    </row>
    <row r="2409" spans="1:56" ht="15">
      <c r="A2409" s="114"/>
      <c r="B2409" s="244" t="s">
        <v>1505</v>
      </c>
      <c r="C2409" s="200">
        <v>1</v>
      </c>
      <c r="D2409" s="245">
        <v>17.8</v>
      </c>
      <c r="E2409" s="245">
        <v>0.3</v>
      </c>
      <c r="F2409" s="628">
        <v>0</v>
      </c>
      <c r="G2409" s="202">
        <f>D2409*E2409*C2409</f>
        <v>5.34</v>
      </c>
      <c r="H2409" s="202">
        <f>D2409*2</f>
        <v>35.6</v>
      </c>
      <c r="I2409" s="82"/>
      <c r="J2409" s="114"/>
      <c r="BB2409" s="117"/>
      <c r="BC2409" s="117"/>
      <c r="BD2409" s="117"/>
    </row>
    <row r="2410" spans="1:56" ht="15">
      <c r="A2410" s="114"/>
      <c r="B2410" s="244" t="s">
        <v>1506</v>
      </c>
      <c r="C2410" s="200">
        <v>1</v>
      </c>
      <c r="D2410" s="245">
        <v>17.8</v>
      </c>
      <c r="E2410" s="245">
        <v>0.3</v>
      </c>
      <c r="F2410" s="628">
        <v>0</v>
      </c>
      <c r="G2410" s="202">
        <f>D2410*E2410*C2410</f>
        <v>5.34</v>
      </c>
      <c r="H2410" s="202">
        <f>D2410*2</f>
        <v>35.6</v>
      </c>
      <c r="I2410" s="82"/>
      <c r="J2410" s="114"/>
      <c r="BB2410" s="117"/>
      <c r="BC2410" s="117"/>
      <c r="BD2410" s="117"/>
    </row>
    <row r="2411" spans="1:56" ht="15">
      <c r="A2411" s="114"/>
      <c r="B2411" s="244" t="s">
        <v>1507</v>
      </c>
      <c r="C2411" s="200">
        <v>1</v>
      </c>
      <c r="D2411" s="245">
        <v>17.8</v>
      </c>
      <c r="E2411" s="245">
        <v>0.3</v>
      </c>
      <c r="F2411" s="628">
        <v>0</v>
      </c>
      <c r="G2411" s="202">
        <f>D2411*E2411*C2411</f>
        <v>5.34</v>
      </c>
      <c r="H2411" s="202">
        <f>D2411*2</f>
        <v>35.6</v>
      </c>
      <c r="I2411" s="82"/>
      <c r="J2411" s="114"/>
      <c r="BB2411" s="117"/>
      <c r="BC2411" s="117"/>
      <c r="BD2411" s="117"/>
    </row>
    <row r="2412" spans="1:56" ht="15">
      <c r="A2412" s="114"/>
      <c r="B2412" s="244" t="s">
        <v>1504</v>
      </c>
      <c r="C2412" s="200">
        <v>1</v>
      </c>
      <c r="D2412" s="245">
        <v>0.78600000000000003</v>
      </c>
      <c r="E2412" s="245">
        <v>0.52500000000000002</v>
      </c>
      <c r="F2412" s="245">
        <v>4.375</v>
      </c>
      <c r="G2412" s="202">
        <f>D2412*E2412*F2412*C2412</f>
        <v>1.80534375</v>
      </c>
      <c r="H2412" s="202">
        <f>(D2412+E2412)*2*F2412*C2412</f>
        <v>11.47125</v>
      </c>
      <c r="I2412" s="82"/>
      <c r="J2412" s="114"/>
      <c r="BB2412" s="117"/>
      <c r="BC2412" s="117"/>
      <c r="BD2412" s="117"/>
    </row>
    <row r="2413" spans="1:56" ht="15">
      <c r="A2413" s="114"/>
      <c r="B2413" s="244" t="s">
        <v>1491</v>
      </c>
      <c r="C2413" s="200">
        <v>1</v>
      </c>
      <c r="D2413" s="201">
        <v>0.25</v>
      </c>
      <c r="E2413" s="201">
        <v>0.2</v>
      </c>
      <c r="F2413" s="201">
        <v>2.95</v>
      </c>
      <c r="G2413" s="202">
        <f t="shared" ref="G2413" si="238">D2413*E2413*F2413*C2413</f>
        <v>0.14750000000000002</v>
      </c>
      <c r="H2413" s="202">
        <f t="shared" ref="H2413" si="239">(D2413+E2413)*2*F2413*C2413</f>
        <v>2.6550000000000002</v>
      </c>
      <c r="I2413" s="82"/>
      <c r="J2413" s="114"/>
      <c r="BB2413" s="117"/>
      <c r="BC2413" s="117"/>
      <c r="BD2413" s="117"/>
    </row>
    <row r="2414" spans="1:56" ht="15">
      <c r="A2414" s="114"/>
      <c r="B2414" s="244" t="s">
        <v>1492</v>
      </c>
      <c r="C2414" s="200">
        <v>1</v>
      </c>
      <c r="D2414" s="201">
        <v>0.25</v>
      </c>
      <c r="E2414" s="201">
        <v>0.2</v>
      </c>
      <c r="F2414" s="201">
        <v>1.74</v>
      </c>
      <c r="G2414" s="202">
        <f t="shared" ref="G2414" si="240">D2414*E2414*F2414*C2414</f>
        <v>8.7000000000000008E-2</v>
      </c>
      <c r="H2414" s="202">
        <f t="shared" ref="H2414" si="241">(D2414+E2414)*2*F2414*C2414</f>
        <v>1.5660000000000001</v>
      </c>
      <c r="I2414" s="82"/>
      <c r="J2414" s="114"/>
      <c r="BB2414" s="117"/>
      <c r="BC2414" s="117"/>
      <c r="BD2414" s="117"/>
    </row>
    <row r="2415" spans="1:56" ht="15">
      <c r="A2415" s="114"/>
      <c r="B2415" s="244" t="s">
        <v>1493</v>
      </c>
      <c r="C2415" s="200">
        <v>1</v>
      </c>
      <c r="D2415" s="201">
        <v>0.25</v>
      </c>
      <c r="E2415" s="201">
        <v>0.2</v>
      </c>
      <c r="F2415" s="201">
        <v>1.2470000000000001</v>
      </c>
      <c r="G2415" s="202">
        <f t="shared" ref="G2415" si="242">D2415*E2415*F2415*C2415</f>
        <v>6.235000000000001E-2</v>
      </c>
      <c r="H2415" s="202">
        <f t="shared" ref="H2415" si="243">(D2415+E2415)*2*F2415*C2415</f>
        <v>1.1223000000000001</v>
      </c>
      <c r="I2415" s="82"/>
      <c r="J2415" s="114"/>
      <c r="BB2415" s="117"/>
      <c r="BC2415" s="117"/>
      <c r="BD2415" s="117"/>
    </row>
    <row r="2416" spans="1:56" ht="15">
      <c r="A2416" s="114"/>
      <c r="B2416" s="244" t="s">
        <v>1494</v>
      </c>
      <c r="C2416" s="200">
        <v>1</v>
      </c>
      <c r="D2416" s="201">
        <v>0.25</v>
      </c>
      <c r="E2416" s="201">
        <v>0.2</v>
      </c>
      <c r="F2416" s="201">
        <v>0.98199999999999998</v>
      </c>
      <c r="G2416" s="202">
        <f t="shared" ref="G2416" si="244">D2416*E2416*F2416*C2416</f>
        <v>4.9100000000000005E-2</v>
      </c>
      <c r="H2416" s="202">
        <f t="shared" ref="H2416" si="245">(D2416+E2416)*2*F2416*C2416</f>
        <v>0.88380000000000003</v>
      </c>
      <c r="I2416" s="82"/>
      <c r="J2416" s="114"/>
      <c r="BB2416" s="117"/>
      <c r="BC2416" s="117"/>
      <c r="BD2416" s="117"/>
    </row>
    <row r="2417" spans="1:56" ht="15">
      <c r="A2417" s="114"/>
      <c r="B2417" s="244" t="s">
        <v>1495</v>
      </c>
      <c r="C2417" s="200">
        <v>1</v>
      </c>
      <c r="D2417" s="201">
        <v>0.25</v>
      </c>
      <c r="E2417" s="201">
        <v>0.2</v>
      </c>
      <c r="F2417" s="201">
        <v>11.02</v>
      </c>
      <c r="G2417" s="202">
        <f t="shared" ref="G2417" si="246">D2417*E2417*F2417*C2417</f>
        <v>0.55100000000000005</v>
      </c>
      <c r="H2417" s="202">
        <f t="shared" ref="H2417" si="247">(D2417+E2417)*2*F2417*C2417</f>
        <v>9.9179999999999993</v>
      </c>
      <c r="I2417" s="82"/>
      <c r="J2417" s="114"/>
      <c r="BB2417" s="117"/>
      <c r="BC2417" s="117"/>
      <c r="BD2417" s="117"/>
    </row>
    <row r="2418" spans="1:56" ht="15">
      <c r="A2418" s="114"/>
      <c r="B2418" s="244" t="s">
        <v>1496</v>
      </c>
      <c r="C2418" s="200">
        <v>1</v>
      </c>
      <c r="D2418" s="201">
        <v>0.25</v>
      </c>
      <c r="E2418" s="201">
        <v>0.2</v>
      </c>
      <c r="F2418" s="201">
        <v>11.02</v>
      </c>
      <c r="G2418" s="202">
        <f t="shared" ref="G2418:G2419" si="248">D2418*E2418*F2418*C2418</f>
        <v>0.55100000000000005</v>
      </c>
      <c r="H2418" s="202">
        <f t="shared" ref="H2418:H2419" si="249">(D2418+E2418)*2*F2418*C2418</f>
        <v>9.9179999999999993</v>
      </c>
      <c r="I2418" s="82"/>
      <c r="J2418" s="114"/>
      <c r="BB2418" s="117"/>
      <c r="BC2418" s="117"/>
      <c r="BD2418" s="117"/>
    </row>
    <row r="2419" spans="1:56" ht="15">
      <c r="A2419" s="114"/>
      <c r="B2419" s="244" t="s">
        <v>1497</v>
      </c>
      <c r="C2419" s="200">
        <v>1</v>
      </c>
      <c r="D2419" s="201">
        <v>0.25</v>
      </c>
      <c r="E2419" s="201">
        <v>0.2</v>
      </c>
      <c r="F2419" s="201">
        <v>8.1</v>
      </c>
      <c r="G2419" s="202">
        <f t="shared" si="248"/>
        <v>0.40500000000000003</v>
      </c>
      <c r="H2419" s="202">
        <f t="shared" si="249"/>
        <v>7.29</v>
      </c>
      <c r="I2419" s="82"/>
      <c r="J2419" s="114"/>
      <c r="BB2419" s="117"/>
      <c r="BC2419" s="117"/>
      <c r="BD2419" s="117"/>
    </row>
    <row r="2420" spans="1:56" ht="15">
      <c r="A2420" s="114"/>
      <c r="B2420" s="244" t="s">
        <v>1498</v>
      </c>
      <c r="C2420" s="200">
        <v>1</v>
      </c>
      <c r="D2420" s="201">
        <v>0.25</v>
      </c>
      <c r="E2420" s="201">
        <v>0.2</v>
      </c>
      <c r="F2420" s="201">
        <v>8.1</v>
      </c>
      <c r="G2420" s="202">
        <f t="shared" ref="G2420" si="250">D2420*E2420*F2420*C2420</f>
        <v>0.40500000000000003</v>
      </c>
      <c r="H2420" s="202">
        <f t="shared" ref="H2420" si="251">(D2420+E2420)*2*F2420*C2420</f>
        <v>7.29</v>
      </c>
      <c r="I2420" s="82"/>
      <c r="J2420" s="114"/>
      <c r="BB2420" s="117"/>
      <c r="BC2420" s="117"/>
      <c r="BD2420" s="117"/>
    </row>
    <row r="2421" spans="1:56" ht="15">
      <c r="A2421" s="114"/>
      <c r="B2421" s="244" t="s">
        <v>694</v>
      </c>
      <c r="C2421" s="200">
        <v>1</v>
      </c>
      <c r="D2421" s="201">
        <v>0.3</v>
      </c>
      <c r="E2421" s="201">
        <v>0.2</v>
      </c>
      <c r="F2421" s="201">
        <v>3.59</v>
      </c>
      <c r="G2421" s="202">
        <f t="shared" si="230"/>
        <v>0.21539999999999998</v>
      </c>
      <c r="H2421" s="202">
        <f t="shared" si="231"/>
        <v>3.59</v>
      </c>
      <c r="I2421" s="82"/>
      <c r="J2421" s="114"/>
      <c r="BB2421" s="117"/>
      <c r="BC2421" s="117"/>
      <c r="BD2421" s="117"/>
    </row>
    <row r="2422" spans="1:56" ht="15">
      <c r="A2422" s="114"/>
      <c r="B2422" s="244" t="s">
        <v>695</v>
      </c>
      <c r="C2422" s="200">
        <v>1</v>
      </c>
      <c r="D2422" s="245">
        <v>0.3</v>
      </c>
      <c r="E2422" s="245">
        <v>0.3</v>
      </c>
      <c r="F2422" s="201">
        <v>3.59</v>
      </c>
      <c r="G2422" s="202">
        <f t="shared" si="230"/>
        <v>0.3231</v>
      </c>
      <c r="H2422" s="202">
        <f t="shared" si="231"/>
        <v>4.3079999999999998</v>
      </c>
      <c r="I2422" s="82"/>
      <c r="J2422" s="114"/>
      <c r="BB2422" s="117"/>
      <c r="BC2422" s="117"/>
      <c r="BD2422" s="117"/>
    </row>
    <row r="2423" spans="1:56" ht="15">
      <c r="A2423" s="114"/>
      <c r="B2423" s="244" t="s">
        <v>696</v>
      </c>
      <c r="C2423" s="200">
        <v>1</v>
      </c>
      <c r="D2423" s="245">
        <v>0.3</v>
      </c>
      <c r="E2423" s="245">
        <v>0.3</v>
      </c>
      <c r="F2423" s="201">
        <v>3.59</v>
      </c>
      <c r="G2423" s="202">
        <f t="shared" si="230"/>
        <v>0.3231</v>
      </c>
      <c r="H2423" s="202">
        <f t="shared" si="231"/>
        <v>4.3079999999999998</v>
      </c>
      <c r="I2423" s="82"/>
      <c r="J2423" s="114"/>
      <c r="BB2423" s="117"/>
      <c r="BC2423" s="117"/>
      <c r="BD2423" s="117"/>
    </row>
    <row r="2424" spans="1:56" ht="15">
      <c r="A2424" s="114"/>
      <c r="B2424" s="244" t="s">
        <v>697</v>
      </c>
      <c r="C2424" s="200">
        <v>1</v>
      </c>
      <c r="D2424" s="245">
        <v>0.3</v>
      </c>
      <c r="E2424" s="245">
        <v>0.3</v>
      </c>
      <c r="F2424" s="201">
        <v>3.59</v>
      </c>
      <c r="G2424" s="202">
        <f t="shared" si="230"/>
        <v>0.3231</v>
      </c>
      <c r="H2424" s="202">
        <f t="shared" si="231"/>
        <v>4.3079999999999998</v>
      </c>
      <c r="I2424" s="82"/>
      <c r="J2424" s="114"/>
      <c r="BB2424" s="117"/>
      <c r="BC2424" s="117"/>
      <c r="BD2424" s="117"/>
    </row>
    <row r="2425" spans="1:56" ht="15">
      <c r="A2425" s="114"/>
      <c r="B2425" s="244" t="s">
        <v>1499</v>
      </c>
      <c r="C2425" s="200">
        <v>1</v>
      </c>
      <c r="D2425" s="201">
        <v>0.3</v>
      </c>
      <c r="E2425" s="201">
        <v>0.2</v>
      </c>
      <c r="F2425" s="201">
        <v>3.2360000000000002</v>
      </c>
      <c r="G2425" s="202">
        <f t="shared" ref="G2425:G2428" si="252">D2425*E2425*F2425*C2425</f>
        <v>0.19416</v>
      </c>
      <c r="H2425" s="202">
        <f t="shared" ref="H2425:H2428" si="253">(D2425+E2425)*2*F2425*C2425</f>
        <v>3.2360000000000002</v>
      </c>
      <c r="I2425" s="82"/>
      <c r="J2425" s="114"/>
      <c r="BB2425" s="117"/>
      <c r="BC2425" s="117"/>
      <c r="BD2425" s="117"/>
    </row>
    <row r="2426" spans="1:56" ht="15">
      <c r="A2426" s="114"/>
      <c r="B2426" s="244" t="s">
        <v>1500</v>
      </c>
      <c r="C2426" s="200">
        <v>1</v>
      </c>
      <c r="D2426" s="245">
        <v>0.3</v>
      </c>
      <c r="E2426" s="245">
        <v>0.3</v>
      </c>
      <c r="F2426" s="201">
        <v>3.2360000000000002</v>
      </c>
      <c r="G2426" s="202">
        <f t="shared" si="252"/>
        <v>0.29124</v>
      </c>
      <c r="H2426" s="202">
        <f t="shared" si="253"/>
        <v>3.8832</v>
      </c>
      <c r="I2426" s="82"/>
      <c r="J2426" s="114"/>
      <c r="BB2426" s="117"/>
      <c r="BC2426" s="117"/>
      <c r="BD2426" s="117"/>
    </row>
    <row r="2427" spans="1:56" ht="15">
      <c r="A2427" s="114"/>
      <c r="B2427" s="244" t="s">
        <v>1501</v>
      </c>
      <c r="C2427" s="200">
        <v>1</v>
      </c>
      <c r="D2427" s="245">
        <v>0.3</v>
      </c>
      <c r="E2427" s="245">
        <v>0.3</v>
      </c>
      <c r="F2427" s="201">
        <v>3.06</v>
      </c>
      <c r="G2427" s="202">
        <f t="shared" si="252"/>
        <v>0.27539999999999998</v>
      </c>
      <c r="H2427" s="202">
        <f t="shared" si="253"/>
        <v>3.6719999999999997</v>
      </c>
      <c r="I2427" s="82"/>
      <c r="J2427" s="114"/>
      <c r="BB2427" s="117"/>
      <c r="BC2427" s="117"/>
      <c r="BD2427" s="117"/>
    </row>
    <row r="2428" spans="1:56" ht="15">
      <c r="A2428" s="114"/>
      <c r="B2428" s="244" t="s">
        <v>1502</v>
      </c>
      <c r="C2428" s="200">
        <v>1</v>
      </c>
      <c r="D2428" s="245">
        <v>0.3</v>
      </c>
      <c r="E2428" s="245">
        <v>0.3</v>
      </c>
      <c r="F2428" s="201">
        <v>3.06</v>
      </c>
      <c r="G2428" s="202">
        <f t="shared" si="252"/>
        <v>0.27539999999999998</v>
      </c>
      <c r="H2428" s="202">
        <f t="shared" si="253"/>
        <v>3.6719999999999997</v>
      </c>
      <c r="I2428" s="82"/>
      <c r="J2428" s="114"/>
      <c r="BB2428" s="117"/>
      <c r="BC2428" s="117"/>
      <c r="BD2428" s="117"/>
    </row>
    <row r="2429" spans="1:56" ht="15">
      <c r="A2429" s="114"/>
      <c r="B2429" s="244" t="s">
        <v>1737</v>
      </c>
      <c r="C2429" s="200">
        <v>1</v>
      </c>
      <c r="D2429" s="245">
        <v>0.76500000000000001</v>
      </c>
      <c r="E2429" s="245">
        <v>6.12</v>
      </c>
      <c r="F2429" s="201">
        <v>14.45</v>
      </c>
      <c r="G2429" s="202">
        <f>D2429*F2429</f>
        <v>11.05425</v>
      </c>
      <c r="H2429" s="202">
        <f>F2429*E2429</f>
        <v>88.433999999999997</v>
      </c>
      <c r="I2429" s="82"/>
      <c r="J2429" s="114"/>
      <c r="BB2429" s="117"/>
      <c r="BC2429" s="117"/>
      <c r="BD2429" s="117"/>
    </row>
    <row r="2430" spans="1:56" s="738" customFormat="1" ht="15">
      <c r="A2430" s="737"/>
      <c r="B2430" s="753" t="s">
        <v>1977</v>
      </c>
      <c r="C2430" s="754">
        <v>1</v>
      </c>
      <c r="D2430" s="755">
        <v>0.50260000000000005</v>
      </c>
      <c r="E2430" s="755">
        <v>2.5099999999999998</v>
      </c>
      <c r="F2430" s="756">
        <v>3.07</v>
      </c>
      <c r="G2430" s="759">
        <f>F2430*D2430*C2430</f>
        <v>1.5429820000000001</v>
      </c>
      <c r="H2430" s="759">
        <f>F2430*E2430*C2430</f>
        <v>7.7056999999999993</v>
      </c>
      <c r="I2430" s="386"/>
      <c r="J2430" s="264"/>
      <c r="K2430" s="737"/>
      <c r="L2430" s="737"/>
      <c r="M2430" s="737"/>
      <c r="N2430" s="737"/>
      <c r="O2430" s="737"/>
      <c r="P2430" s="737"/>
      <c r="Q2430" s="737"/>
      <c r="R2430" s="737"/>
      <c r="S2430" s="737"/>
      <c r="T2430" s="737"/>
      <c r="U2430" s="737"/>
      <c r="V2430" s="737"/>
      <c r="W2430" s="737"/>
      <c r="X2430" s="737"/>
      <c r="Y2430" s="737"/>
      <c r="Z2430" s="737"/>
      <c r="AA2430" s="737"/>
      <c r="AB2430" s="737"/>
      <c r="AC2430" s="737"/>
      <c r="AD2430" s="737"/>
      <c r="AE2430" s="737"/>
      <c r="AF2430" s="737"/>
      <c r="AG2430" s="737"/>
      <c r="AH2430" s="737"/>
      <c r="AI2430" s="737"/>
      <c r="AJ2430" s="737"/>
      <c r="AK2430" s="737"/>
      <c r="AL2430" s="737"/>
      <c r="AM2430" s="737"/>
      <c r="AN2430" s="737"/>
      <c r="AO2430" s="737"/>
      <c r="AP2430" s="737"/>
      <c r="AQ2430" s="737"/>
      <c r="AR2430" s="737"/>
      <c r="AS2430" s="737"/>
      <c r="AT2430" s="737"/>
      <c r="AU2430" s="737"/>
      <c r="AV2430" s="737"/>
      <c r="AW2430" s="737"/>
      <c r="AX2430" s="737"/>
      <c r="AY2430" s="737"/>
      <c r="AZ2430" s="737"/>
      <c r="BA2430" s="737"/>
    </row>
    <row r="2431" spans="1:56" s="738" customFormat="1" ht="15">
      <c r="A2431" s="737"/>
      <c r="B2431" s="753" t="s">
        <v>1978</v>
      </c>
      <c r="C2431" s="754">
        <v>1</v>
      </c>
      <c r="D2431" s="755">
        <v>0.50260000000000005</v>
      </c>
      <c r="E2431" s="755">
        <v>2.5099999999999998</v>
      </c>
      <c r="F2431" s="756">
        <v>3.07</v>
      </c>
      <c r="G2431" s="759">
        <f>F2431*D2431*C2431</f>
        <v>1.5429820000000001</v>
      </c>
      <c r="H2431" s="759">
        <f>F2431*E2431*C2431</f>
        <v>7.7056999999999993</v>
      </c>
      <c r="I2431" s="386"/>
      <c r="J2431" s="264"/>
      <c r="K2431" s="737"/>
      <c r="L2431" s="737"/>
      <c r="M2431" s="737"/>
      <c r="N2431" s="737"/>
      <c r="O2431" s="737"/>
      <c r="P2431" s="737"/>
      <c r="Q2431" s="737"/>
      <c r="R2431" s="737"/>
      <c r="S2431" s="737"/>
      <c r="T2431" s="737"/>
      <c r="U2431" s="737"/>
      <c r="V2431" s="737"/>
      <c r="W2431" s="737"/>
      <c r="X2431" s="737"/>
      <c r="Y2431" s="737"/>
      <c r="Z2431" s="737"/>
      <c r="AA2431" s="737"/>
      <c r="AB2431" s="737"/>
      <c r="AC2431" s="737"/>
      <c r="AD2431" s="737"/>
      <c r="AE2431" s="737"/>
      <c r="AF2431" s="737"/>
      <c r="AG2431" s="737"/>
      <c r="AH2431" s="737"/>
      <c r="AI2431" s="737"/>
      <c r="AJ2431" s="737"/>
      <c r="AK2431" s="737"/>
      <c r="AL2431" s="737"/>
      <c r="AM2431" s="737"/>
      <c r="AN2431" s="737"/>
      <c r="AO2431" s="737"/>
      <c r="AP2431" s="737"/>
      <c r="AQ2431" s="737"/>
      <c r="AR2431" s="737"/>
      <c r="AS2431" s="737"/>
      <c r="AT2431" s="737"/>
      <c r="AU2431" s="737"/>
      <c r="AV2431" s="737"/>
      <c r="AW2431" s="737"/>
      <c r="AX2431" s="737"/>
      <c r="AY2431" s="737"/>
      <c r="AZ2431" s="737"/>
      <c r="BA2431" s="737"/>
    </row>
    <row r="2432" spans="1:56" s="738" customFormat="1" ht="15">
      <c r="A2432" s="737"/>
      <c r="B2432" s="753" t="s">
        <v>1979</v>
      </c>
      <c r="C2432" s="754">
        <v>1</v>
      </c>
      <c r="D2432" s="755">
        <v>0.50260000000000005</v>
      </c>
      <c r="E2432" s="755">
        <v>2.5099999999999998</v>
      </c>
      <c r="F2432" s="756">
        <v>3.07</v>
      </c>
      <c r="G2432" s="759">
        <f>F2432*D2432*C2432</f>
        <v>1.5429820000000001</v>
      </c>
      <c r="H2432" s="759">
        <f>F2432*E2432*C2432</f>
        <v>7.7056999999999993</v>
      </c>
      <c r="I2432" s="386"/>
      <c r="J2432" s="264"/>
      <c r="K2432" s="737"/>
      <c r="L2432" s="737"/>
      <c r="M2432" s="737"/>
      <c r="N2432" s="737"/>
      <c r="O2432" s="737"/>
      <c r="P2432" s="737"/>
      <c r="Q2432" s="737"/>
      <c r="R2432" s="737"/>
      <c r="S2432" s="737"/>
      <c r="T2432" s="737"/>
      <c r="U2432" s="737"/>
      <c r="V2432" s="737"/>
      <c r="W2432" s="737"/>
      <c r="X2432" s="737"/>
      <c r="Y2432" s="737"/>
      <c r="Z2432" s="737"/>
      <c r="AA2432" s="737"/>
      <c r="AB2432" s="737"/>
      <c r="AC2432" s="737"/>
      <c r="AD2432" s="737"/>
      <c r="AE2432" s="737"/>
      <c r="AF2432" s="737"/>
      <c r="AG2432" s="737"/>
      <c r="AH2432" s="737"/>
      <c r="AI2432" s="737"/>
      <c r="AJ2432" s="737"/>
      <c r="AK2432" s="737"/>
      <c r="AL2432" s="737"/>
      <c r="AM2432" s="737"/>
      <c r="AN2432" s="737"/>
      <c r="AO2432" s="737"/>
      <c r="AP2432" s="737"/>
      <c r="AQ2432" s="737"/>
      <c r="AR2432" s="737"/>
      <c r="AS2432" s="737"/>
      <c r="AT2432" s="737"/>
      <c r="AU2432" s="737"/>
      <c r="AV2432" s="737"/>
      <c r="AW2432" s="737"/>
      <c r="AX2432" s="737"/>
      <c r="AY2432" s="737"/>
      <c r="AZ2432" s="737"/>
      <c r="BA2432" s="737"/>
    </row>
    <row r="2433" spans="1:56" s="738" customFormat="1" ht="15">
      <c r="A2433" s="737"/>
      <c r="B2433" s="753" t="s">
        <v>1980</v>
      </c>
      <c r="C2433" s="754">
        <v>1</v>
      </c>
      <c r="D2433" s="755">
        <v>0.50260000000000005</v>
      </c>
      <c r="E2433" s="755">
        <v>2.5099999999999998</v>
      </c>
      <c r="F2433" s="756">
        <v>3.07</v>
      </c>
      <c r="G2433" s="759">
        <f>F2433*D2433*C2433</f>
        <v>1.5429820000000001</v>
      </c>
      <c r="H2433" s="759">
        <f>F2433*E2433*C2433</f>
        <v>7.7056999999999993</v>
      </c>
      <c r="I2433" s="386"/>
      <c r="J2433" s="264"/>
      <c r="K2433" s="737"/>
      <c r="L2433" s="737"/>
      <c r="M2433" s="737"/>
      <c r="N2433" s="737"/>
      <c r="O2433" s="737"/>
      <c r="P2433" s="737"/>
      <c r="Q2433" s="737"/>
      <c r="R2433" s="737"/>
      <c r="S2433" s="737"/>
      <c r="T2433" s="737"/>
      <c r="U2433" s="737"/>
      <c r="V2433" s="737"/>
      <c r="W2433" s="737"/>
      <c r="X2433" s="737"/>
      <c r="Y2433" s="737"/>
      <c r="Z2433" s="737"/>
      <c r="AA2433" s="737"/>
      <c r="AB2433" s="737"/>
      <c r="AC2433" s="737"/>
      <c r="AD2433" s="737"/>
      <c r="AE2433" s="737"/>
      <c r="AF2433" s="737"/>
      <c r="AG2433" s="737"/>
      <c r="AH2433" s="737"/>
      <c r="AI2433" s="737"/>
      <c r="AJ2433" s="737"/>
      <c r="AK2433" s="737"/>
      <c r="AL2433" s="737"/>
      <c r="AM2433" s="737"/>
      <c r="AN2433" s="737"/>
      <c r="AO2433" s="737"/>
      <c r="AP2433" s="737"/>
      <c r="AQ2433" s="737"/>
      <c r="AR2433" s="737"/>
      <c r="AS2433" s="737"/>
      <c r="AT2433" s="737"/>
      <c r="AU2433" s="737"/>
      <c r="AV2433" s="737"/>
      <c r="AW2433" s="737"/>
      <c r="AX2433" s="737"/>
      <c r="AY2433" s="737"/>
      <c r="AZ2433" s="737"/>
      <c r="BA2433" s="737"/>
    </row>
    <row r="2434" spans="1:56" s="738" customFormat="1" ht="15">
      <c r="A2434" s="737"/>
      <c r="B2434" s="753" t="s">
        <v>1981</v>
      </c>
      <c r="C2434" s="754">
        <v>1</v>
      </c>
      <c r="D2434" s="755">
        <v>0.50260000000000005</v>
      </c>
      <c r="E2434" s="755">
        <v>2.5099999999999998</v>
      </c>
      <c r="F2434" s="756">
        <v>3.07</v>
      </c>
      <c r="G2434" s="759">
        <f>F2434*D2434*C2434</f>
        <v>1.5429820000000001</v>
      </c>
      <c r="H2434" s="759">
        <f>F2434*E2434*C2434</f>
        <v>7.7056999999999993</v>
      </c>
      <c r="I2434" s="386"/>
      <c r="J2434" s="264"/>
      <c r="K2434" s="737"/>
      <c r="L2434" s="737"/>
      <c r="M2434" s="737"/>
      <c r="N2434" s="737"/>
      <c r="O2434" s="737"/>
      <c r="P2434" s="737"/>
      <c r="Q2434" s="737"/>
      <c r="R2434" s="737"/>
      <c r="S2434" s="737"/>
      <c r="T2434" s="737"/>
      <c r="U2434" s="737"/>
      <c r="V2434" s="737"/>
      <c r="W2434" s="737"/>
      <c r="X2434" s="737"/>
      <c r="Y2434" s="737"/>
      <c r="Z2434" s="737"/>
      <c r="AA2434" s="737"/>
      <c r="AB2434" s="737"/>
      <c r="AC2434" s="737"/>
      <c r="AD2434" s="737"/>
      <c r="AE2434" s="737"/>
      <c r="AF2434" s="737"/>
      <c r="AG2434" s="737"/>
      <c r="AH2434" s="737"/>
      <c r="AI2434" s="737"/>
      <c r="AJ2434" s="737"/>
      <c r="AK2434" s="737"/>
      <c r="AL2434" s="737"/>
      <c r="AM2434" s="737"/>
      <c r="AN2434" s="737"/>
      <c r="AO2434" s="737"/>
      <c r="AP2434" s="737"/>
      <c r="AQ2434" s="737"/>
      <c r="AR2434" s="737"/>
      <c r="AS2434" s="737"/>
      <c r="AT2434" s="737"/>
      <c r="AU2434" s="737"/>
      <c r="AV2434" s="737"/>
      <c r="AW2434" s="737"/>
      <c r="AX2434" s="737"/>
      <c r="AY2434" s="737"/>
      <c r="AZ2434" s="737"/>
      <c r="BA2434" s="737"/>
    </row>
    <row r="2435" spans="1:56" s="738" customFormat="1" ht="15">
      <c r="A2435" s="737"/>
      <c r="B2435" s="753" t="s">
        <v>1982</v>
      </c>
      <c r="C2435" s="754">
        <v>4</v>
      </c>
      <c r="D2435" s="755">
        <v>0.9</v>
      </c>
      <c r="E2435" s="755">
        <v>0.9</v>
      </c>
      <c r="F2435" s="756">
        <v>0.5</v>
      </c>
      <c r="G2435" s="759">
        <f t="shared" ref="G2435:G2436" si="254">D2435*E2435*F2435*C2435</f>
        <v>1.62</v>
      </c>
      <c r="H2435" s="759">
        <f t="shared" ref="H2435:H2436" si="255">(D2435+E2435)*2*F2435*C2435</f>
        <v>7.2</v>
      </c>
      <c r="I2435" s="386"/>
      <c r="J2435" s="264"/>
      <c r="K2435" s="737"/>
      <c r="L2435" s="737"/>
      <c r="M2435" s="737"/>
      <c r="N2435" s="737"/>
      <c r="O2435" s="737"/>
      <c r="P2435" s="737"/>
      <c r="Q2435" s="737"/>
      <c r="R2435" s="737"/>
      <c r="S2435" s="737"/>
      <c r="T2435" s="737"/>
      <c r="U2435" s="737"/>
      <c r="V2435" s="737"/>
      <c r="W2435" s="737"/>
      <c r="X2435" s="737"/>
      <c r="Y2435" s="737"/>
      <c r="Z2435" s="737"/>
      <c r="AA2435" s="737"/>
      <c r="AB2435" s="737"/>
      <c r="AC2435" s="737"/>
      <c r="AD2435" s="737"/>
      <c r="AE2435" s="737"/>
      <c r="AF2435" s="737"/>
      <c r="AG2435" s="737"/>
      <c r="AH2435" s="737"/>
      <c r="AI2435" s="737"/>
      <c r="AJ2435" s="737"/>
      <c r="AK2435" s="737"/>
      <c r="AL2435" s="737"/>
      <c r="AM2435" s="737"/>
      <c r="AN2435" s="737"/>
      <c r="AO2435" s="737"/>
      <c r="AP2435" s="737"/>
      <c r="AQ2435" s="737"/>
      <c r="AR2435" s="737"/>
      <c r="AS2435" s="737"/>
      <c r="AT2435" s="737"/>
      <c r="AU2435" s="737"/>
      <c r="AV2435" s="737"/>
      <c r="AW2435" s="737"/>
      <c r="AX2435" s="737"/>
      <c r="AY2435" s="737"/>
      <c r="AZ2435" s="737"/>
      <c r="BA2435" s="737"/>
    </row>
    <row r="2436" spans="1:56" s="738" customFormat="1" ht="15">
      <c r="A2436" s="737"/>
      <c r="B2436" s="753" t="s">
        <v>2005</v>
      </c>
      <c r="C2436" s="754">
        <v>2</v>
      </c>
      <c r="D2436" s="755">
        <v>0.4</v>
      </c>
      <c r="E2436" s="755">
        <v>0.4</v>
      </c>
      <c r="F2436" s="756">
        <v>0.45</v>
      </c>
      <c r="G2436" s="759">
        <f t="shared" si="254"/>
        <v>0.14400000000000004</v>
      </c>
      <c r="H2436" s="759">
        <f t="shared" si="255"/>
        <v>1.4400000000000002</v>
      </c>
      <c r="I2436" s="386"/>
      <c r="J2436" s="264"/>
      <c r="K2436" s="737"/>
      <c r="L2436" s="737"/>
      <c r="M2436" s="737"/>
      <c r="N2436" s="737"/>
      <c r="O2436" s="737"/>
      <c r="P2436" s="737"/>
      <c r="Q2436" s="737"/>
      <c r="R2436" s="737"/>
      <c r="S2436" s="737"/>
      <c r="T2436" s="737"/>
      <c r="U2436" s="737"/>
      <c r="V2436" s="737"/>
      <c r="W2436" s="737"/>
      <c r="X2436" s="737"/>
      <c r="Y2436" s="737"/>
      <c r="Z2436" s="737"/>
      <c r="AA2436" s="737"/>
      <c r="AB2436" s="737"/>
      <c r="AC2436" s="737"/>
      <c r="AD2436" s="737"/>
      <c r="AE2436" s="737"/>
      <c r="AF2436" s="737"/>
      <c r="AG2436" s="737"/>
      <c r="AH2436" s="737"/>
      <c r="AI2436" s="737"/>
      <c r="AJ2436" s="737"/>
      <c r="AK2436" s="737"/>
      <c r="AL2436" s="737"/>
      <c r="AM2436" s="737"/>
      <c r="AN2436" s="737"/>
      <c r="AO2436" s="737"/>
      <c r="AP2436" s="737"/>
      <c r="AQ2436" s="737"/>
      <c r="AR2436" s="737"/>
      <c r="AS2436" s="737"/>
      <c r="AT2436" s="737"/>
      <c r="AU2436" s="737"/>
      <c r="AV2436" s="737"/>
      <c r="AW2436" s="737"/>
      <c r="AX2436" s="737"/>
      <c r="AY2436" s="737"/>
      <c r="AZ2436" s="737"/>
      <c r="BA2436" s="737"/>
    </row>
    <row r="2437" spans="1:56" ht="15">
      <c r="A2437" s="114"/>
      <c r="B2437" s="310"/>
      <c r="C2437" s="114"/>
      <c r="D2437" s="114"/>
      <c r="E2437" s="114"/>
      <c r="F2437" s="254" t="s">
        <v>76</v>
      </c>
      <c r="G2437" s="228">
        <f>SUM(G2298:G2436)</f>
        <v>706.73659724999982</v>
      </c>
      <c r="H2437" s="228">
        <f>SUM(H2298:H2436)</f>
        <v>4287.8215500000042</v>
      </c>
      <c r="I2437" s="82"/>
      <c r="J2437" s="114"/>
      <c r="BB2437" s="117"/>
      <c r="BC2437" s="117"/>
      <c r="BD2437" s="117"/>
    </row>
    <row r="2438" spans="1:56">
      <c r="A2438" s="114"/>
      <c r="B2438" s="115"/>
      <c r="C2438" s="115"/>
      <c r="D2438" s="115"/>
      <c r="E2438" s="115"/>
      <c r="F2438" s="115"/>
      <c r="G2438" s="115"/>
      <c r="H2438" s="115"/>
      <c r="I2438" s="82"/>
      <c r="J2438" s="114"/>
      <c r="BB2438" s="117"/>
      <c r="BC2438" s="117"/>
      <c r="BD2438" s="117"/>
    </row>
    <row r="2439" spans="1:56">
      <c r="A2439" s="114"/>
      <c r="B2439" s="1307" t="s">
        <v>1509</v>
      </c>
      <c r="C2439" s="1307"/>
      <c r="D2439" s="1307"/>
      <c r="E2439" s="1307"/>
      <c r="F2439" s="1308"/>
      <c r="G2439" s="115"/>
      <c r="H2439" s="115"/>
      <c r="I2439" s="82"/>
      <c r="J2439" s="114"/>
      <c r="BB2439" s="117"/>
      <c r="BC2439" s="117"/>
      <c r="BD2439" s="117"/>
    </row>
    <row r="2440" spans="1:56">
      <c r="A2440" s="114"/>
      <c r="B2440" s="278"/>
      <c r="C2440" s="115"/>
      <c r="D2440" s="115"/>
      <c r="E2440" s="115"/>
      <c r="F2440" s="357"/>
      <c r="G2440" s="115"/>
      <c r="H2440" s="115"/>
      <c r="I2440" s="82"/>
      <c r="J2440" s="114"/>
      <c r="BB2440" s="117"/>
      <c r="BC2440" s="117"/>
      <c r="BD2440" s="117"/>
    </row>
    <row r="2441" spans="1:56">
      <c r="A2441" s="114"/>
      <c r="B2441" s="279" t="s">
        <v>315</v>
      </c>
      <c r="C2441" s="203"/>
      <c r="D2441" s="204"/>
      <c r="E2441" s="205">
        <f>H2437</f>
        <v>4287.8215500000042</v>
      </c>
      <c r="F2441" s="206" t="s">
        <v>13</v>
      </c>
      <c r="G2441" s="115"/>
      <c r="H2441" s="115"/>
      <c r="I2441" s="82"/>
      <c r="J2441" s="114"/>
      <c r="BB2441" s="117"/>
      <c r="BC2441" s="117"/>
      <c r="BD2441" s="117"/>
    </row>
    <row r="2442" spans="1:56">
      <c r="A2442" s="114"/>
      <c r="B2442" s="279" t="s">
        <v>316</v>
      </c>
      <c r="C2442" s="203"/>
      <c r="D2442" s="204"/>
      <c r="E2442" s="205">
        <f>G2437</f>
        <v>706.73659724999982</v>
      </c>
      <c r="F2442" s="206" t="s">
        <v>100</v>
      </c>
      <c r="G2442" s="115"/>
      <c r="H2442" s="115"/>
      <c r="I2442" s="82"/>
      <c r="J2442" s="114"/>
      <c r="BB2442" s="117"/>
      <c r="BC2442" s="117"/>
      <c r="BD2442" s="117"/>
    </row>
    <row r="2443" spans="1:56">
      <c r="A2443" s="114"/>
      <c r="B2443" s="115"/>
      <c r="C2443" s="115"/>
      <c r="D2443" s="115"/>
      <c r="E2443" s="115"/>
      <c r="F2443" s="115"/>
      <c r="G2443" s="115"/>
      <c r="H2443" s="115"/>
      <c r="I2443" s="82"/>
      <c r="J2443" s="114"/>
      <c r="BB2443" s="117"/>
      <c r="BC2443" s="117"/>
      <c r="BD2443" s="117"/>
    </row>
    <row r="2444" spans="1:56" ht="15">
      <c r="A2444" s="114"/>
      <c r="B2444" s="293"/>
      <c r="C2444" s="81"/>
      <c r="D2444" s="81"/>
      <c r="E2444" s="81"/>
      <c r="F2444" s="81"/>
      <c r="G2444" s="81"/>
      <c r="H2444" s="82"/>
      <c r="I2444" s="82"/>
      <c r="J2444" s="114"/>
      <c r="BB2444" s="117"/>
      <c r="BC2444" s="117"/>
      <c r="BD2444" s="117"/>
    </row>
    <row r="2445" spans="1:56" s="356" customFormat="1" ht="15">
      <c r="A2445" s="353"/>
      <c r="B2445" s="354" t="s">
        <v>1078</v>
      </c>
      <c r="C2445" s="354"/>
      <c r="D2445" s="354"/>
      <c r="E2445" s="354"/>
      <c r="F2445" s="354"/>
      <c r="G2445" s="354"/>
      <c r="H2445" s="355"/>
      <c r="I2445" s="355"/>
      <c r="J2445" s="353"/>
      <c r="K2445" s="353"/>
      <c r="L2445" s="353"/>
      <c r="M2445" s="353"/>
      <c r="N2445" s="353"/>
      <c r="O2445" s="353"/>
      <c r="P2445" s="353"/>
      <c r="Q2445" s="353"/>
      <c r="R2445" s="353"/>
      <c r="S2445" s="353"/>
      <c r="T2445" s="353"/>
      <c r="U2445" s="353"/>
      <c r="V2445" s="353"/>
      <c r="W2445" s="353"/>
      <c r="X2445" s="353"/>
      <c r="Y2445" s="353"/>
      <c r="Z2445" s="353"/>
      <c r="AA2445" s="353"/>
      <c r="AB2445" s="353"/>
      <c r="AC2445" s="353"/>
      <c r="AD2445" s="353"/>
      <c r="AE2445" s="353"/>
      <c r="AF2445" s="353"/>
      <c r="AG2445" s="353"/>
      <c r="AH2445" s="353"/>
      <c r="AI2445" s="353"/>
      <c r="AJ2445" s="353"/>
      <c r="AK2445" s="353"/>
      <c r="AL2445" s="353"/>
      <c r="AM2445" s="353"/>
      <c r="AN2445" s="353"/>
      <c r="AO2445" s="353"/>
      <c r="AP2445" s="353"/>
      <c r="AQ2445" s="353"/>
      <c r="AR2445" s="353"/>
      <c r="AS2445" s="353"/>
      <c r="AT2445" s="353"/>
      <c r="AU2445" s="353"/>
      <c r="AV2445" s="353"/>
      <c r="AW2445" s="353"/>
      <c r="AX2445" s="353"/>
      <c r="AY2445" s="353"/>
      <c r="AZ2445" s="353"/>
      <c r="BA2445" s="353"/>
    </row>
    <row r="2446" spans="1:56" ht="15">
      <c r="A2446" s="114"/>
      <c r="B2446" s="293"/>
      <c r="C2446" s="81"/>
      <c r="D2446" s="81"/>
      <c r="E2446" s="81"/>
      <c r="F2446" s="81"/>
      <c r="G2446" s="81"/>
      <c r="H2446" s="82"/>
      <c r="I2446" s="82"/>
      <c r="J2446" s="114"/>
      <c r="BB2446" s="117"/>
      <c r="BC2446" s="117"/>
      <c r="BD2446" s="117"/>
    </row>
    <row r="2447" spans="1:56" ht="15">
      <c r="A2447" s="114"/>
      <c r="B2447" s="293" t="s">
        <v>1077</v>
      </c>
      <c r="C2447" s="81"/>
      <c r="D2447" s="81"/>
      <c r="E2447" s="81"/>
      <c r="F2447" s="81"/>
      <c r="G2447" s="81"/>
      <c r="H2447" s="82"/>
      <c r="I2447" s="82"/>
      <c r="J2447" s="114"/>
      <c r="BB2447" s="117"/>
      <c r="BC2447" s="117"/>
      <c r="BD2447" s="117"/>
    </row>
    <row r="2448" spans="1:56" ht="15">
      <c r="A2448" s="114"/>
      <c r="B2448" s="293"/>
      <c r="C2448" s="81"/>
      <c r="D2448" s="81"/>
      <c r="E2448" s="81"/>
      <c r="F2448" s="81"/>
      <c r="G2448" s="81"/>
      <c r="H2448" s="82"/>
      <c r="I2448" s="82"/>
      <c r="J2448" s="114"/>
      <c r="BB2448" s="117"/>
      <c r="BC2448" s="117"/>
      <c r="BD2448" s="117"/>
    </row>
    <row r="2449" spans="1:56">
      <c r="A2449" s="114"/>
      <c r="B2449" s="242" t="s">
        <v>160</v>
      </c>
      <c r="C2449" s="199" t="s">
        <v>1544</v>
      </c>
      <c r="D2449" s="199" t="s">
        <v>1543</v>
      </c>
      <c r="E2449" s="199" t="s">
        <v>1545</v>
      </c>
      <c r="F2449" s="243" t="s">
        <v>99</v>
      </c>
      <c r="G2449" s="243" t="s">
        <v>68</v>
      </c>
      <c r="H2449" s="243" t="s">
        <v>1560</v>
      </c>
      <c r="I2449" s="115"/>
      <c r="J2449" s="114"/>
      <c r="BB2449" s="117"/>
      <c r="BC2449" s="117"/>
      <c r="BD2449" s="117"/>
    </row>
    <row r="2450" spans="1:56">
      <c r="A2450" s="114"/>
      <c r="B2450" s="244" t="s">
        <v>1542</v>
      </c>
      <c r="C2450" s="343">
        <v>0.4</v>
      </c>
      <c r="D2450" s="343">
        <v>0</v>
      </c>
      <c r="E2450" s="343">
        <v>18.62</v>
      </c>
      <c r="F2450" s="340">
        <f t="shared" ref="F2450:F2457" si="256">E2450*C2450</f>
        <v>7.4480000000000004</v>
      </c>
      <c r="G2450" s="340">
        <f>E2450*2</f>
        <v>37.24</v>
      </c>
      <c r="H2450" s="340">
        <f t="shared" ref="H2450" si="257">C2450*D2450*0.05</f>
        <v>0</v>
      </c>
      <c r="I2450" s="115"/>
      <c r="J2450" s="114"/>
      <c r="BB2450" s="117"/>
      <c r="BC2450" s="117"/>
      <c r="BD2450" s="117"/>
    </row>
    <row r="2451" spans="1:56">
      <c r="A2451" s="114"/>
      <c r="B2451" s="244" t="s">
        <v>1546</v>
      </c>
      <c r="C2451" s="343">
        <v>0.25</v>
      </c>
      <c r="D2451" s="343">
        <v>25.8</v>
      </c>
      <c r="E2451" s="343">
        <f>112.23-10.12</f>
        <v>102.11</v>
      </c>
      <c r="F2451" s="340">
        <f t="shared" si="256"/>
        <v>25.5275</v>
      </c>
      <c r="G2451" s="340">
        <f t="shared" ref="G2451:G2457" si="258">E2451*2</f>
        <v>204.22</v>
      </c>
      <c r="H2451" s="340">
        <f>C2451*D2451*0.05</f>
        <v>0.32250000000000001</v>
      </c>
      <c r="I2451" s="115"/>
      <c r="J2451" s="114"/>
      <c r="BB2451" s="117"/>
      <c r="BC2451" s="117"/>
      <c r="BD2451" s="117"/>
    </row>
    <row r="2452" spans="1:56">
      <c r="A2452" s="114"/>
      <c r="B2452" s="244" t="s">
        <v>1547</v>
      </c>
      <c r="C2452" s="343">
        <v>0.25</v>
      </c>
      <c r="D2452" s="343">
        <v>11.125</v>
      </c>
      <c r="E2452" s="343">
        <f>47.33-2.4</f>
        <v>44.93</v>
      </c>
      <c r="F2452" s="340">
        <f t="shared" si="256"/>
        <v>11.2325</v>
      </c>
      <c r="G2452" s="340">
        <f t="shared" si="258"/>
        <v>89.86</v>
      </c>
      <c r="H2452" s="340">
        <f t="shared" ref="H2452:H2457" si="259">C2452*D2452*0.05</f>
        <v>0.13906250000000001</v>
      </c>
      <c r="I2452" s="115"/>
      <c r="J2452" s="114"/>
      <c r="BB2452" s="117"/>
      <c r="BC2452" s="117"/>
      <c r="BD2452" s="117"/>
    </row>
    <row r="2453" spans="1:56">
      <c r="A2453" s="114"/>
      <c r="B2453" s="244" t="s">
        <v>1548</v>
      </c>
      <c r="C2453" s="343">
        <v>0.4</v>
      </c>
      <c r="D2453" s="343">
        <v>0</v>
      </c>
      <c r="E2453" s="343">
        <v>18.62</v>
      </c>
      <c r="F2453" s="340">
        <f t="shared" si="256"/>
        <v>7.4480000000000004</v>
      </c>
      <c r="G2453" s="340">
        <f t="shared" si="258"/>
        <v>37.24</v>
      </c>
      <c r="H2453" s="340">
        <f t="shared" si="259"/>
        <v>0</v>
      </c>
      <c r="I2453" s="115"/>
      <c r="J2453" s="114"/>
      <c r="BB2453" s="117"/>
      <c r="BC2453" s="117"/>
      <c r="BD2453" s="117"/>
    </row>
    <row r="2454" spans="1:56">
      <c r="A2454" s="114"/>
      <c r="B2454" s="244" t="s">
        <v>1549</v>
      </c>
      <c r="C2454" s="343">
        <v>0.25</v>
      </c>
      <c r="D2454" s="343">
        <v>25.8</v>
      </c>
      <c r="E2454" s="343">
        <f>112.22-10.12</f>
        <v>102.1</v>
      </c>
      <c r="F2454" s="340">
        <f t="shared" si="256"/>
        <v>25.524999999999999</v>
      </c>
      <c r="G2454" s="340">
        <f t="shared" si="258"/>
        <v>204.2</v>
      </c>
      <c r="H2454" s="340">
        <f t="shared" si="259"/>
        <v>0.32250000000000001</v>
      </c>
      <c r="I2454" s="115"/>
      <c r="J2454" s="114"/>
      <c r="BB2454" s="117"/>
      <c r="BC2454" s="117"/>
      <c r="BD2454" s="117"/>
    </row>
    <row r="2455" spans="1:56">
      <c r="A2455" s="114"/>
      <c r="B2455" s="244" t="s">
        <v>1550</v>
      </c>
      <c r="C2455" s="343">
        <v>0.25</v>
      </c>
      <c r="D2455" s="343">
        <v>9.5</v>
      </c>
      <c r="E2455" s="343">
        <f>46.675</f>
        <v>46.674999999999997</v>
      </c>
      <c r="F2455" s="340">
        <f t="shared" si="256"/>
        <v>11.668749999999999</v>
      </c>
      <c r="G2455" s="340">
        <f t="shared" si="258"/>
        <v>93.35</v>
      </c>
      <c r="H2455" s="340">
        <f t="shared" si="259"/>
        <v>0.11875000000000001</v>
      </c>
      <c r="I2455" s="115"/>
      <c r="J2455" s="114"/>
      <c r="BB2455" s="117"/>
      <c r="BC2455" s="117"/>
      <c r="BD2455" s="117"/>
    </row>
    <row r="2456" spans="1:56">
      <c r="A2456" s="114"/>
      <c r="B2456" s="244" t="s">
        <v>1551</v>
      </c>
      <c r="C2456" s="343">
        <v>0.25</v>
      </c>
      <c r="D2456" s="343">
        <v>8.2880000000000003</v>
      </c>
      <c r="E2456" s="343">
        <f>47.33-7.482</f>
        <v>39.847999999999999</v>
      </c>
      <c r="F2456" s="340">
        <f t="shared" si="256"/>
        <v>9.9619999999999997</v>
      </c>
      <c r="G2456" s="340">
        <f t="shared" si="258"/>
        <v>79.695999999999998</v>
      </c>
      <c r="H2456" s="340">
        <f t="shared" si="259"/>
        <v>0.10360000000000001</v>
      </c>
      <c r="I2456" s="115"/>
      <c r="J2456" s="114"/>
      <c r="BB2456" s="117"/>
      <c r="BC2456" s="117"/>
      <c r="BD2456" s="117"/>
    </row>
    <row r="2457" spans="1:56">
      <c r="A2457" s="114"/>
      <c r="B2457" s="244" t="s">
        <v>1553</v>
      </c>
      <c r="C2457" s="343">
        <v>0.5</v>
      </c>
      <c r="D2457" s="343">
        <v>0</v>
      </c>
      <c r="E2457" s="343">
        <f>68.714-17.13</f>
        <v>51.584000000000003</v>
      </c>
      <c r="F2457" s="340">
        <f t="shared" si="256"/>
        <v>25.792000000000002</v>
      </c>
      <c r="G2457" s="340">
        <f t="shared" si="258"/>
        <v>103.16800000000001</v>
      </c>
      <c r="H2457" s="340">
        <f t="shared" si="259"/>
        <v>0</v>
      </c>
      <c r="I2457" s="115"/>
      <c r="J2457" s="114"/>
      <c r="BB2457" s="117"/>
      <c r="BC2457" s="117"/>
      <c r="BD2457" s="117"/>
    </row>
    <row r="2458" spans="1:56">
      <c r="A2458" s="114"/>
      <c r="B2458" s="244" t="s">
        <v>1554</v>
      </c>
      <c r="C2458" s="343">
        <v>10.74</v>
      </c>
      <c r="D2458" s="343">
        <v>10.525</v>
      </c>
      <c r="E2458" s="343">
        <v>3.35</v>
      </c>
      <c r="F2458" s="340">
        <f>E2458*D2458</f>
        <v>35.258749999999999</v>
      </c>
      <c r="G2458" s="340">
        <f>C2458*D2458+2*E2458</f>
        <v>119.7385</v>
      </c>
      <c r="H2458" s="340">
        <v>0</v>
      </c>
      <c r="I2458" s="115"/>
      <c r="J2458" s="114"/>
      <c r="BB2458" s="117"/>
      <c r="BC2458" s="117"/>
      <c r="BD2458" s="117"/>
    </row>
    <row r="2459" spans="1:56">
      <c r="A2459" s="114"/>
      <c r="B2459" s="244" t="s">
        <v>1555</v>
      </c>
      <c r="C2459" s="343">
        <v>11.52</v>
      </c>
      <c r="D2459" s="343">
        <v>1.9</v>
      </c>
      <c r="E2459" s="343">
        <v>3.6680000000000001</v>
      </c>
      <c r="F2459" s="340">
        <f t="shared" ref="F2459:F2461" si="260">E2459*D2459</f>
        <v>6.9691999999999998</v>
      </c>
      <c r="G2459" s="340">
        <f>C2459*D2459+2*E2459</f>
        <v>29.223999999999997</v>
      </c>
      <c r="H2459" s="340">
        <v>0</v>
      </c>
      <c r="I2459" s="115"/>
      <c r="J2459" s="114"/>
      <c r="BB2459" s="117"/>
      <c r="BC2459" s="117"/>
      <c r="BD2459" s="117"/>
    </row>
    <row r="2460" spans="1:56">
      <c r="A2460" s="114"/>
      <c r="B2460" s="244" t="s">
        <v>1556</v>
      </c>
      <c r="C2460" s="343">
        <v>10.74</v>
      </c>
      <c r="D2460" s="343">
        <v>10.525</v>
      </c>
      <c r="E2460" s="343">
        <v>3.35</v>
      </c>
      <c r="F2460" s="340">
        <f t="shared" si="260"/>
        <v>35.258749999999999</v>
      </c>
      <c r="G2460" s="340">
        <f>C2460*D2460+2*E2460</f>
        <v>119.7385</v>
      </c>
      <c r="H2460" s="340">
        <v>0</v>
      </c>
      <c r="I2460" s="115"/>
      <c r="J2460" s="114"/>
      <c r="BB2460" s="117"/>
      <c r="BC2460" s="117"/>
      <c r="BD2460" s="117"/>
    </row>
    <row r="2461" spans="1:56">
      <c r="A2461" s="114"/>
      <c r="B2461" s="244" t="s">
        <v>1557</v>
      </c>
      <c r="C2461" s="343">
        <v>11.52</v>
      </c>
      <c r="D2461" s="343">
        <v>1.9</v>
      </c>
      <c r="E2461" s="343">
        <v>3.6680000000000001</v>
      </c>
      <c r="F2461" s="340">
        <f t="shared" si="260"/>
        <v>6.9691999999999998</v>
      </c>
      <c r="G2461" s="340">
        <f>C2461*D2461+2*E2461</f>
        <v>29.223999999999997</v>
      </c>
      <c r="H2461" s="340">
        <v>0</v>
      </c>
      <c r="I2461" s="115"/>
      <c r="J2461" s="114"/>
      <c r="BB2461" s="117"/>
      <c r="BC2461" s="117"/>
      <c r="BD2461" s="117"/>
    </row>
    <row r="2462" spans="1:56">
      <c r="A2462" s="114"/>
      <c r="B2462" s="244" t="s">
        <v>1559</v>
      </c>
      <c r="C2462" s="343">
        <v>9.6999999999999993</v>
      </c>
      <c r="D2462" s="343">
        <v>2.62</v>
      </c>
      <c r="E2462" s="343">
        <v>2.1800000000000002</v>
      </c>
      <c r="F2462" s="340">
        <f>2*(E2462*D2462)</f>
        <v>11.423200000000001</v>
      </c>
      <c r="G2462" s="340">
        <f>2*(C2462*D2462+E2462)</f>
        <v>55.187999999999995</v>
      </c>
      <c r="H2462" s="340">
        <v>0</v>
      </c>
      <c r="I2462" s="115"/>
      <c r="J2462" s="114"/>
      <c r="BB2462" s="117"/>
      <c r="BC2462" s="117"/>
      <c r="BD2462" s="117"/>
    </row>
    <row r="2463" spans="1:56" ht="15">
      <c r="A2463" s="114"/>
      <c r="B2463" s="310" t="s">
        <v>1552</v>
      </c>
      <c r="C2463" s="114"/>
      <c r="D2463" s="117"/>
      <c r="E2463" s="254" t="s">
        <v>767</v>
      </c>
      <c r="F2463" s="633">
        <f>SUM(F2450:F2462)</f>
        <v>220.48285000000001</v>
      </c>
      <c r="G2463" s="633">
        <f>SUM(G2450:G2462)</f>
        <v>1202.0870000000002</v>
      </c>
      <c r="H2463" s="633">
        <f>SUM(H2450:H2462)</f>
        <v>1.0064124999999999</v>
      </c>
      <c r="I2463" s="114"/>
      <c r="J2463" s="114"/>
      <c r="BA2463" s="117"/>
      <c r="BB2463" s="117"/>
      <c r="BC2463" s="117"/>
      <c r="BD2463" s="117"/>
    </row>
    <row r="2464" spans="1:56">
      <c r="A2464" s="114"/>
      <c r="B2464" s="115"/>
      <c r="C2464" s="115"/>
      <c r="D2464" s="115"/>
      <c r="E2464" s="115"/>
      <c r="F2464" s="115"/>
      <c r="G2464" s="115"/>
      <c r="H2464" s="115"/>
      <c r="I2464" s="82"/>
      <c r="J2464" s="114"/>
      <c r="BB2464" s="117"/>
      <c r="BC2464" s="117"/>
      <c r="BD2464" s="117"/>
    </row>
    <row r="2465" spans="1:56">
      <c r="A2465" s="114"/>
      <c r="B2465" s="1307" t="s">
        <v>1095</v>
      </c>
      <c r="C2465" s="1307"/>
      <c r="D2465" s="1307"/>
      <c r="E2465" s="1307"/>
      <c r="F2465" s="1308"/>
      <c r="G2465" s="115"/>
      <c r="H2465" s="115"/>
      <c r="I2465" s="82"/>
      <c r="J2465" s="114"/>
      <c r="BB2465" s="117"/>
      <c r="BC2465" s="117"/>
      <c r="BD2465" s="117"/>
    </row>
    <row r="2466" spans="1:56">
      <c r="A2466" s="114"/>
      <c r="B2466" s="278"/>
      <c r="C2466" s="115"/>
      <c r="D2466" s="115"/>
      <c r="E2466" s="115"/>
      <c r="F2466" s="357"/>
      <c r="G2466" s="115"/>
      <c r="H2466" s="115"/>
      <c r="I2466" s="82"/>
      <c r="J2466" s="114"/>
      <c r="BB2466" s="117"/>
      <c r="BC2466" s="117"/>
      <c r="BD2466" s="117"/>
    </row>
    <row r="2467" spans="1:56">
      <c r="A2467" s="114"/>
      <c r="B2467" s="279" t="s">
        <v>315</v>
      </c>
      <c r="C2467" s="203"/>
      <c r="D2467" s="204"/>
      <c r="E2467" s="205">
        <f>G2463</f>
        <v>1202.0870000000002</v>
      </c>
      <c r="F2467" s="206" t="s">
        <v>13</v>
      </c>
      <c r="G2467" s="115"/>
      <c r="H2467" s="115"/>
      <c r="I2467" s="82"/>
      <c r="J2467" s="114"/>
      <c r="BB2467" s="117"/>
      <c r="BC2467" s="117"/>
      <c r="BD2467" s="117"/>
    </row>
    <row r="2468" spans="1:56">
      <c r="A2468" s="114"/>
      <c r="B2468" s="279" t="s">
        <v>316</v>
      </c>
      <c r="C2468" s="203"/>
      <c r="D2468" s="204"/>
      <c r="E2468" s="205">
        <f>F2463</f>
        <v>220.48285000000001</v>
      </c>
      <c r="F2468" s="206" t="s">
        <v>100</v>
      </c>
      <c r="G2468" s="115"/>
      <c r="H2468" s="115"/>
      <c r="I2468" s="82"/>
      <c r="J2468" s="114"/>
      <c r="BB2468" s="117"/>
      <c r="BC2468" s="117"/>
      <c r="BD2468" s="117"/>
    </row>
    <row r="2469" spans="1:56">
      <c r="A2469" s="114"/>
      <c r="B2469" s="279" t="s">
        <v>1558</v>
      </c>
      <c r="C2469" s="203"/>
      <c r="D2469" s="204"/>
      <c r="E2469" s="205">
        <f>H2463</f>
        <v>1.0064124999999999</v>
      </c>
      <c r="F2469" s="206" t="s">
        <v>100</v>
      </c>
      <c r="G2469" s="115"/>
      <c r="H2469" s="115"/>
      <c r="I2469" s="82"/>
      <c r="J2469" s="114"/>
      <c r="BB2469" s="117"/>
      <c r="BC2469" s="117"/>
      <c r="BD2469" s="117"/>
    </row>
    <row r="2470" spans="1:56">
      <c r="A2470" s="114"/>
      <c r="B2470" s="115"/>
      <c r="C2470" s="115"/>
      <c r="D2470" s="115"/>
      <c r="E2470" s="115"/>
      <c r="F2470" s="115"/>
      <c r="G2470" s="115"/>
      <c r="H2470" s="115"/>
      <c r="I2470" s="82"/>
      <c r="J2470" s="114"/>
      <c r="BB2470" s="117"/>
      <c r="BC2470" s="117"/>
      <c r="BD2470" s="117"/>
    </row>
    <row r="2471" spans="1:56">
      <c r="A2471" s="114"/>
      <c r="B2471" s="115"/>
      <c r="C2471" s="115"/>
      <c r="D2471" s="115"/>
      <c r="E2471" s="115"/>
      <c r="F2471" s="115"/>
      <c r="G2471" s="115"/>
      <c r="H2471" s="115"/>
      <c r="I2471" s="82"/>
      <c r="J2471" s="114"/>
      <c r="BB2471" s="117"/>
      <c r="BC2471" s="117"/>
      <c r="BD2471" s="117"/>
    </row>
    <row r="2472" spans="1:56" s="356" customFormat="1" ht="15">
      <c r="A2472" s="353"/>
      <c r="B2472" s="354" t="s">
        <v>1561</v>
      </c>
      <c r="C2472" s="354"/>
      <c r="D2472" s="354"/>
      <c r="E2472" s="354"/>
      <c r="F2472" s="354"/>
      <c r="G2472" s="354"/>
      <c r="H2472" s="355"/>
      <c r="I2472" s="355"/>
      <c r="J2472" s="353"/>
      <c r="K2472" s="353"/>
      <c r="L2472" s="353"/>
      <c r="M2472" s="353"/>
      <c r="N2472" s="353"/>
      <c r="O2472" s="353"/>
      <c r="P2472" s="353"/>
      <c r="Q2472" s="353"/>
      <c r="R2472" s="353"/>
      <c r="S2472" s="353"/>
      <c r="T2472" s="353"/>
      <c r="U2472" s="353"/>
      <c r="V2472" s="353"/>
      <c r="W2472" s="353"/>
      <c r="X2472" s="353"/>
      <c r="Y2472" s="353"/>
      <c r="Z2472" s="353"/>
      <c r="AA2472" s="353"/>
      <c r="AB2472" s="353"/>
      <c r="AC2472" s="353"/>
      <c r="AD2472" s="353"/>
      <c r="AE2472" s="353"/>
      <c r="AF2472" s="353"/>
      <c r="AG2472" s="353"/>
      <c r="AH2472" s="353"/>
      <c r="AI2472" s="353"/>
      <c r="AJ2472" s="353"/>
      <c r="AK2472" s="353"/>
      <c r="AL2472" s="353"/>
      <c r="AM2472" s="353"/>
      <c r="AN2472" s="353"/>
      <c r="AO2472" s="353"/>
      <c r="AP2472" s="353"/>
      <c r="AQ2472" s="353"/>
      <c r="AR2472" s="353"/>
      <c r="AS2472" s="353"/>
      <c r="AT2472" s="353"/>
      <c r="AU2472" s="353"/>
      <c r="AV2472" s="353"/>
      <c r="AW2472" s="353"/>
      <c r="AX2472" s="353"/>
      <c r="AY2472" s="353"/>
      <c r="AZ2472" s="353"/>
      <c r="BA2472" s="353"/>
    </row>
    <row r="2473" spans="1:56" ht="15">
      <c r="A2473" s="114"/>
      <c r="B2473" s="293"/>
      <c r="C2473" s="81"/>
      <c r="D2473" s="81"/>
      <c r="E2473" s="81"/>
      <c r="F2473" s="81"/>
      <c r="G2473" s="81"/>
      <c r="H2473" s="82"/>
      <c r="I2473" s="82"/>
      <c r="J2473" s="114"/>
      <c r="BB2473" s="117"/>
      <c r="BC2473" s="117"/>
      <c r="BD2473" s="117"/>
    </row>
    <row r="2474" spans="1:56" ht="15">
      <c r="A2474" s="114"/>
      <c r="B2474" s="296" t="s">
        <v>1562</v>
      </c>
      <c r="C2474" s="81"/>
      <c r="D2474" s="81"/>
      <c r="E2474" s="81"/>
      <c r="F2474" s="81"/>
      <c r="G2474" s="81"/>
      <c r="H2474" s="82"/>
      <c r="I2474" s="82"/>
      <c r="J2474" s="114"/>
      <c r="BB2474" s="117"/>
      <c r="BC2474" s="117"/>
      <c r="BD2474" s="117"/>
    </row>
    <row r="2475" spans="1:56" ht="15">
      <c r="A2475" s="114"/>
      <c r="B2475" s="293"/>
      <c r="C2475" s="81"/>
      <c r="D2475" s="81"/>
      <c r="E2475" s="81"/>
      <c r="F2475" s="81"/>
      <c r="G2475" s="81"/>
      <c r="H2475" s="82"/>
      <c r="I2475" s="82"/>
      <c r="J2475" s="114"/>
      <c r="BB2475" s="117"/>
      <c r="BC2475" s="117"/>
      <c r="BD2475" s="117"/>
    </row>
    <row r="2476" spans="1:56">
      <c r="A2476" s="114"/>
      <c r="B2476" s="242" t="s">
        <v>1572</v>
      </c>
      <c r="C2476" s="199" t="s">
        <v>1544</v>
      </c>
      <c r="D2476" s="199" t="s">
        <v>1543</v>
      </c>
      <c r="E2476" s="199" t="s">
        <v>1566</v>
      </c>
      <c r="F2476" s="243" t="s">
        <v>99</v>
      </c>
      <c r="G2476" s="243" t="s">
        <v>68</v>
      </c>
      <c r="H2476" s="115"/>
      <c r="I2476" s="114"/>
      <c r="J2476" s="114"/>
      <c r="BA2476" s="117"/>
      <c r="BB2476" s="117"/>
      <c r="BC2476" s="117"/>
      <c r="BD2476" s="117"/>
    </row>
    <row r="2477" spans="1:56">
      <c r="A2477" s="114"/>
      <c r="B2477" s="244" t="s">
        <v>1564</v>
      </c>
      <c r="C2477" s="343">
        <v>0.3</v>
      </c>
      <c r="D2477" s="343">
        <f>22.175+21.7+21.7+23.8+23.8+21.7+23.8+21.7+21.7+23.8+23.8+21.7+23.8+21.7+21.7+21.7+21.7+21.7+21.7+21.7+21.7+23.8+23.8+21.7+23.8+21.7+21.7+23.8+23.8+21.7+21.7+21.7</f>
        <v>717.97500000000002</v>
      </c>
      <c r="E2477" s="343">
        <v>0.4</v>
      </c>
      <c r="F2477" s="340">
        <f>E2477*C2477*D2477</f>
        <v>86.156999999999996</v>
      </c>
      <c r="G2477" s="340">
        <f>(C2477*D2477+D2477*E2477*2)</f>
        <v>789.77250000000004</v>
      </c>
      <c r="H2477" s="115"/>
      <c r="I2477" s="114"/>
      <c r="J2477" s="114"/>
      <c r="BA2477" s="117"/>
      <c r="BB2477" s="117"/>
      <c r="BC2477" s="117"/>
      <c r="BD2477" s="117"/>
    </row>
    <row r="2478" spans="1:56">
      <c r="A2478" s="114"/>
      <c r="B2478" s="244" t="s">
        <v>1565</v>
      </c>
      <c r="C2478" s="343">
        <v>0.3</v>
      </c>
      <c r="D2478" s="343">
        <f>5.35+5.25+11.4+11.4+57.7+5.95+5.25+5.25+5.95+5.95+5.25+57.7+5.95+5.25+5.25+5.25+5.25+5.25+54.9+5.25+5.25+5.25+5.95+5.29+5.25+57.7+5.95+5.25+5.25+5.95+5.95+5.25+5.25+5.25</f>
        <v>403.53999999999996</v>
      </c>
      <c r="E2478" s="343">
        <v>0.6</v>
      </c>
      <c r="F2478" s="340">
        <f>E2478*C2478*D2478</f>
        <v>72.637199999999993</v>
      </c>
      <c r="G2478" s="340">
        <f t="shared" ref="G2478:G2479" si="261">(C2478*D2478+D2478*E2478*2)</f>
        <v>605.30999999999995</v>
      </c>
      <c r="H2478" s="115"/>
      <c r="I2478" s="114"/>
      <c r="J2478" s="114"/>
      <c r="BA2478" s="117"/>
      <c r="BB2478" s="117"/>
      <c r="BC2478" s="117"/>
      <c r="BD2478" s="117"/>
    </row>
    <row r="2479" spans="1:56">
      <c r="A2479" s="114"/>
      <c r="B2479" s="244" t="s">
        <v>1570</v>
      </c>
      <c r="C2479" s="343">
        <v>0.15</v>
      </c>
      <c r="D2479" s="343">
        <v>242.35</v>
      </c>
      <c r="E2479" s="343">
        <v>0.62</v>
      </c>
      <c r="F2479" s="340">
        <f>C2479*E2479*D2479</f>
        <v>22.538550000000001</v>
      </c>
      <c r="G2479" s="340">
        <f t="shared" si="261"/>
        <v>336.86650000000003</v>
      </c>
      <c r="H2479" s="115"/>
      <c r="I2479" s="114"/>
      <c r="J2479" s="114"/>
      <c r="BA2479" s="117"/>
      <c r="BB2479" s="117"/>
      <c r="BC2479" s="117"/>
      <c r="BD2479" s="117"/>
    </row>
    <row r="2480" spans="1:56">
      <c r="A2480" s="114"/>
      <c r="B2480" s="244" t="s">
        <v>1573</v>
      </c>
      <c r="C2480" s="343">
        <v>0.2</v>
      </c>
      <c r="D2480" s="343">
        <f>3.8*16</f>
        <v>60.8</v>
      </c>
      <c r="E2480" s="343">
        <v>0.4</v>
      </c>
      <c r="F2480" s="340">
        <f>C2480*E2480*D2480</f>
        <v>4.8640000000000008</v>
      </c>
      <c r="G2480" s="340">
        <f t="shared" ref="G2480" si="262">(C2480*D2480+D2480*E2480*2)</f>
        <v>60.8</v>
      </c>
      <c r="H2480" s="115"/>
      <c r="I2480" s="114"/>
      <c r="J2480" s="114"/>
      <c r="BA2480" s="117"/>
      <c r="BB2480" s="117"/>
      <c r="BC2480" s="117"/>
      <c r="BD2480" s="117"/>
    </row>
    <row r="2481" spans="1:56" ht="15">
      <c r="A2481" s="114"/>
      <c r="B2481" s="310"/>
      <c r="C2481" s="114"/>
      <c r="D2481" s="259"/>
      <c r="E2481" s="254" t="s">
        <v>767</v>
      </c>
      <c r="F2481" s="633">
        <f>SUM(F2477:F2480)</f>
        <v>186.19674999999998</v>
      </c>
      <c r="G2481" s="633">
        <f>SUM(G2477:G2480)</f>
        <v>1792.749</v>
      </c>
      <c r="H2481" s="114"/>
      <c r="I2481" s="114"/>
      <c r="J2481" s="114"/>
      <c r="AZ2481" s="117"/>
      <c r="BA2481" s="117"/>
      <c r="BB2481" s="117"/>
      <c r="BC2481" s="117"/>
      <c r="BD2481" s="117"/>
    </row>
    <row r="2482" spans="1:56" ht="15">
      <c r="A2482" s="114"/>
      <c r="B2482" s="310"/>
      <c r="C2482" s="114"/>
      <c r="D2482" s="114"/>
      <c r="E2482" s="227"/>
      <c r="F2482" s="638"/>
      <c r="G2482" s="638"/>
      <c r="H2482" s="114"/>
      <c r="I2482" s="114"/>
      <c r="J2482" s="114"/>
      <c r="AZ2482" s="117"/>
      <c r="BA2482" s="117"/>
      <c r="BB2482" s="117"/>
      <c r="BC2482" s="117"/>
      <c r="BD2482" s="117"/>
    </row>
    <row r="2483" spans="1:56">
      <c r="A2483" s="114"/>
      <c r="B2483" s="242" t="s">
        <v>1567</v>
      </c>
      <c r="C2483" s="199" t="s">
        <v>1624</v>
      </c>
      <c r="D2483" s="199" t="s">
        <v>1543</v>
      </c>
      <c r="E2483" s="199" t="s">
        <v>1569</v>
      </c>
      <c r="F2483" s="243" t="s">
        <v>99</v>
      </c>
      <c r="G2483" s="243" t="s">
        <v>68</v>
      </c>
      <c r="H2483" s="115"/>
      <c r="I2483" s="114"/>
      <c r="J2483" s="114"/>
      <c r="BA2483" s="117"/>
      <c r="BB2483" s="117"/>
      <c r="BC2483" s="117"/>
      <c r="BD2483" s="117"/>
    </row>
    <row r="2484" spans="1:56">
      <c r="A2484" s="114"/>
      <c r="B2484" s="244" t="s">
        <v>1568</v>
      </c>
      <c r="C2484" s="343">
        <v>0.22900000000000001</v>
      </c>
      <c r="D2484" s="343">
        <f>12.275+12.1+12.1+12.1+12.1+12.1+12.1+12.1+12.1+12.1+12.1+12.1+12.1+12.1+12.1+12.1+12.1+12.1+12.1+12.275</f>
        <v>242.34999999999994</v>
      </c>
      <c r="E2484" s="343">
        <v>1.68</v>
      </c>
      <c r="F2484" s="340">
        <f>C2484*D2484</f>
        <v>55.498149999999988</v>
      </c>
      <c r="G2484" s="340">
        <f>E2484*D2484</f>
        <v>407.14799999999985</v>
      </c>
      <c r="H2484" s="115"/>
      <c r="I2484" s="114"/>
      <c r="J2484" s="114"/>
      <c r="BA2484" s="117"/>
      <c r="BB2484" s="117"/>
      <c r="BC2484" s="117"/>
      <c r="BD2484" s="117"/>
    </row>
    <row r="2485" spans="1:56" ht="15">
      <c r="A2485" s="114"/>
      <c r="B2485" s="310"/>
      <c r="C2485" s="114"/>
      <c r="D2485" s="114"/>
      <c r="E2485" s="254" t="s">
        <v>767</v>
      </c>
      <c r="F2485" s="633">
        <f>SUM(F2484)</f>
        <v>55.498149999999988</v>
      </c>
      <c r="G2485" s="633">
        <f>SUM(G2484)</f>
        <v>407.14799999999985</v>
      </c>
      <c r="H2485" s="114"/>
      <c r="I2485" s="114"/>
      <c r="J2485" s="114"/>
      <c r="AZ2485" s="117"/>
      <c r="BA2485" s="117"/>
      <c r="BB2485" s="117"/>
      <c r="BC2485" s="117"/>
      <c r="BD2485" s="117"/>
    </row>
    <row r="2486" spans="1:56">
      <c r="A2486" s="114"/>
      <c r="B2486" s="115"/>
      <c r="C2486" s="115"/>
      <c r="D2486" s="115"/>
      <c r="E2486" s="115"/>
      <c r="F2486" s="115"/>
      <c r="G2486" s="115"/>
      <c r="H2486" s="115"/>
      <c r="I2486" s="82"/>
      <c r="J2486" s="114"/>
      <c r="BB2486" s="117"/>
      <c r="BC2486" s="117"/>
      <c r="BD2486" s="117"/>
    </row>
    <row r="2487" spans="1:56">
      <c r="A2487" s="114"/>
      <c r="B2487" s="242" t="s">
        <v>93</v>
      </c>
      <c r="C2487" s="199" t="s">
        <v>1625</v>
      </c>
      <c r="D2487" s="199" t="s">
        <v>1571</v>
      </c>
      <c r="E2487" s="243" t="s">
        <v>99</v>
      </c>
      <c r="F2487" s="243" t="s">
        <v>68</v>
      </c>
      <c r="G2487" s="115"/>
      <c r="H2487" s="114"/>
      <c r="I2487" s="114"/>
      <c r="J2487" s="114"/>
      <c r="AZ2487" s="117"/>
      <c r="BA2487" s="117"/>
      <c r="BB2487" s="117"/>
      <c r="BC2487" s="117"/>
      <c r="BD2487" s="117"/>
    </row>
    <row r="2488" spans="1:56">
      <c r="A2488" s="114"/>
      <c r="B2488" s="244" t="s">
        <v>1639</v>
      </c>
      <c r="C2488" s="343">
        <f>4.6+81.72+4.6+2.996*3+2.94*3+3.43*2+3.332*2+149.94+313+57.46+54.21+17.98+8.99</f>
        <v>723.83200000000011</v>
      </c>
      <c r="D2488" s="343">
        <v>0.15</v>
      </c>
      <c r="E2488" s="340">
        <f>C2488*D2488</f>
        <v>108.57480000000001</v>
      </c>
      <c r="F2488" s="340">
        <f>C2488</f>
        <v>723.83200000000011</v>
      </c>
      <c r="G2488" s="115"/>
      <c r="H2488" s="114"/>
      <c r="I2488" s="114"/>
      <c r="J2488" s="114"/>
      <c r="AZ2488" s="117"/>
      <c r="BA2488" s="117"/>
      <c r="BB2488" s="117"/>
      <c r="BC2488" s="117"/>
      <c r="BD2488" s="117"/>
    </row>
    <row r="2489" spans="1:56" ht="15">
      <c r="A2489" s="114"/>
      <c r="B2489" s="310"/>
      <c r="C2489" s="114"/>
      <c r="D2489" s="254" t="s">
        <v>767</v>
      </c>
      <c r="E2489" s="633">
        <f>SUM(E2488)</f>
        <v>108.57480000000001</v>
      </c>
      <c r="F2489" s="633">
        <f>SUM(F2488)</f>
        <v>723.83200000000011</v>
      </c>
      <c r="G2489" s="114"/>
      <c r="H2489" s="114"/>
      <c r="I2489" s="114"/>
      <c r="J2489" s="114"/>
      <c r="AY2489" s="117"/>
      <c r="AZ2489" s="117"/>
      <c r="BA2489" s="117"/>
      <c r="BB2489" s="117"/>
      <c r="BC2489" s="117"/>
      <c r="BD2489" s="117"/>
    </row>
    <row r="2490" spans="1:56">
      <c r="A2490" s="114"/>
      <c r="B2490" s="115"/>
      <c r="C2490" s="115"/>
      <c r="D2490" s="115"/>
      <c r="E2490" s="115"/>
      <c r="F2490" s="115"/>
      <c r="G2490" s="115"/>
      <c r="H2490" s="115"/>
      <c r="I2490" s="82"/>
      <c r="J2490" s="114"/>
      <c r="BB2490" s="117"/>
      <c r="BC2490" s="117"/>
      <c r="BD2490" s="117"/>
    </row>
    <row r="2491" spans="1:56">
      <c r="A2491" s="114"/>
      <c r="B2491" s="242" t="s">
        <v>96</v>
      </c>
      <c r="C2491" s="199" t="s">
        <v>1575</v>
      </c>
      <c r="D2491" s="199" t="s">
        <v>1578</v>
      </c>
      <c r="E2491" s="199" t="s">
        <v>1574</v>
      </c>
      <c r="F2491" s="199" t="s">
        <v>1577</v>
      </c>
      <c r="G2491" s="243" t="s">
        <v>99</v>
      </c>
      <c r="H2491" s="243" t="s">
        <v>68</v>
      </c>
      <c r="I2491" s="115"/>
      <c r="J2491" s="114"/>
      <c r="BB2491" s="117"/>
      <c r="BC2491" s="117"/>
      <c r="BD2491" s="117"/>
    </row>
    <row r="2492" spans="1:56">
      <c r="A2492" s="114"/>
      <c r="B2492" s="244" t="s">
        <v>1576</v>
      </c>
      <c r="C2492" s="646">
        <v>16</v>
      </c>
      <c r="D2492" s="343">
        <v>3.5</v>
      </c>
      <c r="E2492" s="343">
        <v>0.2</v>
      </c>
      <c r="F2492" s="343">
        <v>0.4</v>
      </c>
      <c r="G2492" s="340">
        <f>E2492*F2492*D2492*C2492</f>
        <v>4.4800000000000004</v>
      </c>
      <c r="H2492" s="340">
        <f>((F2492*2+E2492*2)*D2492)*C2492</f>
        <v>67.200000000000017</v>
      </c>
      <c r="I2492" s="115"/>
      <c r="J2492" s="114"/>
      <c r="BB2492" s="117"/>
      <c r="BC2492" s="117"/>
      <c r="BD2492" s="117"/>
    </row>
    <row r="2493" spans="1:56">
      <c r="A2493" s="114"/>
      <c r="B2493" s="244" t="s">
        <v>1579</v>
      </c>
      <c r="C2493" s="646">
        <v>1</v>
      </c>
      <c r="D2493" s="343">
        <v>1.25376</v>
      </c>
      <c r="E2493" s="343">
        <v>0.2</v>
      </c>
      <c r="F2493" s="343">
        <v>7</v>
      </c>
      <c r="G2493" s="340">
        <f>C2493*D2493*E2493</f>
        <v>0.25075200000000003</v>
      </c>
      <c r="H2493" s="340">
        <f>D2493*2+F2493*E2493</f>
        <v>3.9075199999999999</v>
      </c>
      <c r="I2493" s="115"/>
      <c r="J2493" s="114"/>
      <c r="BB2493" s="117"/>
      <c r="BC2493" s="117"/>
      <c r="BD2493" s="117"/>
    </row>
    <row r="2494" spans="1:56">
      <c r="A2494" s="114"/>
      <c r="B2494" s="244" t="s">
        <v>1580</v>
      </c>
      <c r="C2494" s="646">
        <v>1</v>
      </c>
      <c r="D2494" s="343">
        <v>2.0074999999999998</v>
      </c>
      <c r="E2494" s="343">
        <v>0.2</v>
      </c>
      <c r="F2494" s="343">
        <v>7.03</v>
      </c>
      <c r="G2494" s="340">
        <f t="shared" ref="G2494:G2509" si="263">C2494*D2494*E2494</f>
        <v>0.40149999999999997</v>
      </c>
      <c r="H2494" s="340">
        <f t="shared" ref="H2494:H2509" si="264">D2494*2+F2494*E2494</f>
        <v>5.4209999999999994</v>
      </c>
      <c r="I2494" s="115"/>
      <c r="J2494" s="114"/>
      <c r="BB2494" s="117"/>
      <c r="BC2494" s="117"/>
      <c r="BD2494" s="117"/>
    </row>
    <row r="2495" spans="1:56">
      <c r="A2495" s="114"/>
      <c r="B2495" s="244" t="s">
        <v>1581</v>
      </c>
      <c r="C2495" s="646">
        <v>1</v>
      </c>
      <c r="D2495" s="343">
        <v>2.0074999999999998</v>
      </c>
      <c r="E2495" s="343">
        <v>0.2</v>
      </c>
      <c r="F2495" s="343">
        <v>7.03</v>
      </c>
      <c r="G2495" s="340">
        <f t="shared" si="263"/>
        <v>0.40149999999999997</v>
      </c>
      <c r="H2495" s="340">
        <f t="shared" si="264"/>
        <v>5.4209999999999994</v>
      </c>
      <c r="I2495" s="115"/>
      <c r="J2495" s="114"/>
      <c r="BB2495" s="117"/>
      <c r="BC2495" s="117"/>
      <c r="BD2495" s="117"/>
    </row>
    <row r="2496" spans="1:56">
      <c r="A2496" s="114"/>
      <c r="B2496" s="244" t="s">
        <v>1582</v>
      </c>
      <c r="C2496" s="646">
        <v>1</v>
      </c>
      <c r="D2496" s="343">
        <v>2.0074999999999998</v>
      </c>
      <c r="E2496" s="343">
        <v>0.2</v>
      </c>
      <c r="F2496" s="343">
        <v>7.03</v>
      </c>
      <c r="G2496" s="340">
        <f t="shared" si="263"/>
        <v>0.40149999999999997</v>
      </c>
      <c r="H2496" s="340">
        <f t="shared" si="264"/>
        <v>5.4209999999999994</v>
      </c>
      <c r="I2496" s="115"/>
      <c r="J2496" s="114"/>
      <c r="BB2496" s="117"/>
      <c r="BC2496" s="117"/>
      <c r="BD2496" s="117"/>
    </row>
    <row r="2497" spans="1:56">
      <c r="A2497" s="114"/>
      <c r="B2497" s="244" t="s">
        <v>1583</v>
      </c>
      <c r="C2497" s="646">
        <v>1</v>
      </c>
      <c r="D2497" s="343">
        <v>2.0074999999999998</v>
      </c>
      <c r="E2497" s="343">
        <v>0.2</v>
      </c>
      <c r="F2497" s="343">
        <v>7.03</v>
      </c>
      <c r="G2497" s="340">
        <f t="shared" si="263"/>
        <v>0.40149999999999997</v>
      </c>
      <c r="H2497" s="340">
        <f t="shared" si="264"/>
        <v>5.4209999999999994</v>
      </c>
      <c r="I2497" s="115"/>
      <c r="J2497" s="114"/>
      <c r="BB2497" s="117"/>
      <c r="BC2497" s="117"/>
      <c r="BD2497" s="117"/>
    </row>
    <row r="2498" spans="1:56">
      <c r="A2498" s="114"/>
      <c r="B2498" s="244" t="s">
        <v>1584</v>
      </c>
      <c r="C2498" s="646">
        <v>1</v>
      </c>
      <c r="D2498" s="343">
        <v>1.25376</v>
      </c>
      <c r="E2498" s="343">
        <v>0.2</v>
      </c>
      <c r="F2498" s="343">
        <v>7</v>
      </c>
      <c r="G2498" s="340">
        <f t="shared" si="263"/>
        <v>0.25075200000000003</v>
      </c>
      <c r="H2498" s="340">
        <f t="shared" si="264"/>
        <v>3.9075199999999999</v>
      </c>
      <c r="I2498" s="115"/>
      <c r="J2498" s="114"/>
      <c r="BB2498" s="117"/>
      <c r="BC2498" s="117"/>
      <c r="BD2498" s="117"/>
    </row>
    <row r="2499" spans="1:56">
      <c r="A2499" s="114"/>
      <c r="B2499" s="244" t="s">
        <v>1585</v>
      </c>
      <c r="C2499" s="646">
        <v>1</v>
      </c>
      <c r="D2499" s="343">
        <v>1.25376</v>
      </c>
      <c r="E2499" s="343">
        <v>0.2</v>
      </c>
      <c r="F2499" s="343">
        <v>7</v>
      </c>
      <c r="G2499" s="340">
        <f t="shared" si="263"/>
        <v>0.25075200000000003</v>
      </c>
      <c r="H2499" s="340">
        <f t="shared" si="264"/>
        <v>3.9075199999999999</v>
      </c>
      <c r="I2499" s="115"/>
      <c r="J2499" s="114"/>
      <c r="BB2499" s="117"/>
      <c r="BC2499" s="117"/>
      <c r="BD2499" s="117"/>
    </row>
    <row r="2500" spans="1:56">
      <c r="A2500" s="114"/>
      <c r="B2500" s="244" t="s">
        <v>1586</v>
      </c>
      <c r="C2500" s="646">
        <v>1</v>
      </c>
      <c r="D2500" s="343">
        <v>1.25376</v>
      </c>
      <c r="E2500" s="343">
        <v>0.2</v>
      </c>
      <c r="F2500" s="343">
        <v>7</v>
      </c>
      <c r="G2500" s="340">
        <f t="shared" si="263"/>
        <v>0.25075200000000003</v>
      </c>
      <c r="H2500" s="340">
        <f t="shared" si="264"/>
        <v>3.9075199999999999</v>
      </c>
      <c r="I2500" s="115"/>
      <c r="J2500" s="114"/>
      <c r="BB2500" s="117"/>
      <c r="BC2500" s="117"/>
      <c r="BD2500" s="117"/>
    </row>
    <row r="2501" spans="1:56">
      <c r="A2501" s="114"/>
      <c r="B2501" s="244" t="s">
        <v>1587</v>
      </c>
      <c r="C2501" s="646">
        <v>1</v>
      </c>
      <c r="D2501" s="343">
        <v>2.0074999999999998</v>
      </c>
      <c r="E2501" s="343">
        <v>0.2</v>
      </c>
      <c r="F2501" s="343">
        <v>7.03</v>
      </c>
      <c r="G2501" s="340">
        <f t="shared" si="263"/>
        <v>0.40149999999999997</v>
      </c>
      <c r="H2501" s="340">
        <f t="shared" si="264"/>
        <v>5.4209999999999994</v>
      </c>
      <c r="I2501" s="115"/>
      <c r="J2501" s="114"/>
      <c r="BB2501" s="117"/>
      <c r="BC2501" s="117"/>
      <c r="BD2501" s="117"/>
    </row>
    <row r="2502" spans="1:56">
      <c r="A2502" s="114"/>
      <c r="B2502" s="244" t="s">
        <v>1588</v>
      </c>
      <c r="C2502" s="646">
        <v>1</v>
      </c>
      <c r="D2502" s="343">
        <v>2.0074999999999998</v>
      </c>
      <c r="E2502" s="343">
        <v>0.2</v>
      </c>
      <c r="F2502" s="343">
        <v>7.03</v>
      </c>
      <c r="G2502" s="340">
        <f t="shared" si="263"/>
        <v>0.40149999999999997</v>
      </c>
      <c r="H2502" s="340">
        <f t="shared" si="264"/>
        <v>5.4209999999999994</v>
      </c>
      <c r="I2502" s="115"/>
      <c r="J2502" s="114"/>
      <c r="BB2502" s="117"/>
      <c r="BC2502" s="117"/>
      <c r="BD2502" s="117"/>
    </row>
    <row r="2503" spans="1:56">
      <c r="A2503" s="114"/>
      <c r="B2503" s="244" t="s">
        <v>1589</v>
      </c>
      <c r="C2503" s="646">
        <v>1</v>
      </c>
      <c r="D2503" s="343">
        <v>2.0074999999999998</v>
      </c>
      <c r="E2503" s="343">
        <v>0.2</v>
      </c>
      <c r="F2503" s="343">
        <v>7.03</v>
      </c>
      <c r="G2503" s="340">
        <f t="shared" si="263"/>
        <v>0.40149999999999997</v>
      </c>
      <c r="H2503" s="340">
        <f t="shared" si="264"/>
        <v>5.4209999999999994</v>
      </c>
      <c r="I2503" s="115"/>
      <c r="J2503" s="114"/>
      <c r="BB2503" s="117"/>
      <c r="BC2503" s="117"/>
      <c r="BD2503" s="117"/>
    </row>
    <row r="2504" spans="1:56">
      <c r="A2504" s="114"/>
      <c r="B2504" s="244" t="s">
        <v>1590</v>
      </c>
      <c r="C2504" s="646">
        <v>1</v>
      </c>
      <c r="D2504" s="343">
        <v>2.0074999999999998</v>
      </c>
      <c r="E2504" s="343">
        <v>0.2</v>
      </c>
      <c r="F2504" s="343">
        <v>7.03</v>
      </c>
      <c r="G2504" s="340">
        <f t="shared" si="263"/>
        <v>0.40149999999999997</v>
      </c>
      <c r="H2504" s="340">
        <f t="shared" si="264"/>
        <v>5.4209999999999994</v>
      </c>
      <c r="I2504" s="115"/>
      <c r="J2504" s="114"/>
      <c r="BB2504" s="117"/>
      <c r="BC2504" s="117"/>
      <c r="BD2504" s="117"/>
    </row>
    <row r="2505" spans="1:56">
      <c r="A2505" s="114"/>
      <c r="B2505" s="244" t="s">
        <v>1591</v>
      </c>
      <c r="C2505" s="646">
        <v>1</v>
      </c>
      <c r="D2505" s="343">
        <v>2.0074999999999998</v>
      </c>
      <c r="E2505" s="343">
        <v>0.2</v>
      </c>
      <c r="F2505" s="343">
        <v>7.03</v>
      </c>
      <c r="G2505" s="340">
        <f t="shared" si="263"/>
        <v>0.40149999999999997</v>
      </c>
      <c r="H2505" s="340">
        <f t="shared" si="264"/>
        <v>5.4209999999999994</v>
      </c>
      <c r="I2505" s="115"/>
      <c r="J2505" s="114"/>
      <c r="BB2505" s="117"/>
      <c r="BC2505" s="117"/>
      <c r="BD2505" s="117"/>
    </row>
    <row r="2506" spans="1:56">
      <c r="A2506" s="114"/>
      <c r="B2506" s="244" t="s">
        <v>1592</v>
      </c>
      <c r="C2506" s="646">
        <v>1</v>
      </c>
      <c r="D2506" s="343">
        <v>2.0074999999999998</v>
      </c>
      <c r="E2506" s="343">
        <v>0.2</v>
      </c>
      <c r="F2506" s="343">
        <v>7.03</v>
      </c>
      <c r="G2506" s="340">
        <f t="shared" si="263"/>
        <v>0.40149999999999997</v>
      </c>
      <c r="H2506" s="340">
        <f t="shared" si="264"/>
        <v>5.4209999999999994</v>
      </c>
      <c r="I2506" s="115"/>
      <c r="J2506" s="114"/>
      <c r="BB2506" s="117"/>
      <c r="BC2506" s="117"/>
      <c r="BD2506" s="117"/>
    </row>
    <row r="2507" spans="1:56">
      <c r="A2507" s="114"/>
      <c r="B2507" s="244" t="s">
        <v>1593</v>
      </c>
      <c r="C2507" s="646">
        <v>1</v>
      </c>
      <c r="D2507" s="343">
        <v>2.0074999999999998</v>
      </c>
      <c r="E2507" s="343">
        <v>0.2</v>
      </c>
      <c r="F2507" s="343">
        <v>7.03</v>
      </c>
      <c r="G2507" s="340">
        <f t="shared" si="263"/>
        <v>0.40149999999999997</v>
      </c>
      <c r="H2507" s="340">
        <f t="shared" si="264"/>
        <v>5.4209999999999994</v>
      </c>
      <c r="I2507" s="115"/>
      <c r="J2507" s="114"/>
      <c r="BB2507" s="117"/>
      <c r="BC2507" s="117"/>
      <c r="BD2507" s="117"/>
    </row>
    <row r="2508" spans="1:56">
      <c r="A2508" s="114"/>
      <c r="B2508" s="244" t="s">
        <v>1594</v>
      </c>
      <c r="C2508" s="646">
        <v>1</v>
      </c>
      <c r="D2508" s="343">
        <v>1.25376</v>
      </c>
      <c r="E2508" s="343">
        <v>0.2</v>
      </c>
      <c r="F2508" s="343">
        <v>7</v>
      </c>
      <c r="G2508" s="340">
        <f t="shared" si="263"/>
        <v>0.25075200000000003</v>
      </c>
      <c r="H2508" s="340">
        <f t="shared" si="264"/>
        <v>3.9075199999999999</v>
      </c>
      <c r="I2508" s="115"/>
      <c r="J2508" s="114"/>
      <c r="BB2508" s="117"/>
      <c r="BC2508" s="117"/>
      <c r="BD2508" s="117"/>
    </row>
    <row r="2509" spans="1:56">
      <c r="A2509" s="114"/>
      <c r="B2509" s="244" t="s">
        <v>1595</v>
      </c>
      <c r="C2509" s="646">
        <v>1</v>
      </c>
      <c r="D2509" s="343">
        <v>18.324300000000001</v>
      </c>
      <c r="E2509" s="343">
        <v>0.4</v>
      </c>
      <c r="F2509" s="343">
        <v>8.5879999999999992</v>
      </c>
      <c r="G2509" s="340">
        <f t="shared" si="263"/>
        <v>7.3297200000000009</v>
      </c>
      <c r="H2509" s="340">
        <f t="shared" si="264"/>
        <v>40.083800000000004</v>
      </c>
      <c r="I2509" s="115"/>
      <c r="J2509" s="114"/>
      <c r="BB2509" s="117"/>
      <c r="BC2509" s="117"/>
      <c r="BD2509" s="117"/>
    </row>
    <row r="2510" spans="1:56">
      <c r="A2510" s="114"/>
      <c r="B2510" s="244" t="s">
        <v>1596</v>
      </c>
      <c r="C2510" s="646">
        <v>1</v>
      </c>
      <c r="D2510" s="343">
        <v>18.324300000000001</v>
      </c>
      <c r="E2510" s="343">
        <v>0.19</v>
      </c>
      <c r="F2510" s="343">
        <v>8.5879999999999992</v>
      </c>
      <c r="G2510" s="340">
        <f t="shared" ref="G2510" si="265">C2510*D2510*E2510</f>
        <v>3.4816170000000004</v>
      </c>
      <c r="H2510" s="340">
        <f t="shared" ref="H2510" si="266">D2510*2+F2510*E2510</f>
        <v>38.280320000000003</v>
      </c>
      <c r="I2510" s="115"/>
      <c r="J2510" s="114"/>
      <c r="BB2510" s="117"/>
      <c r="BC2510" s="117"/>
      <c r="BD2510" s="117"/>
    </row>
    <row r="2511" spans="1:56">
      <c r="A2511" s="114"/>
      <c r="B2511" s="244" t="s">
        <v>1597</v>
      </c>
      <c r="C2511" s="646">
        <v>1</v>
      </c>
      <c r="D2511" s="343">
        <v>18.324300000000001</v>
      </c>
      <c r="E2511" s="343">
        <v>0.19</v>
      </c>
      <c r="F2511" s="343">
        <v>8.5879999999999992</v>
      </c>
      <c r="G2511" s="340">
        <f t="shared" ref="G2511:G2513" si="267">C2511*D2511*E2511</f>
        <v>3.4816170000000004</v>
      </c>
      <c r="H2511" s="340">
        <f t="shared" ref="H2511:H2513" si="268">D2511*2+F2511*E2511</f>
        <v>38.280320000000003</v>
      </c>
      <c r="I2511" s="115"/>
      <c r="J2511" s="114"/>
      <c r="BB2511" s="117"/>
      <c r="BC2511" s="117"/>
      <c r="BD2511" s="117"/>
    </row>
    <row r="2512" spans="1:56">
      <c r="A2512" s="114"/>
      <c r="B2512" s="244" t="s">
        <v>1598</v>
      </c>
      <c r="C2512" s="646">
        <v>1</v>
      </c>
      <c r="D2512" s="343">
        <v>18.324300000000001</v>
      </c>
      <c r="E2512" s="343">
        <v>0.4</v>
      </c>
      <c r="F2512" s="343">
        <v>8.5879999999999992</v>
      </c>
      <c r="G2512" s="340">
        <f t="shared" si="267"/>
        <v>7.3297200000000009</v>
      </c>
      <c r="H2512" s="340">
        <f t="shared" si="268"/>
        <v>40.083800000000004</v>
      </c>
      <c r="I2512" s="115"/>
      <c r="J2512" s="114"/>
      <c r="BB2512" s="117"/>
      <c r="BC2512" s="117"/>
      <c r="BD2512" s="117"/>
    </row>
    <row r="2513" spans="1:56">
      <c r="A2513" s="114"/>
      <c r="B2513" s="244" t="s">
        <v>1599</v>
      </c>
      <c r="C2513" s="646">
        <v>1</v>
      </c>
      <c r="D2513" s="343">
        <v>18.324300000000001</v>
      </c>
      <c r="E2513" s="343">
        <v>0.19</v>
      </c>
      <c r="F2513" s="343">
        <v>8.5879999999999992</v>
      </c>
      <c r="G2513" s="340">
        <f t="shared" si="267"/>
        <v>3.4816170000000004</v>
      </c>
      <c r="H2513" s="340">
        <f t="shared" si="268"/>
        <v>38.280320000000003</v>
      </c>
      <c r="I2513" s="115"/>
      <c r="J2513" s="114"/>
      <c r="BB2513" s="117"/>
      <c r="BC2513" s="117"/>
      <c r="BD2513" s="117"/>
    </row>
    <row r="2514" spans="1:56">
      <c r="A2514" s="114"/>
      <c r="B2514" s="244" t="s">
        <v>1600</v>
      </c>
      <c r="C2514" s="646">
        <v>1</v>
      </c>
      <c r="D2514" s="343">
        <v>18.324300000000001</v>
      </c>
      <c r="E2514" s="343">
        <v>0.19</v>
      </c>
      <c r="F2514" s="343">
        <v>8.5879999999999992</v>
      </c>
      <c r="G2514" s="340">
        <f t="shared" ref="G2514:G2516" si="269">C2514*D2514*E2514</f>
        <v>3.4816170000000004</v>
      </c>
      <c r="H2514" s="340">
        <f t="shared" ref="H2514:H2516" si="270">D2514*2+F2514*E2514</f>
        <v>38.280320000000003</v>
      </c>
      <c r="I2514" s="115"/>
      <c r="J2514" s="114"/>
      <c r="BB2514" s="117"/>
      <c r="BC2514" s="117"/>
      <c r="BD2514" s="117"/>
    </row>
    <row r="2515" spans="1:56">
      <c r="A2515" s="114"/>
      <c r="B2515" s="244" t="s">
        <v>1601</v>
      </c>
      <c r="C2515" s="646">
        <v>1</v>
      </c>
      <c r="D2515" s="343">
        <v>18.324300000000001</v>
      </c>
      <c r="E2515" s="343">
        <v>0.4</v>
      </c>
      <c r="F2515" s="343">
        <v>8.5879999999999992</v>
      </c>
      <c r="G2515" s="340">
        <f t="shared" si="269"/>
        <v>7.3297200000000009</v>
      </c>
      <c r="H2515" s="340">
        <f t="shared" si="270"/>
        <v>40.083800000000004</v>
      </c>
      <c r="I2515" s="115"/>
      <c r="J2515" s="114"/>
      <c r="BB2515" s="117"/>
      <c r="BC2515" s="117"/>
      <c r="BD2515" s="117"/>
    </row>
    <row r="2516" spans="1:56">
      <c r="A2516" s="114"/>
      <c r="B2516" s="244" t="s">
        <v>1602</v>
      </c>
      <c r="C2516" s="646">
        <v>1</v>
      </c>
      <c r="D2516" s="343">
        <v>18.324300000000001</v>
      </c>
      <c r="E2516" s="343">
        <v>0.19</v>
      </c>
      <c r="F2516" s="343">
        <v>8.5879999999999992</v>
      </c>
      <c r="G2516" s="340">
        <f t="shared" si="269"/>
        <v>3.4816170000000004</v>
      </c>
      <c r="H2516" s="340">
        <f t="shared" si="270"/>
        <v>38.280320000000003</v>
      </c>
      <c r="I2516" s="115"/>
      <c r="J2516" s="114"/>
      <c r="BB2516" s="117"/>
      <c r="BC2516" s="117"/>
      <c r="BD2516" s="117"/>
    </row>
    <row r="2517" spans="1:56">
      <c r="A2517" s="114"/>
      <c r="B2517" s="244" t="s">
        <v>1603</v>
      </c>
      <c r="C2517" s="646">
        <v>1</v>
      </c>
      <c r="D2517" s="343">
        <v>18.324300000000001</v>
      </c>
      <c r="E2517" s="343">
        <v>0.19</v>
      </c>
      <c r="F2517" s="343">
        <v>8.5879999999999992</v>
      </c>
      <c r="G2517" s="340">
        <f t="shared" ref="G2517:G2519" si="271">C2517*D2517*E2517</f>
        <v>3.4816170000000004</v>
      </c>
      <c r="H2517" s="340">
        <f t="shared" ref="H2517:H2519" si="272">D2517*2+F2517*E2517</f>
        <v>38.280320000000003</v>
      </c>
      <c r="I2517" s="115"/>
      <c r="J2517" s="114"/>
      <c r="BB2517" s="117"/>
      <c r="BC2517" s="117"/>
      <c r="BD2517" s="117"/>
    </row>
    <row r="2518" spans="1:56">
      <c r="A2518" s="114"/>
      <c r="B2518" s="244" t="s">
        <v>1604</v>
      </c>
      <c r="C2518" s="646">
        <v>1</v>
      </c>
      <c r="D2518" s="343">
        <v>18.324300000000001</v>
      </c>
      <c r="E2518" s="343">
        <v>0.4</v>
      </c>
      <c r="F2518" s="343">
        <v>8.5879999999999992</v>
      </c>
      <c r="G2518" s="340">
        <f t="shared" si="271"/>
        <v>7.3297200000000009</v>
      </c>
      <c r="H2518" s="340">
        <f t="shared" si="272"/>
        <v>40.083800000000004</v>
      </c>
      <c r="I2518" s="115"/>
      <c r="J2518" s="114"/>
      <c r="BB2518" s="117"/>
      <c r="BC2518" s="117"/>
      <c r="BD2518" s="117"/>
    </row>
    <row r="2519" spans="1:56">
      <c r="A2519" s="114"/>
      <c r="B2519" s="244" t="s">
        <v>1605</v>
      </c>
      <c r="C2519" s="646">
        <v>1</v>
      </c>
      <c r="D2519" s="343">
        <v>18.324300000000001</v>
      </c>
      <c r="E2519" s="343">
        <v>0.19</v>
      </c>
      <c r="F2519" s="343">
        <v>8.5879999999999992</v>
      </c>
      <c r="G2519" s="340">
        <f t="shared" si="271"/>
        <v>3.4816170000000004</v>
      </c>
      <c r="H2519" s="340">
        <f t="shared" si="272"/>
        <v>38.280320000000003</v>
      </c>
      <c r="I2519" s="115"/>
      <c r="J2519" s="114"/>
      <c r="BB2519" s="117"/>
      <c r="BC2519" s="117"/>
      <c r="BD2519" s="117"/>
    </row>
    <row r="2520" spans="1:56">
      <c r="A2520" s="114"/>
      <c r="B2520" s="244" t="s">
        <v>1606</v>
      </c>
      <c r="C2520" s="646">
        <v>1</v>
      </c>
      <c r="D2520" s="343">
        <v>18.324300000000001</v>
      </c>
      <c r="E2520" s="343">
        <v>0.19</v>
      </c>
      <c r="F2520" s="343">
        <v>8.5879999999999992</v>
      </c>
      <c r="G2520" s="340">
        <f t="shared" ref="G2520:G2522" si="273">C2520*D2520*E2520</f>
        <v>3.4816170000000004</v>
      </c>
      <c r="H2520" s="340">
        <f t="shared" ref="H2520:H2522" si="274">D2520*2+F2520*E2520</f>
        <v>38.280320000000003</v>
      </c>
      <c r="I2520" s="115"/>
      <c r="J2520" s="114"/>
      <c r="BB2520" s="117"/>
      <c r="BC2520" s="117"/>
      <c r="BD2520" s="117"/>
    </row>
    <row r="2521" spans="1:56">
      <c r="A2521" s="114"/>
      <c r="B2521" s="244" t="s">
        <v>1607</v>
      </c>
      <c r="C2521" s="646">
        <v>1</v>
      </c>
      <c r="D2521" s="343">
        <v>18.324300000000001</v>
      </c>
      <c r="E2521" s="343">
        <v>0.4</v>
      </c>
      <c r="F2521" s="343">
        <v>8.5879999999999992</v>
      </c>
      <c r="G2521" s="340">
        <f t="shared" si="273"/>
        <v>7.3297200000000009</v>
      </c>
      <c r="H2521" s="340">
        <f t="shared" si="274"/>
        <v>40.083800000000004</v>
      </c>
      <c r="I2521" s="115"/>
      <c r="J2521" s="114"/>
      <c r="BB2521" s="117"/>
      <c r="BC2521" s="117"/>
      <c r="BD2521" s="117"/>
    </row>
    <row r="2522" spans="1:56">
      <c r="A2522" s="114"/>
      <c r="B2522" s="244" t="s">
        <v>1608</v>
      </c>
      <c r="C2522" s="646">
        <v>1</v>
      </c>
      <c r="D2522" s="343">
        <v>18.324300000000001</v>
      </c>
      <c r="E2522" s="343">
        <v>0.19</v>
      </c>
      <c r="F2522" s="343">
        <v>8.5879999999999992</v>
      </c>
      <c r="G2522" s="340">
        <f t="shared" si="273"/>
        <v>3.4816170000000004</v>
      </c>
      <c r="H2522" s="340">
        <f t="shared" si="274"/>
        <v>38.280320000000003</v>
      </c>
      <c r="I2522" s="115"/>
      <c r="J2522" s="114"/>
      <c r="BB2522" s="117"/>
      <c r="BC2522" s="117"/>
      <c r="BD2522" s="117"/>
    </row>
    <row r="2523" spans="1:56">
      <c r="A2523" s="114"/>
      <c r="B2523" s="244" t="s">
        <v>1609</v>
      </c>
      <c r="C2523" s="646">
        <v>1</v>
      </c>
      <c r="D2523" s="343">
        <v>18.324300000000001</v>
      </c>
      <c r="E2523" s="343">
        <v>0.19</v>
      </c>
      <c r="F2523" s="343">
        <v>8.5879999999999992</v>
      </c>
      <c r="G2523" s="340">
        <f t="shared" ref="G2523:G2525" si="275">C2523*D2523*E2523</f>
        <v>3.4816170000000004</v>
      </c>
      <c r="H2523" s="340">
        <f t="shared" ref="H2523:H2525" si="276">D2523*2+F2523*E2523</f>
        <v>38.280320000000003</v>
      </c>
      <c r="I2523" s="115"/>
      <c r="J2523" s="114"/>
      <c r="BB2523" s="117"/>
      <c r="BC2523" s="117"/>
      <c r="BD2523" s="117"/>
    </row>
    <row r="2524" spans="1:56">
      <c r="A2524" s="114"/>
      <c r="B2524" s="244" t="s">
        <v>1610</v>
      </c>
      <c r="C2524" s="646">
        <v>1</v>
      </c>
      <c r="D2524" s="343">
        <v>18.324300000000001</v>
      </c>
      <c r="E2524" s="343">
        <v>0.4</v>
      </c>
      <c r="F2524" s="343">
        <v>8.5879999999999992</v>
      </c>
      <c r="G2524" s="340">
        <f t="shared" si="275"/>
        <v>7.3297200000000009</v>
      </c>
      <c r="H2524" s="340">
        <f t="shared" si="276"/>
        <v>40.083800000000004</v>
      </c>
      <c r="I2524" s="115"/>
      <c r="J2524" s="114"/>
      <c r="BB2524" s="117"/>
      <c r="BC2524" s="117"/>
      <c r="BD2524" s="117"/>
    </row>
    <row r="2525" spans="1:56">
      <c r="A2525" s="114"/>
      <c r="B2525" s="244" t="s">
        <v>1611</v>
      </c>
      <c r="C2525" s="646">
        <v>1</v>
      </c>
      <c r="D2525" s="343">
        <v>18.324300000000001</v>
      </c>
      <c r="E2525" s="343">
        <v>0.19</v>
      </c>
      <c r="F2525" s="343">
        <v>8.5879999999999992</v>
      </c>
      <c r="G2525" s="340">
        <f t="shared" si="275"/>
        <v>3.4816170000000004</v>
      </c>
      <c r="H2525" s="340">
        <f t="shared" si="276"/>
        <v>38.280320000000003</v>
      </c>
      <c r="I2525" s="115"/>
      <c r="J2525" s="114"/>
      <c r="BB2525" s="117"/>
      <c r="BC2525" s="117"/>
      <c r="BD2525" s="117"/>
    </row>
    <row r="2526" spans="1:56">
      <c r="A2526" s="114"/>
      <c r="B2526" s="244" t="s">
        <v>1612</v>
      </c>
      <c r="C2526" s="646">
        <v>1</v>
      </c>
      <c r="D2526" s="343">
        <v>18.324300000000001</v>
      </c>
      <c r="E2526" s="343">
        <v>0.19</v>
      </c>
      <c r="F2526" s="343">
        <v>8.5879999999999992</v>
      </c>
      <c r="G2526" s="340">
        <f t="shared" ref="G2526:G2528" si="277">C2526*D2526*E2526</f>
        <v>3.4816170000000004</v>
      </c>
      <c r="H2526" s="340">
        <f t="shared" ref="H2526:H2528" si="278">D2526*2+F2526*E2526</f>
        <v>38.280320000000003</v>
      </c>
      <c r="I2526" s="115"/>
      <c r="J2526" s="114"/>
      <c r="BB2526" s="117"/>
      <c r="BC2526" s="117"/>
      <c r="BD2526" s="117"/>
    </row>
    <row r="2527" spans="1:56">
      <c r="A2527" s="114"/>
      <c r="B2527" s="244" t="s">
        <v>1613</v>
      </c>
      <c r="C2527" s="646">
        <v>1</v>
      </c>
      <c r="D2527" s="343">
        <v>18.324300000000001</v>
      </c>
      <c r="E2527" s="343">
        <v>0.4</v>
      </c>
      <c r="F2527" s="343">
        <v>8.5879999999999992</v>
      </c>
      <c r="G2527" s="340">
        <f t="shared" si="277"/>
        <v>7.3297200000000009</v>
      </c>
      <c r="H2527" s="340">
        <f t="shared" si="278"/>
        <v>40.083800000000004</v>
      </c>
      <c r="I2527" s="115"/>
      <c r="J2527" s="114"/>
      <c r="BB2527" s="117"/>
      <c r="BC2527" s="117"/>
      <c r="BD2527" s="117"/>
    </row>
    <row r="2528" spans="1:56">
      <c r="A2528" s="114"/>
      <c r="B2528" s="244" t="s">
        <v>1614</v>
      </c>
      <c r="C2528" s="646">
        <v>1</v>
      </c>
      <c r="D2528" s="343">
        <v>18.324300000000001</v>
      </c>
      <c r="E2528" s="343">
        <v>0.19</v>
      </c>
      <c r="F2528" s="343">
        <v>8.5879999999999992</v>
      </c>
      <c r="G2528" s="340">
        <f t="shared" si="277"/>
        <v>3.4816170000000004</v>
      </c>
      <c r="H2528" s="340">
        <f t="shared" si="278"/>
        <v>38.280320000000003</v>
      </c>
      <c r="I2528" s="115"/>
      <c r="J2528" s="114"/>
      <c r="BB2528" s="117"/>
      <c r="BC2528" s="117"/>
      <c r="BD2528" s="117"/>
    </row>
    <row r="2529" spans="1:56">
      <c r="A2529" s="114"/>
      <c r="B2529" s="244" t="s">
        <v>1615</v>
      </c>
      <c r="C2529" s="646">
        <v>1</v>
      </c>
      <c r="D2529" s="343">
        <v>18.324300000000001</v>
      </c>
      <c r="E2529" s="343">
        <v>0.19</v>
      </c>
      <c r="F2529" s="343">
        <v>8.5879999999999992</v>
      </c>
      <c r="G2529" s="340">
        <f t="shared" ref="G2529:G2531" si="279">C2529*D2529*E2529</f>
        <v>3.4816170000000004</v>
      </c>
      <c r="H2529" s="340">
        <f t="shared" ref="H2529:H2531" si="280">D2529*2+F2529*E2529</f>
        <v>38.280320000000003</v>
      </c>
      <c r="I2529" s="115"/>
      <c r="J2529" s="114"/>
      <c r="BB2529" s="117"/>
      <c r="BC2529" s="117"/>
      <c r="BD2529" s="117"/>
    </row>
    <row r="2530" spans="1:56">
      <c r="A2530" s="114"/>
      <c r="B2530" s="244" t="s">
        <v>1616</v>
      </c>
      <c r="C2530" s="646">
        <v>1</v>
      </c>
      <c r="D2530" s="343">
        <v>18.324300000000001</v>
      </c>
      <c r="E2530" s="343">
        <v>0.4</v>
      </c>
      <c r="F2530" s="343">
        <v>8.5879999999999992</v>
      </c>
      <c r="G2530" s="340">
        <f t="shared" si="279"/>
        <v>7.3297200000000009</v>
      </c>
      <c r="H2530" s="340">
        <f t="shared" si="280"/>
        <v>40.083800000000004</v>
      </c>
      <c r="I2530" s="115"/>
      <c r="J2530" s="114"/>
      <c r="BB2530" s="117"/>
      <c r="BC2530" s="117"/>
      <c r="BD2530" s="117"/>
    </row>
    <row r="2531" spans="1:56">
      <c r="A2531" s="114"/>
      <c r="B2531" s="244" t="s">
        <v>1617</v>
      </c>
      <c r="C2531" s="646">
        <v>1</v>
      </c>
      <c r="D2531" s="343">
        <v>18.324300000000001</v>
      </c>
      <c r="E2531" s="343">
        <v>0.19</v>
      </c>
      <c r="F2531" s="343">
        <v>8.5879999999999992</v>
      </c>
      <c r="G2531" s="340">
        <f t="shared" si="279"/>
        <v>3.4816170000000004</v>
      </c>
      <c r="H2531" s="340">
        <f t="shared" si="280"/>
        <v>38.280320000000003</v>
      </c>
      <c r="I2531" s="115"/>
      <c r="J2531" s="114"/>
      <c r="BB2531" s="117"/>
      <c r="BC2531" s="117"/>
      <c r="BD2531" s="117"/>
    </row>
    <row r="2532" spans="1:56">
      <c r="A2532" s="114"/>
      <c r="B2532" s="244" t="s">
        <v>1618</v>
      </c>
      <c r="C2532" s="646">
        <v>1</v>
      </c>
      <c r="D2532" s="343">
        <v>18.324300000000001</v>
      </c>
      <c r="E2532" s="343">
        <v>0.19</v>
      </c>
      <c r="F2532" s="343">
        <v>8.5879999999999992</v>
      </c>
      <c r="G2532" s="340">
        <f t="shared" ref="G2532:G2534" si="281">C2532*D2532*E2532</f>
        <v>3.4816170000000004</v>
      </c>
      <c r="H2532" s="340">
        <f t="shared" ref="H2532:H2534" si="282">D2532*2+F2532*E2532</f>
        <v>38.280320000000003</v>
      </c>
      <c r="I2532" s="115"/>
      <c r="J2532" s="114"/>
      <c r="BB2532" s="117"/>
      <c r="BC2532" s="117"/>
      <c r="BD2532" s="117"/>
    </row>
    <row r="2533" spans="1:56">
      <c r="A2533" s="114"/>
      <c r="B2533" s="244" t="s">
        <v>1619</v>
      </c>
      <c r="C2533" s="646">
        <v>1</v>
      </c>
      <c r="D2533" s="343">
        <v>18.324300000000001</v>
      </c>
      <c r="E2533" s="343">
        <v>0.4</v>
      </c>
      <c r="F2533" s="343">
        <v>8.5879999999999992</v>
      </c>
      <c r="G2533" s="340">
        <f t="shared" si="281"/>
        <v>7.3297200000000009</v>
      </c>
      <c r="H2533" s="340">
        <f t="shared" si="282"/>
        <v>40.083800000000004</v>
      </c>
      <c r="I2533" s="115"/>
      <c r="J2533" s="114"/>
      <c r="BB2533" s="117"/>
      <c r="BC2533" s="117"/>
      <c r="BD2533" s="117"/>
    </row>
    <row r="2534" spans="1:56">
      <c r="A2534" s="114"/>
      <c r="B2534" s="244" t="s">
        <v>1620</v>
      </c>
      <c r="C2534" s="646">
        <v>1</v>
      </c>
      <c r="D2534" s="343">
        <v>18.324300000000001</v>
      </c>
      <c r="E2534" s="343">
        <v>0.19</v>
      </c>
      <c r="F2534" s="343">
        <v>8.5879999999999992</v>
      </c>
      <c r="G2534" s="340">
        <f t="shared" si="281"/>
        <v>3.4816170000000004</v>
      </c>
      <c r="H2534" s="340">
        <f t="shared" si="282"/>
        <v>38.280320000000003</v>
      </c>
      <c r="I2534" s="115"/>
      <c r="J2534" s="114"/>
      <c r="BB2534" s="117"/>
      <c r="BC2534" s="117"/>
      <c r="BD2534" s="117"/>
    </row>
    <row r="2535" spans="1:56">
      <c r="A2535" s="114"/>
      <c r="B2535" s="244" t="s">
        <v>1621</v>
      </c>
      <c r="C2535" s="646">
        <v>1</v>
      </c>
      <c r="D2535" s="343">
        <v>18.324300000000001</v>
      </c>
      <c r="E2535" s="343">
        <v>0.19</v>
      </c>
      <c r="F2535" s="343">
        <v>8.5879999999999992</v>
      </c>
      <c r="G2535" s="340">
        <f t="shared" ref="G2535:G2536" si="283">C2535*D2535*E2535</f>
        <v>3.4816170000000004</v>
      </c>
      <c r="H2535" s="340">
        <f t="shared" ref="H2535:H2536" si="284">D2535*2+F2535*E2535</f>
        <v>38.280320000000003</v>
      </c>
      <c r="I2535" s="115"/>
      <c r="J2535" s="114"/>
      <c r="BB2535" s="117"/>
      <c r="BC2535" s="117"/>
      <c r="BD2535" s="117"/>
    </row>
    <row r="2536" spans="1:56">
      <c r="A2536" s="114"/>
      <c r="B2536" s="244" t="s">
        <v>1622</v>
      </c>
      <c r="C2536" s="646">
        <v>1</v>
      </c>
      <c r="D2536" s="343">
        <v>18.324300000000001</v>
      </c>
      <c r="E2536" s="343">
        <v>0.4</v>
      </c>
      <c r="F2536" s="343">
        <v>8.5879999999999992</v>
      </c>
      <c r="G2536" s="340">
        <f t="shared" si="283"/>
        <v>7.3297200000000009</v>
      </c>
      <c r="H2536" s="340">
        <f t="shared" si="284"/>
        <v>40.083800000000004</v>
      </c>
      <c r="I2536" s="115"/>
      <c r="J2536" s="114"/>
      <c r="BB2536" s="117"/>
      <c r="BC2536" s="117"/>
      <c r="BD2536" s="117"/>
    </row>
    <row r="2537" spans="1:56" ht="15">
      <c r="A2537" s="114"/>
      <c r="B2537" s="310"/>
      <c r="C2537" s="310"/>
      <c r="D2537" s="114"/>
      <c r="E2537" s="114"/>
      <c r="F2537" s="254" t="s">
        <v>767</v>
      </c>
      <c r="G2537" s="633">
        <f>SUM(G2492:G2536)</f>
        <v>146.11656600000001</v>
      </c>
      <c r="H2537" s="633">
        <f>SUM(H2492:H2536)</f>
        <v>1236.2523600000002</v>
      </c>
      <c r="I2537" s="114"/>
      <c r="J2537" s="114"/>
      <c r="BA2537" s="117"/>
      <c r="BB2537" s="117"/>
      <c r="BC2537" s="117"/>
      <c r="BD2537" s="117"/>
    </row>
    <row r="2538" spans="1:56" ht="15">
      <c r="A2538" s="114"/>
      <c r="B2538" s="310"/>
      <c r="C2538" s="114"/>
      <c r="D2538" s="114"/>
      <c r="E2538" s="227"/>
      <c r="F2538" s="638"/>
      <c r="G2538" s="638"/>
      <c r="H2538" s="114"/>
      <c r="I2538" s="114"/>
      <c r="J2538" s="114"/>
      <c r="AZ2538" s="117"/>
      <c r="BA2538" s="117"/>
      <c r="BB2538" s="117"/>
      <c r="BC2538" s="117"/>
      <c r="BD2538" s="117"/>
    </row>
    <row r="2539" spans="1:56">
      <c r="A2539" s="114"/>
      <c r="B2539" s="242" t="s">
        <v>1623</v>
      </c>
      <c r="C2539" s="199" t="s">
        <v>1628</v>
      </c>
      <c r="D2539" s="199" t="s">
        <v>304</v>
      </c>
      <c r="E2539" s="199" t="s">
        <v>1627</v>
      </c>
      <c r="F2539" s="199" t="s">
        <v>1571</v>
      </c>
      <c r="G2539" s="243" t="s">
        <v>99</v>
      </c>
      <c r="H2539" s="243" t="s">
        <v>68</v>
      </c>
      <c r="I2539" s="115"/>
      <c r="J2539" s="114"/>
      <c r="BB2539" s="117"/>
      <c r="BC2539" s="117"/>
      <c r="BD2539" s="117"/>
    </row>
    <row r="2540" spans="1:56">
      <c r="A2540" s="114"/>
      <c r="B2540" s="244" t="s">
        <v>1626</v>
      </c>
      <c r="C2540" s="646">
        <v>2</v>
      </c>
      <c r="D2540" s="343">
        <v>3.456</v>
      </c>
      <c r="E2540" s="343">
        <v>8.16</v>
      </c>
      <c r="F2540" s="343">
        <v>0.6</v>
      </c>
      <c r="G2540" s="340">
        <f>C2540*(D2540*F2540)</f>
        <v>4.1471999999999998</v>
      </c>
      <c r="H2540" s="340">
        <f>C2540*(E2540*F2540+D2540)</f>
        <v>16.704000000000001</v>
      </c>
      <c r="I2540" s="115"/>
      <c r="J2540" s="114"/>
      <c r="BB2540" s="117"/>
      <c r="BC2540" s="117"/>
      <c r="BD2540" s="117"/>
    </row>
    <row r="2541" spans="1:56">
      <c r="A2541" s="114"/>
      <c r="B2541" s="244" t="s">
        <v>1629</v>
      </c>
      <c r="C2541" s="646">
        <v>12</v>
      </c>
      <c r="D2541" s="343">
        <v>4.032</v>
      </c>
      <c r="E2541" s="343">
        <v>8.56</v>
      </c>
      <c r="F2541" s="343">
        <v>0.6</v>
      </c>
      <c r="G2541" s="340">
        <f>C2541*(D2541*F2541)</f>
        <v>29.0304</v>
      </c>
      <c r="H2541" s="340">
        <f>C2541*(E2541*F2541+D2541)</f>
        <v>110.01599999999999</v>
      </c>
      <c r="I2541" s="115"/>
      <c r="J2541" s="114"/>
      <c r="BB2541" s="117"/>
      <c r="BC2541" s="117"/>
      <c r="BD2541" s="117"/>
    </row>
    <row r="2542" spans="1:56" ht="15">
      <c r="A2542" s="114"/>
      <c r="B2542" s="310"/>
      <c r="C2542" s="114"/>
      <c r="D2542" s="114"/>
      <c r="E2542" s="114"/>
      <c r="F2542" s="254" t="s">
        <v>767</v>
      </c>
      <c r="G2542" s="633">
        <f>SUM(G2540:G2541)</f>
        <v>33.177599999999998</v>
      </c>
      <c r="H2542" s="633">
        <f>SUM(H2540:H2541)</f>
        <v>126.72</v>
      </c>
      <c r="I2542" s="114"/>
      <c r="J2542" s="114"/>
      <c r="BA2542" s="117"/>
      <c r="BB2542" s="117"/>
      <c r="BC2542" s="117"/>
      <c r="BD2542" s="117"/>
    </row>
    <row r="2543" spans="1:56">
      <c r="A2543" s="114"/>
      <c r="B2543" s="115"/>
      <c r="C2543" s="115"/>
      <c r="D2543" s="115"/>
      <c r="E2543" s="115"/>
      <c r="F2543" s="115"/>
      <c r="G2543" s="115"/>
      <c r="H2543" s="115"/>
      <c r="I2543" s="82"/>
      <c r="J2543" s="114"/>
      <c r="BB2543" s="117"/>
      <c r="BC2543" s="117"/>
      <c r="BD2543" s="117"/>
    </row>
    <row r="2544" spans="1:56" ht="15">
      <c r="A2544" s="114"/>
      <c r="B2544" s="310"/>
      <c r="C2544" s="114"/>
      <c r="D2544" s="114"/>
      <c r="E2544" s="227"/>
      <c r="F2544" s="638"/>
      <c r="G2544" s="638"/>
      <c r="H2544" s="114"/>
      <c r="I2544" s="114"/>
      <c r="J2544" s="114"/>
      <c r="AZ2544" s="117"/>
      <c r="BA2544" s="117"/>
      <c r="BB2544" s="117"/>
      <c r="BC2544" s="117"/>
      <c r="BD2544" s="117"/>
    </row>
    <row r="2545" spans="1:56">
      <c r="A2545" s="114"/>
      <c r="B2545" s="242" t="s">
        <v>2348</v>
      </c>
      <c r="C2545" s="199" t="s">
        <v>304</v>
      </c>
      <c r="D2545" s="199" t="s">
        <v>1571</v>
      </c>
      <c r="E2545" s="243" t="s">
        <v>1645</v>
      </c>
      <c r="F2545" s="115"/>
      <c r="G2545" s="114"/>
      <c r="H2545" s="114"/>
      <c r="I2545" s="114"/>
      <c r="J2545" s="114"/>
      <c r="AY2545" s="117"/>
      <c r="AZ2545" s="117"/>
      <c r="BA2545" s="117"/>
      <c r="BB2545" s="117"/>
      <c r="BC2545" s="117"/>
      <c r="BD2545" s="117"/>
    </row>
    <row r="2546" spans="1:56">
      <c r="A2546" s="114"/>
      <c r="B2546" s="244" t="s">
        <v>2195</v>
      </c>
      <c r="C2546" s="343">
        <v>27.1</v>
      </c>
      <c r="D2546" s="343">
        <v>0.2</v>
      </c>
      <c r="E2546" s="340">
        <f>C2546*D2546</f>
        <v>5.4200000000000008</v>
      </c>
      <c r="F2546" s="115"/>
      <c r="G2546" s="114"/>
      <c r="H2546" s="114"/>
      <c r="I2546" s="114"/>
      <c r="J2546" s="114"/>
      <c r="AY2546" s="117"/>
      <c r="AZ2546" s="117"/>
      <c r="BA2546" s="117"/>
      <c r="BB2546" s="117"/>
      <c r="BC2546" s="117"/>
      <c r="BD2546" s="117"/>
    </row>
    <row r="2547" spans="1:56" ht="15">
      <c r="A2547" s="114"/>
      <c r="B2547" s="310"/>
      <c r="C2547" s="114"/>
      <c r="D2547" s="254" t="s">
        <v>767</v>
      </c>
      <c r="E2547" s="633">
        <f>SUM(E2546:E2546)</f>
        <v>5.4200000000000008</v>
      </c>
      <c r="F2547" s="114"/>
      <c r="G2547" s="114"/>
      <c r="H2547" s="114"/>
      <c r="I2547" s="114"/>
      <c r="J2547" s="114"/>
      <c r="AX2547" s="117"/>
      <c r="AY2547" s="117"/>
      <c r="AZ2547" s="117"/>
      <c r="BA2547" s="117"/>
      <c r="BB2547" s="117"/>
      <c r="BC2547" s="117"/>
      <c r="BD2547" s="117"/>
    </row>
    <row r="2548" spans="1:56">
      <c r="A2548" s="114"/>
      <c r="B2548" s="115"/>
      <c r="C2548" s="115"/>
      <c r="D2548" s="115"/>
      <c r="E2548" s="115"/>
      <c r="F2548" s="115"/>
      <c r="G2548" s="115"/>
      <c r="H2548" s="115"/>
      <c r="I2548" s="82"/>
      <c r="J2548" s="114"/>
      <c r="BB2548" s="117"/>
      <c r="BC2548" s="117"/>
      <c r="BD2548" s="117"/>
    </row>
    <row r="2549" spans="1:56">
      <c r="A2549" s="114"/>
      <c r="B2549" s="1307" t="s">
        <v>1563</v>
      </c>
      <c r="C2549" s="1307"/>
      <c r="D2549" s="1307"/>
      <c r="E2549" s="1307"/>
      <c r="F2549" s="1308"/>
      <c r="G2549" s="115"/>
      <c r="H2549" s="115"/>
      <c r="I2549" s="82"/>
      <c r="J2549" s="114"/>
      <c r="BB2549" s="117"/>
      <c r="BC2549" s="117"/>
      <c r="BD2549" s="117"/>
    </row>
    <row r="2550" spans="1:56">
      <c r="A2550" s="114"/>
      <c r="B2550" s="278"/>
      <c r="C2550" s="115"/>
      <c r="D2550" s="115"/>
      <c r="E2550" s="115"/>
      <c r="F2550" s="357"/>
      <c r="G2550" s="115"/>
      <c r="H2550" s="115"/>
      <c r="I2550" s="82"/>
      <c r="J2550" s="114"/>
      <c r="BB2550" s="117"/>
      <c r="BC2550" s="117"/>
      <c r="BD2550" s="117"/>
    </row>
    <row r="2551" spans="1:56">
      <c r="A2551" s="114"/>
      <c r="B2551" s="279" t="s">
        <v>315</v>
      </c>
      <c r="C2551" s="203"/>
      <c r="D2551" s="204"/>
      <c r="E2551" s="205">
        <f>H2542+H2537+F2489+G2485+G2481</f>
        <v>4286.70136</v>
      </c>
      <c r="F2551" s="206" t="s">
        <v>13</v>
      </c>
      <c r="G2551" s="115"/>
      <c r="H2551" s="115"/>
      <c r="I2551" s="82"/>
      <c r="J2551" s="114"/>
      <c r="BB2551" s="117"/>
      <c r="BC2551" s="117"/>
      <c r="BD2551" s="117"/>
    </row>
    <row r="2552" spans="1:56">
      <c r="A2552" s="114"/>
      <c r="B2552" s="279" t="s">
        <v>316</v>
      </c>
      <c r="C2552" s="203"/>
      <c r="D2552" s="204"/>
      <c r="E2552" s="205">
        <f>G2542+G2537+E2489+F2485+F2481</f>
        <v>529.56386599999996</v>
      </c>
      <c r="F2552" s="206" t="s">
        <v>100</v>
      </c>
      <c r="G2552" s="115"/>
      <c r="H2552" s="115"/>
      <c r="I2552" s="82"/>
      <c r="J2552" s="114"/>
      <c r="BB2552" s="117"/>
      <c r="BC2552" s="117"/>
      <c r="BD2552" s="117"/>
    </row>
    <row r="2553" spans="1:56">
      <c r="A2553" s="114"/>
      <c r="B2553" s="279" t="s">
        <v>1558</v>
      </c>
      <c r="C2553" s="203"/>
      <c r="D2553" s="204"/>
      <c r="E2553" s="205">
        <f>E2547</f>
        <v>5.4200000000000008</v>
      </c>
      <c r="F2553" s="206" t="s">
        <v>100</v>
      </c>
      <c r="G2553" s="115"/>
      <c r="H2553" s="115"/>
      <c r="I2553" s="82"/>
      <c r="J2553" s="114"/>
      <c r="BB2553" s="117"/>
      <c r="BC2553" s="117"/>
      <c r="BD2553" s="117"/>
    </row>
    <row r="2554" spans="1:56">
      <c r="A2554" s="114"/>
      <c r="B2554" s="279" t="s">
        <v>1630</v>
      </c>
      <c r="C2554" s="203"/>
      <c r="D2554" s="204"/>
      <c r="E2554" s="647">
        <v>47.34</v>
      </c>
      <c r="F2554" s="206" t="s">
        <v>10</v>
      </c>
      <c r="G2554" s="115"/>
      <c r="H2554" s="115"/>
      <c r="I2554" s="82"/>
      <c r="J2554" s="114"/>
      <c r="BB2554" s="117"/>
      <c r="BC2554" s="117"/>
      <c r="BD2554" s="117"/>
    </row>
    <row r="2555" spans="1:56">
      <c r="A2555" s="114"/>
      <c r="B2555" s="115"/>
      <c r="C2555" s="115"/>
      <c r="D2555" s="115"/>
      <c r="E2555" s="115"/>
      <c r="F2555" s="115"/>
      <c r="G2555" s="115"/>
      <c r="H2555" s="115"/>
      <c r="I2555" s="82"/>
      <c r="J2555" s="114"/>
      <c r="BB2555" s="117"/>
      <c r="BC2555" s="117"/>
      <c r="BD2555" s="117"/>
    </row>
    <row r="2556" spans="1:56" s="356" customFormat="1" ht="15">
      <c r="A2556" s="353"/>
      <c r="B2556" s="354" t="s">
        <v>1632</v>
      </c>
      <c r="C2556" s="354"/>
      <c r="D2556" s="354"/>
      <c r="E2556" s="354"/>
      <c r="F2556" s="354"/>
      <c r="G2556" s="354"/>
      <c r="H2556" s="355"/>
      <c r="I2556" s="355"/>
      <c r="J2556" s="353"/>
      <c r="K2556" s="353"/>
      <c r="L2556" s="353"/>
      <c r="M2556" s="353"/>
      <c r="N2556" s="353"/>
      <c r="O2556" s="353"/>
      <c r="P2556" s="353"/>
      <c r="Q2556" s="353"/>
      <c r="R2556" s="353"/>
      <c r="S2556" s="353"/>
      <c r="T2556" s="353"/>
      <c r="U2556" s="353"/>
      <c r="V2556" s="353"/>
      <c r="W2556" s="353"/>
      <c r="X2556" s="353"/>
      <c r="Y2556" s="353"/>
      <c r="Z2556" s="353"/>
      <c r="AA2556" s="353"/>
      <c r="AB2556" s="353"/>
      <c r="AC2556" s="353"/>
      <c r="AD2556" s="353"/>
      <c r="AE2556" s="353"/>
      <c r="AF2556" s="353"/>
      <c r="AG2556" s="353"/>
      <c r="AH2556" s="353"/>
      <c r="AI2556" s="353"/>
      <c r="AJ2556" s="353"/>
      <c r="AK2556" s="353"/>
      <c r="AL2556" s="353"/>
      <c r="AM2556" s="353"/>
      <c r="AN2556" s="353"/>
      <c r="AO2556" s="353"/>
      <c r="AP2556" s="353"/>
      <c r="AQ2556" s="353"/>
      <c r="AR2556" s="353"/>
      <c r="AS2556" s="353"/>
      <c r="AT2556" s="353"/>
      <c r="AU2556" s="353"/>
      <c r="AV2556" s="353"/>
      <c r="AW2556" s="353"/>
      <c r="AX2556" s="353"/>
      <c r="AY2556" s="353"/>
      <c r="AZ2556" s="353"/>
      <c r="BA2556" s="353"/>
    </row>
    <row r="2557" spans="1:56" ht="15">
      <c r="A2557" s="114"/>
      <c r="B2557" s="293"/>
      <c r="C2557" s="81"/>
      <c r="D2557" s="81"/>
      <c r="E2557" s="81"/>
      <c r="F2557" s="81"/>
      <c r="G2557" s="81"/>
      <c r="H2557" s="82"/>
      <c r="I2557" s="82"/>
      <c r="J2557" s="114"/>
      <c r="BB2557" s="117"/>
      <c r="BC2557" s="117"/>
      <c r="BD2557" s="117"/>
    </row>
    <row r="2558" spans="1:56" ht="15">
      <c r="A2558" s="114"/>
      <c r="B2558" s="296" t="s">
        <v>1631</v>
      </c>
      <c r="C2558" s="81"/>
      <c r="D2558" s="81"/>
      <c r="E2558" s="81"/>
      <c r="F2558" s="81"/>
      <c r="G2558" s="81"/>
      <c r="H2558" s="82"/>
      <c r="I2558" s="82"/>
      <c r="J2558" s="114"/>
      <c r="BB2558" s="117"/>
      <c r="BC2558" s="117"/>
      <c r="BD2558" s="117"/>
    </row>
    <row r="2559" spans="1:56" ht="15">
      <c r="A2559" s="114"/>
      <c r="B2559" s="293"/>
      <c r="C2559" s="81"/>
      <c r="D2559" s="81"/>
      <c r="E2559" s="81"/>
      <c r="F2559" s="81"/>
      <c r="G2559" s="81"/>
      <c r="H2559" s="82"/>
      <c r="I2559" s="82"/>
      <c r="J2559" s="114"/>
      <c r="BB2559" s="117"/>
      <c r="BC2559" s="117"/>
      <c r="BD2559" s="117"/>
    </row>
    <row r="2560" spans="1:56">
      <c r="A2560" s="114"/>
      <c r="B2560" s="242" t="s">
        <v>97</v>
      </c>
      <c r="C2560" s="199" t="s">
        <v>1635</v>
      </c>
      <c r="D2560" s="199" t="s">
        <v>1634</v>
      </c>
      <c r="E2560" s="199" t="s">
        <v>1543</v>
      </c>
      <c r="F2560" s="199" t="s">
        <v>1633</v>
      </c>
      <c r="G2560" s="243" t="s">
        <v>99</v>
      </c>
      <c r="H2560" s="243" t="s">
        <v>68</v>
      </c>
      <c r="I2560" s="115"/>
      <c r="J2560" s="114"/>
      <c r="BB2560" s="117"/>
      <c r="BC2560" s="117"/>
      <c r="BD2560" s="117"/>
    </row>
    <row r="2561" spans="1:56">
      <c r="A2561" s="114"/>
      <c r="B2561" s="244" t="s">
        <v>912</v>
      </c>
      <c r="C2561" s="343">
        <v>0.26529999999999998</v>
      </c>
      <c r="D2561" s="343">
        <v>1.47</v>
      </c>
      <c r="E2561" s="343">
        <v>42.99</v>
      </c>
      <c r="F2561" s="343">
        <v>0</v>
      </c>
      <c r="G2561" s="340">
        <f>C2561*E2561</f>
        <v>11.405246999999999</v>
      </c>
      <c r="H2561" s="340">
        <f>D2561*E2561</f>
        <v>63.195300000000003</v>
      </c>
      <c r="I2561" s="115"/>
      <c r="J2561" s="114"/>
      <c r="BB2561" s="117"/>
      <c r="BC2561" s="117"/>
      <c r="BD2561" s="117"/>
    </row>
    <row r="2562" spans="1:56">
      <c r="A2562" s="114"/>
      <c r="B2562" s="244" t="s">
        <v>913</v>
      </c>
      <c r="C2562" s="343">
        <v>0.26529999999999998</v>
      </c>
      <c r="D2562" s="343">
        <v>1.47</v>
      </c>
      <c r="E2562" s="343">
        <v>31.24</v>
      </c>
      <c r="F2562" s="343">
        <v>0</v>
      </c>
      <c r="G2562" s="340">
        <f>C2562*E2562</f>
        <v>8.2879719999999981</v>
      </c>
      <c r="H2562" s="340">
        <f>D2562*E2562</f>
        <v>45.922799999999995</v>
      </c>
      <c r="I2562" s="115"/>
      <c r="J2562" s="114"/>
      <c r="BB2562" s="117"/>
      <c r="BC2562" s="117"/>
      <c r="BD2562" s="117"/>
    </row>
    <row r="2563" spans="1:56">
      <c r="A2563" s="114"/>
      <c r="B2563" s="244" t="s">
        <v>924</v>
      </c>
      <c r="C2563" s="343">
        <v>0</v>
      </c>
      <c r="D2563" s="343">
        <v>0.75</v>
      </c>
      <c r="E2563" s="343">
        <f>5.5+11.75+11.75+11.75</f>
        <v>40.75</v>
      </c>
      <c r="F2563" s="343">
        <v>0.75</v>
      </c>
      <c r="G2563" s="340">
        <f>D2563*F2563*E2563</f>
        <v>22.921875</v>
      </c>
      <c r="H2563" s="340">
        <f>(D2563*2+F2563)*E2563+(D2563*F2563*2)</f>
        <v>92.8125</v>
      </c>
      <c r="I2563" s="115"/>
      <c r="J2563" s="114"/>
      <c r="BB2563" s="117"/>
      <c r="BC2563" s="117"/>
      <c r="BD2563" s="117"/>
    </row>
    <row r="2564" spans="1:56">
      <c r="A2564" s="114"/>
      <c r="B2564" s="244" t="s">
        <v>925</v>
      </c>
      <c r="C2564" s="343">
        <v>0</v>
      </c>
      <c r="D2564" s="343">
        <v>0.75</v>
      </c>
      <c r="E2564" s="343">
        <f>11.75+11.75+5.875</f>
        <v>29.375</v>
      </c>
      <c r="F2564" s="343">
        <v>0.75</v>
      </c>
      <c r="G2564" s="340">
        <f>D2564*F2564*E2564</f>
        <v>16.5234375</v>
      </c>
      <c r="H2564" s="340">
        <f>(D2564*2+F2564)*E2564+(D2564*F2564*2)</f>
        <v>67.21875</v>
      </c>
      <c r="I2564" s="115"/>
      <c r="J2564" s="114"/>
      <c r="BB2564" s="117"/>
      <c r="BC2564" s="117"/>
      <c r="BD2564" s="117"/>
    </row>
    <row r="2565" spans="1:56">
      <c r="A2565" s="114"/>
      <c r="B2565" s="244" t="s">
        <v>914</v>
      </c>
      <c r="C2565" s="343">
        <v>0.26529999999999998</v>
      </c>
      <c r="D2565" s="343">
        <v>1.47</v>
      </c>
      <c r="E2565" s="343">
        <v>42.99</v>
      </c>
      <c r="F2565" s="343">
        <v>0</v>
      </c>
      <c r="G2565" s="340">
        <f>C2565*E2565</f>
        <v>11.405246999999999</v>
      </c>
      <c r="H2565" s="340">
        <f>D2565*E2565</f>
        <v>63.195300000000003</v>
      </c>
      <c r="I2565" s="115"/>
      <c r="J2565" s="114"/>
      <c r="BB2565" s="117"/>
      <c r="BC2565" s="117"/>
      <c r="BD2565" s="117"/>
    </row>
    <row r="2566" spans="1:56">
      <c r="A2566" s="114"/>
      <c r="B2566" s="244" t="s">
        <v>915</v>
      </c>
      <c r="C2566" s="343">
        <v>0.26529999999999998</v>
      </c>
      <c r="D2566" s="343">
        <v>1.47</v>
      </c>
      <c r="E2566" s="343">
        <v>31.24</v>
      </c>
      <c r="F2566" s="343">
        <v>0</v>
      </c>
      <c r="G2566" s="340">
        <f>C2566*E2566</f>
        <v>8.2879719999999981</v>
      </c>
      <c r="H2566" s="340">
        <f>D2566*E2566</f>
        <v>45.922799999999995</v>
      </c>
      <c r="I2566" s="115"/>
      <c r="J2566" s="114"/>
      <c r="BB2566" s="117"/>
      <c r="BC2566" s="117"/>
      <c r="BD2566" s="117"/>
    </row>
    <row r="2567" spans="1:56">
      <c r="A2567" s="114"/>
      <c r="B2567" s="244" t="s">
        <v>916</v>
      </c>
      <c r="C2567" s="343">
        <v>0</v>
      </c>
      <c r="D2567" s="343">
        <v>0.5</v>
      </c>
      <c r="E2567" s="343">
        <v>4.1500000000000004</v>
      </c>
      <c r="F2567" s="343">
        <v>0.65</v>
      </c>
      <c r="G2567" s="340">
        <f t="shared" ref="G2567:G2581" si="285">D2567*F2567*E2567</f>
        <v>1.3487500000000001</v>
      </c>
      <c r="H2567" s="340">
        <f>(D2567*2+F2567)*E2567</f>
        <v>6.8475000000000001</v>
      </c>
      <c r="I2567" s="115"/>
      <c r="J2567" s="114"/>
      <c r="BB2567" s="117"/>
      <c r="BC2567" s="117"/>
      <c r="BD2567" s="117"/>
    </row>
    <row r="2568" spans="1:56">
      <c r="A2568" s="114"/>
      <c r="B2568" s="244" t="s">
        <v>917</v>
      </c>
      <c r="C2568" s="343">
        <v>0</v>
      </c>
      <c r="D2568" s="343">
        <v>0.5</v>
      </c>
      <c r="E2568" s="343">
        <v>4.1500000000000004</v>
      </c>
      <c r="F2568" s="343">
        <v>0.65</v>
      </c>
      <c r="G2568" s="340">
        <f t="shared" si="285"/>
        <v>1.3487500000000001</v>
      </c>
      <c r="H2568" s="340">
        <f t="shared" ref="H2568:H2575" si="286">(D2568*2+F2568)*E2568</f>
        <v>6.8475000000000001</v>
      </c>
      <c r="I2568" s="115"/>
      <c r="J2568" s="114"/>
      <c r="BB2568" s="117"/>
      <c r="BC2568" s="117"/>
      <c r="BD2568" s="117"/>
    </row>
    <row r="2569" spans="1:56">
      <c r="A2569" s="114"/>
      <c r="B2569" s="244" t="s">
        <v>918</v>
      </c>
      <c r="C2569" s="343">
        <v>0</v>
      </c>
      <c r="D2569" s="343">
        <v>0.5</v>
      </c>
      <c r="E2569" s="343">
        <v>4.1500000000000004</v>
      </c>
      <c r="F2569" s="343">
        <v>0.65</v>
      </c>
      <c r="G2569" s="340">
        <f t="shared" si="285"/>
        <v>1.3487500000000001</v>
      </c>
      <c r="H2569" s="340">
        <f t="shared" si="286"/>
        <v>6.8475000000000001</v>
      </c>
      <c r="I2569" s="115"/>
      <c r="J2569" s="114"/>
      <c r="BB2569" s="117"/>
      <c r="BC2569" s="117"/>
      <c r="BD2569" s="117"/>
    </row>
    <row r="2570" spans="1:56">
      <c r="A2570" s="114"/>
      <c r="B2570" s="244" t="s">
        <v>919</v>
      </c>
      <c r="C2570" s="343">
        <v>0</v>
      </c>
      <c r="D2570" s="343">
        <v>0.5</v>
      </c>
      <c r="E2570" s="343">
        <v>4.1500000000000004</v>
      </c>
      <c r="F2570" s="343">
        <v>0.65</v>
      </c>
      <c r="G2570" s="340">
        <f t="shared" si="285"/>
        <v>1.3487500000000001</v>
      </c>
      <c r="H2570" s="340">
        <f t="shared" si="286"/>
        <v>6.8475000000000001</v>
      </c>
      <c r="I2570" s="115"/>
      <c r="J2570" s="114"/>
      <c r="BB2570" s="117"/>
      <c r="BC2570" s="117"/>
      <c r="BD2570" s="117"/>
    </row>
    <row r="2571" spans="1:56">
      <c r="A2571" s="114"/>
      <c r="B2571" s="244" t="s">
        <v>920</v>
      </c>
      <c r="C2571" s="343">
        <v>0</v>
      </c>
      <c r="D2571" s="343">
        <v>0.5</v>
      </c>
      <c r="E2571" s="343">
        <v>4.1500000000000004</v>
      </c>
      <c r="F2571" s="343">
        <v>0.65</v>
      </c>
      <c r="G2571" s="340">
        <f t="shared" si="285"/>
        <v>1.3487500000000001</v>
      </c>
      <c r="H2571" s="340">
        <f t="shared" si="286"/>
        <v>6.8475000000000001</v>
      </c>
      <c r="I2571" s="115"/>
      <c r="J2571" s="114"/>
      <c r="BB2571" s="117"/>
      <c r="BC2571" s="117"/>
      <c r="BD2571" s="117"/>
    </row>
    <row r="2572" spans="1:56">
      <c r="A2572" s="114"/>
      <c r="B2572" s="244" t="s">
        <v>921</v>
      </c>
      <c r="C2572" s="343">
        <v>0</v>
      </c>
      <c r="D2572" s="343">
        <v>0.5</v>
      </c>
      <c r="E2572" s="343">
        <v>4.1500000000000004</v>
      </c>
      <c r="F2572" s="343">
        <v>0.65</v>
      </c>
      <c r="G2572" s="340">
        <f t="shared" si="285"/>
        <v>1.3487500000000001</v>
      </c>
      <c r="H2572" s="340">
        <f t="shared" si="286"/>
        <v>6.8475000000000001</v>
      </c>
      <c r="I2572" s="115"/>
      <c r="J2572" s="114"/>
      <c r="BB2572" s="117"/>
      <c r="BC2572" s="117"/>
      <c r="BD2572" s="117"/>
    </row>
    <row r="2573" spans="1:56">
      <c r="A2573" s="114"/>
      <c r="B2573" s="244" t="s">
        <v>922</v>
      </c>
      <c r="C2573" s="343">
        <v>0</v>
      </c>
      <c r="D2573" s="343">
        <v>0.5</v>
      </c>
      <c r="E2573" s="343">
        <v>4.1500000000000004</v>
      </c>
      <c r="F2573" s="343">
        <v>0.65</v>
      </c>
      <c r="G2573" s="340">
        <f t="shared" si="285"/>
        <v>1.3487500000000001</v>
      </c>
      <c r="H2573" s="340">
        <f t="shared" si="286"/>
        <v>6.8475000000000001</v>
      </c>
      <c r="I2573" s="115"/>
      <c r="J2573" s="114"/>
      <c r="BB2573" s="117"/>
      <c r="BC2573" s="117"/>
      <c r="BD2573" s="117"/>
    </row>
    <row r="2574" spans="1:56">
      <c r="A2574" s="114"/>
      <c r="B2574" s="244" t="s">
        <v>923</v>
      </c>
      <c r="C2574" s="343">
        <v>0</v>
      </c>
      <c r="D2574" s="343">
        <v>0.5</v>
      </c>
      <c r="E2574" s="343">
        <v>4.1500000000000004</v>
      </c>
      <c r="F2574" s="343">
        <v>0.65</v>
      </c>
      <c r="G2574" s="340">
        <f t="shared" si="285"/>
        <v>1.3487500000000001</v>
      </c>
      <c r="H2574" s="340">
        <f t="shared" si="286"/>
        <v>6.8475000000000001</v>
      </c>
      <c r="I2574" s="115"/>
      <c r="J2574" s="114"/>
      <c r="BB2574" s="117"/>
      <c r="BC2574" s="117"/>
      <c r="BD2574" s="117"/>
    </row>
    <row r="2575" spans="1:56">
      <c r="A2575" s="114"/>
      <c r="B2575" s="244" t="s">
        <v>1636</v>
      </c>
      <c r="C2575" s="343">
        <v>0</v>
      </c>
      <c r="D2575" s="343">
        <v>0.5</v>
      </c>
      <c r="E2575" s="343">
        <v>4.1500000000000004</v>
      </c>
      <c r="F2575" s="343">
        <v>0.65</v>
      </c>
      <c r="G2575" s="340">
        <f t="shared" si="285"/>
        <v>1.3487500000000001</v>
      </c>
      <c r="H2575" s="340">
        <f t="shared" si="286"/>
        <v>6.8475000000000001</v>
      </c>
      <c r="I2575" s="115"/>
      <c r="J2575" s="114"/>
      <c r="BB2575" s="117"/>
      <c r="BC2575" s="117"/>
      <c r="BD2575" s="117"/>
    </row>
    <row r="2576" spans="1:56">
      <c r="A2576" s="114"/>
      <c r="B2576" s="244" t="s">
        <v>908</v>
      </c>
      <c r="C2576" s="343">
        <v>0</v>
      </c>
      <c r="D2576" s="343">
        <v>0.3</v>
      </c>
      <c r="E2576" s="343">
        <v>10.574999999999999</v>
      </c>
      <c r="F2576" s="343">
        <v>0.9</v>
      </c>
      <c r="G2576" s="340">
        <f t="shared" si="285"/>
        <v>2.8552499999999998</v>
      </c>
      <c r="H2576" s="340">
        <f t="shared" ref="H2576" si="287">(D2576*2+F2576)*E2576</f>
        <v>15.862499999999999</v>
      </c>
      <c r="I2576" s="115"/>
      <c r="J2576" s="114"/>
      <c r="BB2576" s="117"/>
      <c r="BC2576" s="117"/>
      <c r="BD2576" s="117"/>
    </row>
    <row r="2577" spans="1:56">
      <c r="A2577" s="114"/>
      <c r="B2577" s="244" t="s">
        <v>909</v>
      </c>
      <c r="C2577" s="343">
        <v>0</v>
      </c>
      <c r="D2577" s="343">
        <v>0.3</v>
      </c>
      <c r="E2577" s="343">
        <v>10.574999999999999</v>
      </c>
      <c r="F2577" s="343">
        <v>0.9</v>
      </c>
      <c r="G2577" s="340">
        <f t="shared" si="285"/>
        <v>2.8552499999999998</v>
      </c>
      <c r="H2577" s="340">
        <f t="shared" ref="H2577:H2578" si="288">(D2577*2+F2577)*E2577</f>
        <v>15.862499999999999</v>
      </c>
      <c r="I2577" s="115"/>
      <c r="J2577" s="114"/>
      <c r="BB2577" s="117"/>
      <c r="BC2577" s="117"/>
      <c r="BD2577" s="117"/>
    </row>
    <row r="2578" spans="1:56">
      <c r="A2578" s="114"/>
      <c r="B2578" s="244" t="s">
        <v>910</v>
      </c>
      <c r="C2578" s="343">
        <v>0</v>
      </c>
      <c r="D2578" s="343">
        <v>0.3</v>
      </c>
      <c r="E2578" s="343">
        <v>10.574999999999999</v>
      </c>
      <c r="F2578" s="343">
        <v>0.9</v>
      </c>
      <c r="G2578" s="340">
        <f t="shared" si="285"/>
        <v>2.8552499999999998</v>
      </c>
      <c r="H2578" s="340">
        <f t="shared" si="288"/>
        <v>15.862499999999999</v>
      </c>
      <c r="I2578" s="115"/>
      <c r="J2578" s="114"/>
      <c r="BB2578" s="117"/>
      <c r="BC2578" s="117"/>
      <c r="BD2578" s="117"/>
    </row>
    <row r="2579" spans="1:56">
      <c r="A2579" s="114"/>
      <c r="B2579" s="244" t="s">
        <v>911</v>
      </c>
      <c r="C2579" s="343">
        <v>0</v>
      </c>
      <c r="D2579" s="343">
        <v>0.3</v>
      </c>
      <c r="E2579" s="343">
        <v>10.574999999999999</v>
      </c>
      <c r="F2579" s="343">
        <v>0.9</v>
      </c>
      <c r="G2579" s="340">
        <f t="shared" si="285"/>
        <v>2.8552499999999998</v>
      </c>
      <c r="H2579" s="340">
        <f t="shared" ref="H2579:H2580" si="289">(D2579*2+F2579)*E2579</f>
        <v>15.862499999999999</v>
      </c>
      <c r="I2579" s="115"/>
      <c r="J2579" s="114"/>
      <c r="BB2579" s="117"/>
      <c r="BC2579" s="117"/>
      <c r="BD2579" s="117"/>
    </row>
    <row r="2580" spans="1:56">
      <c r="A2580" s="114"/>
      <c r="B2580" s="244" t="s">
        <v>1637</v>
      </c>
      <c r="C2580" s="343">
        <v>0</v>
      </c>
      <c r="D2580" s="343">
        <v>0.3</v>
      </c>
      <c r="E2580" s="343">
        <v>10.574999999999999</v>
      </c>
      <c r="F2580" s="343">
        <v>0.9</v>
      </c>
      <c r="G2580" s="340">
        <f t="shared" si="285"/>
        <v>2.8552499999999998</v>
      </c>
      <c r="H2580" s="340">
        <f t="shared" si="289"/>
        <v>15.862499999999999</v>
      </c>
      <c r="I2580" s="115"/>
      <c r="J2580" s="114"/>
      <c r="BB2580" s="117"/>
      <c r="BC2580" s="117"/>
      <c r="BD2580" s="117"/>
    </row>
    <row r="2581" spans="1:56">
      <c r="A2581" s="114"/>
      <c r="B2581" s="244" t="s">
        <v>1638</v>
      </c>
      <c r="C2581" s="343">
        <v>0</v>
      </c>
      <c r="D2581" s="343">
        <v>0.3</v>
      </c>
      <c r="E2581" s="343">
        <v>10.574999999999999</v>
      </c>
      <c r="F2581" s="343">
        <v>0.9</v>
      </c>
      <c r="G2581" s="340">
        <f t="shared" si="285"/>
        <v>2.8552499999999998</v>
      </c>
      <c r="H2581" s="340">
        <f t="shared" ref="H2581" si="290">(D2581*2+F2581)*E2581</f>
        <v>15.862499999999999</v>
      </c>
      <c r="I2581" s="115"/>
      <c r="J2581" s="114"/>
      <c r="BB2581" s="117"/>
      <c r="BC2581" s="117"/>
      <c r="BD2581" s="117"/>
    </row>
    <row r="2582" spans="1:56" ht="15">
      <c r="A2582" s="114"/>
      <c r="B2582" s="310"/>
      <c r="C2582" s="114"/>
      <c r="D2582" s="114"/>
      <c r="E2582" s="259"/>
      <c r="F2582" s="254" t="s">
        <v>767</v>
      </c>
      <c r="G2582" s="633">
        <f>SUM(G2561:G2581)</f>
        <v>108.10200049999995</v>
      </c>
      <c r="H2582" s="633">
        <f>SUM(H2561:H2581)</f>
        <v>535.06995000000018</v>
      </c>
      <c r="I2582" s="114"/>
      <c r="J2582" s="114"/>
      <c r="BA2582" s="117"/>
      <c r="BB2582" s="117"/>
      <c r="BC2582" s="117"/>
      <c r="BD2582" s="117"/>
    </row>
    <row r="2583" spans="1:56" ht="15">
      <c r="A2583" s="114"/>
      <c r="B2583" s="310"/>
      <c r="C2583" s="114"/>
      <c r="D2583" s="114"/>
      <c r="E2583" s="227"/>
      <c r="F2583" s="638"/>
      <c r="G2583" s="638"/>
      <c r="H2583" s="114"/>
      <c r="I2583" s="114"/>
      <c r="J2583" s="114"/>
      <c r="AZ2583" s="117"/>
      <c r="BA2583" s="117"/>
      <c r="BB2583" s="117"/>
      <c r="BC2583" s="117"/>
      <c r="BD2583" s="117"/>
    </row>
    <row r="2584" spans="1:56">
      <c r="A2584" s="114"/>
      <c r="B2584" s="115"/>
      <c r="C2584" s="115"/>
      <c r="D2584" s="115"/>
      <c r="E2584" s="115"/>
      <c r="F2584" s="115"/>
      <c r="G2584" s="115"/>
      <c r="H2584" s="115"/>
      <c r="I2584" s="82"/>
      <c r="J2584" s="114"/>
      <c r="BB2584" s="117"/>
      <c r="BC2584" s="117"/>
      <c r="BD2584" s="117"/>
    </row>
    <row r="2585" spans="1:56">
      <c r="A2585" s="114"/>
      <c r="B2585" s="242" t="s">
        <v>93</v>
      </c>
      <c r="C2585" s="199" t="s">
        <v>61</v>
      </c>
      <c r="D2585" s="199" t="s">
        <v>82</v>
      </c>
      <c r="E2585" s="199" t="s">
        <v>768</v>
      </c>
      <c r="F2585" s="243" t="s">
        <v>99</v>
      </c>
      <c r="G2585" s="243" t="s">
        <v>68</v>
      </c>
      <c r="H2585" s="115"/>
      <c r="I2585" s="82"/>
      <c r="J2585" s="114"/>
      <c r="BB2585" s="117"/>
      <c r="BC2585" s="117"/>
      <c r="BD2585" s="117"/>
    </row>
    <row r="2586" spans="1:56">
      <c r="A2586" s="114"/>
      <c r="B2586" s="244" t="s">
        <v>1640</v>
      </c>
      <c r="C2586" s="200">
        <v>1</v>
      </c>
      <c r="D2586" s="245">
        <v>0.3</v>
      </c>
      <c r="E2586" s="245">
        <f>(10.385+24.36+24.9+24.36+24.36+24.9+11.41)*2-0.1-0.21-0.08-0.08</f>
        <v>288.88</v>
      </c>
      <c r="F2586" s="202">
        <f t="shared" ref="F2586:F2587" si="291">D2586*E2586</f>
        <v>86.664000000000001</v>
      </c>
      <c r="G2586" s="202">
        <f t="shared" ref="G2586:G2587" si="292">E2586</f>
        <v>288.88</v>
      </c>
      <c r="H2586" s="115"/>
      <c r="I2586" s="632"/>
      <c r="J2586" s="114"/>
      <c r="BB2586" s="117"/>
      <c r="BC2586" s="117"/>
      <c r="BD2586" s="117"/>
    </row>
    <row r="2587" spans="1:56">
      <c r="A2587" s="114"/>
      <c r="B2587" s="244" t="s">
        <v>1515</v>
      </c>
      <c r="C2587" s="200">
        <v>1</v>
      </c>
      <c r="D2587" s="245">
        <v>0.15</v>
      </c>
      <c r="E2587" s="245">
        <f>8.88+45.05+8.88</f>
        <v>62.81</v>
      </c>
      <c r="F2587" s="202">
        <f t="shared" si="291"/>
        <v>9.4215</v>
      </c>
      <c r="G2587" s="202">
        <f t="shared" si="292"/>
        <v>62.81</v>
      </c>
      <c r="H2587" s="115"/>
      <c r="I2587" s="82"/>
      <c r="J2587" s="114"/>
      <c r="BB2587" s="117"/>
      <c r="BC2587" s="117"/>
      <c r="BD2587" s="117"/>
    </row>
    <row r="2588" spans="1:56">
      <c r="A2588" s="114"/>
      <c r="B2588" s="114"/>
      <c r="C2588" s="114"/>
      <c r="D2588" s="114"/>
      <c r="E2588" s="254" t="s">
        <v>767</v>
      </c>
      <c r="F2588" s="258">
        <f>SUM(F2586:F2587)</f>
        <v>96.085499999999996</v>
      </c>
      <c r="G2588" s="258">
        <f>SUM(G2586:G2587)</f>
        <v>351.69</v>
      </c>
      <c r="H2588" s="115"/>
      <c r="I2588" s="82"/>
      <c r="J2588" s="114"/>
      <c r="BB2588" s="117"/>
      <c r="BC2588" s="117"/>
      <c r="BD2588" s="117"/>
    </row>
    <row r="2589" spans="1:56" s="259" customFormat="1" ht="15">
      <c r="A2589" s="114"/>
      <c r="B2589" s="293"/>
      <c r="C2589" s="81"/>
      <c r="D2589" s="81"/>
      <c r="E2589" s="81"/>
      <c r="F2589" s="349"/>
      <c r="G2589" s="81"/>
      <c r="H2589" s="82"/>
      <c r="I2589" s="82"/>
      <c r="J2589" s="114"/>
      <c r="K2589" s="114"/>
      <c r="L2589" s="114"/>
      <c r="M2589" s="114"/>
      <c r="N2589" s="114"/>
      <c r="O2589" s="114"/>
      <c r="P2589" s="114"/>
      <c r="Q2589" s="114"/>
      <c r="R2589" s="114"/>
      <c r="S2589" s="114"/>
      <c r="T2589" s="114"/>
      <c r="U2589" s="114"/>
      <c r="V2589" s="114"/>
      <c r="W2589" s="114"/>
      <c r="X2589" s="114"/>
      <c r="Y2589" s="114"/>
      <c r="Z2589" s="114"/>
      <c r="AA2589" s="114"/>
      <c r="AB2589" s="114"/>
      <c r="AC2589" s="114"/>
      <c r="AD2589" s="114"/>
      <c r="AE2589" s="114"/>
      <c r="AF2589" s="114"/>
      <c r="AG2589" s="114"/>
      <c r="AH2589" s="114"/>
      <c r="AI2589" s="114"/>
      <c r="AJ2589" s="114"/>
      <c r="AK2589" s="114"/>
      <c r="AL2589" s="114"/>
      <c r="AM2589" s="114"/>
      <c r="AN2589" s="114"/>
      <c r="AO2589" s="114"/>
      <c r="AP2589" s="114"/>
      <c r="AQ2589" s="114"/>
      <c r="AR2589" s="114"/>
      <c r="AS2589" s="114"/>
      <c r="AT2589" s="114"/>
      <c r="AU2589" s="114"/>
      <c r="AV2589" s="114"/>
      <c r="AW2589" s="114"/>
      <c r="AX2589" s="114"/>
      <c r="AY2589" s="114"/>
      <c r="AZ2589" s="114"/>
      <c r="BA2589" s="114"/>
    </row>
    <row r="2590" spans="1:56">
      <c r="A2590" s="114"/>
      <c r="B2590" s="242" t="s">
        <v>1642</v>
      </c>
      <c r="C2590" s="199" t="s">
        <v>1635</v>
      </c>
      <c r="D2590" s="199" t="s">
        <v>1543</v>
      </c>
      <c r="E2590" s="199" t="s">
        <v>1643</v>
      </c>
      <c r="F2590" s="243" t="s">
        <v>99</v>
      </c>
      <c r="G2590" s="243" t="s">
        <v>68</v>
      </c>
      <c r="H2590" s="115"/>
      <c r="I2590" s="82"/>
      <c r="J2590" s="114"/>
      <c r="BB2590" s="117"/>
      <c r="BC2590" s="117"/>
      <c r="BD2590" s="117"/>
    </row>
    <row r="2591" spans="1:56">
      <c r="A2591" s="114"/>
      <c r="B2591" s="244" t="s">
        <v>1532</v>
      </c>
      <c r="C2591" s="649">
        <v>1.3865000000000001</v>
      </c>
      <c r="D2591" s="245">
        <v>74.305000000000007</v>
      </c>
      <c r="E2591" s="245">
        <v>7.0190000000000001</v>
      </c>
      <c r="F2591" s="202">
        <f>C2591*D2591</f>
        <v>103.02388250000001</v>
      </c>
      <c r="G2591" s="202">
        <f>E2591*D2591</f>
        <v>521.54679500000009</v>
      </c>
      <c r="H2591" s="115"/>
      <c r="I2591" s="632"/>
      <c r="J2591" s="114"/>
      <c r="BB2591" s="117"/>
      <c r="BC2591" s="117"/>
      <c r="BD2591" s="117"/>
    </row>
    <row r="2592" spans="1:56">
      <c r="A2592" s="114"/>
      <c r="B2592" s="114"/>
      <c r="C2592" s="114"/>
      <c r="D2592" s="114"/>
      <c r="E2592" s="254" t="s">
        <v>767</v>
      </c>
      <c r="F2592" s="258">
        <f>SUM(F2591:F2591)</f>
        <v>103.02388250000001</v>
      </c>
      <c r="G2592" s="258">
        <f>SUM(G2591:G2591)</f>
        <v>521.54679500000009</v>
      </c>
      <c r="H2592" s="115"/>
      <c r="I2592" s="82"/>
      <c r="J2592" s="114"/>
      <c r="BB2592" s="117"/>
      <c r="BC2592" s="117"/>
      <c r="BD2592" s="117"/>
    </row>
    <row r="2593" spans="1:56" s="259" customFormat="1" ht="15">
      <c r="A2593" s="114"/>
      <c r="B2593" s="293"/>
      <c r="C2593" s="81"/>
      <c r="D2593" s="81"/>
      <c r="E2593" s="81"/>
      <c r="F2593" s="349"/>
      <c r="G2593" s="81"/>
      <c r="H2593" s="82"/>
      <c r="I2593" s="82"/>
      <c r="J2593" s="114"/>
      <c r="K2593" s="114"/>
      <c r="L2593" s="114"/>
      <c r="M2593" s="114"/>
      <c r="N2593" s="114"/>
      <c r="O2593" s="114"/>
      <c r="P2593" s="114"/>
      <c r="Q2593" s="114"/>
      <c r="R2593" s="114"/>
      <c r="S2593" s="114"/>
      <c r="T2593" s="114"/>
      <c r="U2593" s="114"/>
      <c r="V2593" s="114"/>
      <c r="W2593" s="114"/>
      <c r="X2593" s="114"/>
      <c r="Y2593" s="114"/>
      <c r="Z2593" s="114"/>
      <c r="AA2593" s="114"/>
      <c r="AB2593" s="114"/>
      <c r="AC2593" s="114"/>
      <c r="AD2593" s="114"/>
      <c r="AE2593" s="114"/>
      <c r="AF2593" s="114"/>
      <c r="AG2593" s="114"/>
      <c r="AH2593" s="114"/>
      <c r="AI2593" s="114"/>
      <c r="AJ2593" s="114"/>
      <c r="AK2593" s="114"/>
      <c r="AL2593" s="114"/>
      <c r="AM2593" s="114"/>
      <c r="AN2593" s="114"/>
      <c r="AO2593" s="114"/>
      <c r="AP2593" s="114"/>
      <c r="AQ2593" s="114"/>
      <c r="AR2593" s="114"/>
      <c r="AS2593" s="114"/>
      <c r="AT2593" s="114"/>
      <c r="AU2593" s="114"/>
      <c r="AV2593" s="114"/>
      <c r="AW2593" s="114"/>
      <c r="AX2593" s="114"/>
      <c r="AY2593" s="114"/>
      <c r="AZ2593" s="114"/>
      <c r="BA2593" s="114"/>
    </row>
    <row r="2594" spans="1:56">
      <c r="A2594" s="114"/>
      <c r="B2594" s="115"/>
      <c r="C2594" s="115"/>
      <c r="D2594" s="115"/>
      <c r="E2594" s="115"/>
      <c r="F2594" s="115"/>
      <c r="G2594" s="115"/>
      <c r="H2594" s="115"/>
      <c r="I2594" s="82"/>
      <c r="J2594" s="114"/>
      <c r="BB2594" s="117"/>
      <c r="BC2594" s="117"/>
      <c r="BD2594" s="117"/>
    </row>
    <row r="2595" spans="1:56">
      <c r="A2595" s="114"/>
      <c r="B2595" s="242" t="s">
        <v>96</v>
      </c>
      <c r="C2595" s="199" t="s">
        <v>1575</v>
      </c>
      <c r="D2595" s="199" t="s">
        <v>155</v>
      </c>
      <c r="E2595" s="199" t="s">
        <v>82</v>
      </c>
      <c r="F2595" s="199" t="s">
        <v>62</v>
      </c>
      <c r="G2595" s="243" t="s">
        <v>99</v>
      </c>
      <c r="H2595" s="243" t="s">
        <v>68</v>
      </c>
      <c r="I2595" s="115"/>
      <c r="J2595" s="114"/>
      <c r="BB2595" s="117"/>
      <c r="BC2595" s="117"/>
      <c r="BD2595" s="117"/>
    </row>
    <row r="2596" spans="1:56">
      <c r="A2596" s="114"/>
      <c r="B2596" s="244" t="s">
        <v>1641</v>
      </c>
      <c r="C2596" s="646">
        <v>49</v>
      </c>
      <c r="D2596" s="343">
        <v>1.8</v>
      </c>
      <c r="E2596" s="343">
        <v>0.2</v>
      </c>
      <c r="F2596" s="343">
        <v>0.4</v>
      </c>
      <c r="G2596" s="340">
        <f>F2596*E2596*D2596*C2596</f>
        <v>7.0560000000000018</v>
      </c>
      <c r="H2596" s="340">
        <f>(2*E2596+2*F2596)*D2596</f>
        <v>2.1600000000000006</v>
      </c>
      <c r="I2596" s="115"/>
      <c r="J2596" s="114"/>
      <c r="BB2596" s="117"/>
      <c r="BC2596" s="117"/>
      <c r="BD2596" s="117"/>
    </row>
    <row r="2597" spans="1:56" ht="15">
      <c r="A2597" s="114"/>
      <c r="B2597" s="310"/>
      <c r="C2597" s="310"/>
      <c r="D2597" s="114"/>
      <c r="E2597" s="114"/>
      <c r="F2597" s="254" t="s">
        <v>767</v>
      </c>
      <c r="G2597" s="633">
        <f>SUM(G2596:G2596)</f>
        <v>7.0560000000000018</v>
      </c>
      <c r="H2597" s="633">
        <f>SUM(H2596:H2596)</f>
        <v>2.1600000000000006</v>
      </c>
      <c r="I2597" s="114"/>
      <c r="J2597" s="114"/>
      <c r="BA2597" s="117"/>
      <c r="BB2597" s="117"/>
      <c r="BC2597" s="117"/>
      <c r="BD2597" s="117"/>
    </row>
    <row r="2598" spans="1:56" ht="15">
      <c r="A2598" s="114"/>
      <c r="B2598" s="310"/>
      <c r="C2598" s="114"/>
      <c r="D2598" s="114"/>
      <c r="E2598" s="227"/>
      <c r="F2598" s="638"/>
      <c r="G2598" s="638"/>
      <c r="H2598" s="114"/>
      <c r="I2598" s="114"/>
      <c r="J2598" s="114"/>
      <c r="AZ2598" s="117"/>
      <c r="BA2598" s="117"/>
      <c r="BB2598" s="117"/>
      <c r="BC2598" s="117"/>
      <c r="BD2598" s="117"/>
    </row>
    <row r="2599" spans="1:56" ht="15">
      <c r="A2599" s="114"/>
      <c r="B2599" s="310"/>
      <c r="C2599" s="114"/>
      <c r="D2599" s="114"/>
      <c r="E2599" s="227"/>
      <c r="F2599" s="638"/>
      <c r="G2599" s="638"/>
      <c r="H2599" s="114"/>
      <c r="I2599" s="114"/>
      <c r="J2599" s="114"/>
      <c r="AZ2599" s="117"/>
      <c r="BA2599" s="117"/>
      <c r="BB2599" s="117"/>
      <c r="BC2599" s="117"/>
      <c r="BD2599" s="117"/>
    </row>
    <row r="2600" spans="1:56">
      <c r="A2600" s="114"/>
      <c r="B2600" s="242" t="s">
        <v>2349</v>
      </c>
      <c r="C2600" s="199" t="s">
        <v>304</v>
      </c>
      <c r="D2600" s="199" t="s">
        <v>1571</v>
      </c>
      <c r="E2600" s="243" t="s">
        <v>1645</v>
      </c>
      <c r="F2600" s="115"/>
      <c r="G2600" s="114"/>
      <c r="H2600" s="114"/>
      <c r="I2600" s="114"/>
      <c r="J2600" s="114"/>
      <c r="AY2600" s="117"/>
      <c r="AZ2600" s="117"/>
      <c r="BA2600" s="117"/>
      <c r="BB2600" s="117"/>
      <c r="BC2600" s="117"/>
      <c r="BD2600" s="117"/>
    </row>
    <row r="2601" spans="1:56">
      <c r="A2601" s="114"/>
      <c r="B2601" s="244" t="s">
        <v>2195</v>
      </c>
      <c r="C2601" s="343">
        <f>5.6+5.6+2.3862+5.1875+2.9374+2.875+4.372+6.645+6.645</f>
        <v>42.248099999999994</v>
      </c>
      <c r="D2601" s="343">
        <v>0.3</v>
      </c>
      <c r="E2601" s="340">
        <f>C2601*D2601</f>
        <v>12.674429999999997</v>
      </c>
      <c r="F2601" s="115"/>
      <c r="G2601" s="114"/>
      <c r="H2601" s="114"/>
      <c r="I2601" s="114"/>
      <c r="J2601" s="114"/>
      <c r="AY2601" s="117"/>
      <c r="AZ2601" s="117"/>
      <c r="BA2601" s="117"/>
      <c r="BB2601" s="117"/>
      <c r="BC2601" s="117"/>
      <c r="BD2601" s="117"/>
    </row>
    <row r="2602" spans="1:56" ht="15">
      <c r="A2602" s="114"/>
      <c r="B2602" s="310"/>
      <c r="C2602" s="114"/>
      <c r="D2602" s="254" t="s">
        <v>767</v>
      </c>
      <c r="E2602" s="633">
        <f>SUM(E2601:E2601)</f>
        <v>12.674429999999997</v>
      </c>
      <c r="F2602" s="114"/>
      <c r="G2602" s="114"/>
      <c r="H2602" s="114"/>
      <c r="I2602" s="114"/>
      <c r="J2602" s="114"/>
      <c r="AX2602" s="117"/>
      <c r="AY2602" s="117"/>
      <c r="AZ2602" s="117"/>
      <c r="BA2602" s="117"/>
      <c r="BB2602" s="117"/>
      <c r="BC2602" s="117"/>
      <c r="BD2602" s="117"/>
    </row>
    <row r="2603" spans="1:56">
      <c r="A2603" s="114"/>
      <c r="B2603" s="115"/>
      <c r="C2603" s="115"/>
      <c r="D2603" s="115"/>
      <c r="E2603" s="115"/>
      <c r="F2603" s="115"/>
      <c r="G2603" s="115"/>
      <c r="H2603" s="115"/>
      <c r="I2603" s="82"/>
      <c r="J2603" s="114"/>
      <c r="BB2603" s="117"/>
      <c r="BC2603" s="117"/>
      <c r="BD2603" s="117"/>
    </row>
    <row r="2604" spans="1:56">
      <c r="A2604" s="114"/>
      <c r="B2604" s="1307" t="s">
        <v>1644</v>
      </c>
      <c r="C2604" s="1307"/>
      <c r="D2604" s="1307"/>
      <c r="E2604" s="1307"/>
      <c r="F2604" s="1308"/>
      <c r="G2604" s="115"/>
      <c r="H2604" s="115"/>
      <c r="I2604" s="82"/>
      <c r="J2604" s="114"/>
      <c r="BB2604" s="117"/>
      <c r="BC2604" s="117"/>
      <c r="BD2604" s="117"/>
    </row>
    <row r="2605" spans="1:56">
      <c r="A2605" s="114"/>
      <c r="B2605" s="278"/>
      <c r="C2605" s="115"/>
      <c r="D2605" s="115"/>
      <c r="E2605" s="115"/>
      <c r="F2605" s="357"/>
      <c r="G2605" s="115"/>
      <c r="H2605" s="115"/>
      <c r="I2605" s="82"/>
      <c r="J2605" s="114"/>
      <c r="BB2605" s="117"/>
      <c r="BC2605" s="117"/>
      <c r="BD2605" s="117"/>
    </row>
    <row r="2606" spans="1:56">
      <c r="A2606" s="114"/>
      <c r="B2606" s="279" t="s">
        <v>315</v>
      </c>
      <c r="C2606" s="203"/>
      <c r="D2606" s="204"/>
      <c r="E2606" s="205">
        <f>H2597+G2592+G2588+H2582</f>
        <v>1410.4667450000002</v>
      </c>
      <c r="F2606" s="206" t="s">
        <v>13</v>
      </c>
      <c r="G2606" s="115"/>
      <c r="H2606" s="115"/>
      <c r="I2606" s="82"/>
      <c r="J2606" s="114"/>
      <c r="BB2606" s="117"/>
      <c r="BC2606" s="117"/>
      <c r="BD2606" s="117"/>
    </row>
    <row r="2607" spans="1:56">
      <c r="A2607" s="114"/>
      <c r="B2607" s="279" t="s">
        <v>316</v>
      </c>
      <c r="C2607" s="203"/>
      <c r="D2607" s="204"/>
      <c r="E2607" s="205">
        <f>G2597+F2592+F2588+G2582</f>
        <v>314.267383</v>
      </c>
      <c r="F2607" s="206" t="s">
        <v>100</v>
      </c>
      <c r="G2607" s="115"/>
      <c r="H2607" s="115"/>
      <c r="I2607" s="82"/>
      <c r="J2607" s="114"/>
      <c r="BB2607" s="117"/>
      <c r="BC2607" s="117"/>
      <c r="BD2607" s="117"/>
    </row>
    <row r="2608" spans="1:56">
      <c r="A2608" s="114"/>
      <c r="B2608" s="279" t="s">
        <v>1676</v>
      </c>
      <c r="C2608" s="203"/>
      <c r="D2608" s="204"/>
      <c r="E2608" s="205">
        <f>E2602</f>
        <v>12.674429999999997</v>
      </c>
      <c r="F2608" s="206" t="s">
        <v>100</v>
      </c>
      <c r="G2608" s="115"/>
      <c r="H2608" s="115"/>
      <c r="I2608" s="82"/>
      <c r="J2608" s="114"/>
      <c r="BB2608" s="117"/>
      <c r="BC2608" s="117"/>
      <c r="BD2608" s="117"/>
    </row>
    <row r="2609" spans="1:56">
      <c r="A2609" s="114"/>
      <c r="B2609" s="279" t="s">
        <v>1630</v>
      </c>
      <c r="C2609" s="203"/>
      <c r="D2609" s="204"/>
      <c r="E2609" s="647">
        <v>6.1</v>
      </c>
      <c r="F2609" s="206" t="s">
        <v>10</v>
      </c>
      <c r="G2609" s="115"/>
      <c r="H2609" s="115"/>
      <c r="I2609" s="82"/>
      <c r="J2609" s="114"/>
      <c r="BB2609" s="117"/>
      <c r="BC2609" s="117"/>
      <c r="BD2609" s="117"/>
    </row>
    <row r="2610" spans="1:56">
      <c r="A2610" s="114"/>
      <c r="B2610" s="115"/>
      <c r="C2610" s="115"/>
      <c r="D2610" s="115"/>
      <c r="E2610" s="115"/>
      <c r="F2610" s="115"/>
      <c r="G2610" s="115"/>
      <c r="H2610" s="115"/>
      <c r="I2610" s="82"/>
      <c r="J2610" s="114"/>
      <c r="BB2610" s="117"/>
      <c r="BC2610" s="117"/>
      <c r="BD2610" s="117"/>
    </row>
    <row r="2611" spans="1:56">
      <c r="A2611" s="114"/>
      <c r="B2611" s="115"/>
      <c r="C2611" s="115"/>
      <c r="D2611" s="115"/>
      <c r="E2611" s="115"/>
      <c r="F2611" s="115"/>
      <c r="G2611" s="115"/>
      <c r="H2611" s="115"/>
      <c r="I2611" s="82"/>
      <c r="J2611" s="114"/>
      <c r="BB2611" s="117"/>
      <c r="BC2611" s="117"/>
      <c r="BD2611" s="117"/>
    </row>
    <row r="2612" spans="1:56" s="356" customFormat="1" ht="15">
      <c r="A2612" s="353"/>
      <c r="B2612" s="354" t="s">
        <v>1714</v>
      </c>
      <c r="C2612" s="354"/>
      <c r="D2612" s="354"/>
      <c r="E2612" s="354"/>
      <c r="F2612" s="354"/>
      <c r="G2612" s="354"/>
      <c r="H2612" s="355"/>
      <c r="I2612" s="355"/>
      <c r="J2612" s="353"/>
      <c r="K2612" s="353"/>
      <c r="L2612" s="353"/>
      <c r="M2612" s="353"/>
      <c r="N2612" s="353"/>
      <c r="O2612" s="353"/>
      <c r="P2612" s="353"/>
      <c r="Q2612" s="353"/>
      <c r="R2612" s="353"/>
      <c r="S2612" s="353"/>
      <c r="T2612" s="353"/>
      <c r="U2612" s="353"/>
      <c r="V2612" s="353"/>
      <c r="W2612" s="353"/>
      <c r="X2612" s="353"/>
      <c r="Y2612" s="353"/>
      <c r="Z2612" s="353"/>
      <c r="AA2612" s="353"/>
      <c r="AB2612" s="353"/>
      <c r="AC2612" s="353"/>
      <c r="AD2612" s="353"/>
      <c r="AE2612" s="353"/>
      <c r="AF2612" s="353"/>
      <c r="AG2612" s="353"/>
      <c r="AH2612" s="353"/>
      <c r="AI2612" s="353"/>
      <c r="AJ2612" s="353"/>
      <c r="AK2612" s="353"/>
      <c r="AL2612" s="353"/>
      <c r="AM2612" s="353"/>
      <c r="AN2612" s="353"/>
      <c r="AO2612" s="353"/>
      <c r="AP2612" s="353"/>
      <c r="AQ2612" s="353"/>
      <c r="AR2612" s="353"/>
      <c r="AS2612" s="353"/>
      <c r="AT2612" s="353"/>
      <c r="AU2612" s="353"/>
      <c r="AV2612" s="353"/>
      <c r="AW2612" s="353"/>
      <c r="AX2612" s="353"/>
      <c r="AY2612" s="353"/>
      <c r="AZ2612" s="353"/>
      <c r="BA2612" s="353"/>
    </row>
    <row r="2613" spans="1:56" ht="15">
      <c r="A2613" s="114"/>
      <c r="B2613" s="293"/>
      <c r="C2613" s="81"/>
      <c r="D2613" s="81"/>
      <c r="E2613" s="81"/>
      <c r="F2613" s="81"/>
      <c r="G2613" s="81"/>
      <c r="H2613" s="82"/>
      <c r="I2613" s="82"/>
      <c r="J2613" s="114"/>
      <c r="BB2613" s="117"/>
      <c r="BC2613" s="117"/>
      <c r="BD2613" s="117"/>
    </row>
    <row r="2614" spans="1:56" ht="15">
      <c r="A2614" s="114"/>
      <c r="B2614" s="697" t="s">
        <v>2234</v>
      </c>
      <c r="C2614" s="623"/>
      <c r="D2614" s="623"/>
      <c r="E2614" s="623"/>
      <c r="F2614" s="623"/>
      <c r="G2614" s="623"/>
      <c r="H2614" s="624"/>
      <c r="I2614" s="624"/>
      <c r="J2614" s="625"/>
      <c r="BB2614" s="117"/>
      <c r="BC2614" s="117"/>
      <c r="BD2614" s="117"/>
    </row>
    <row r="2615" spans="1:56" ht="15">
      <c r="A2615" s="114"/>
      <c r="B2615" s="293"/>
      <c r="C2615" s="81"/>
      <c r="D2615" s="81"/>
      <c r="E2615" s="81"/>
      <c r="F2615" s="81"/>
      <c r="G2615" s="81"/>
      <c r="H2615" s="82"/>
      <c r="I2615" s="82"/>
      <c r="J2615" s="114"/>
      <c r="BB2615" s="117"/>
      <c r="BC2615" s="117"/>
      <c r="BD2615" s="117"/>
    </row>
    <row r="2616" spans="1:56" ht="15">
      <c r="A2616" s="114"/>
      <c r="B2616" s="696" t="s">
        <v>1715</v>
      </c>
      <c r="C2616" s="199" t="s">
        <v>296</v>
      </c>
      <c r="D2616" s="199" t="s">
        <v>516</v>
      </c>
      <c r="E2616" s="199" t="s">
        <v>65</v>
      </c>
      <c r="F2616" s="199" t="s">
        <v>297</v>
      </c>
      <c r="G2616" s="268" t="s">
        <v>104</v>
      </c>
      <c r="H2616" s="268" t="s">
        <v>105</v>
      </c>
      <c r="I2616" s="3"/>
      <c r="J2616" s="4"/>
      <c r="BC2616" s="117"/>
      <c r="BD2616" s="117"/>
    </row>
    <row r="2617" spans="1:56" ht="15">
      <c r="A2617" s="114"/>
      <c r="B2617" s="269" t="s">
        <v>1716</v>
      </c>
      <c r="C2617" s="270">
        <v>1.6659999999999999</v>
      </c>
      <c r="D2617" s="270">
        <v>2.9889999999999999</v>
      </c>
      <c r="E2617" s="270">
        <v>2.85</v>
      </c>
      <c r="F2617" s="270">
        <v>6.82</v>
      </c>
      <c r="G2617" s="256">
        <f>C2617*E2617</f>
        <v>4.7481</v>
      </c>
      <c r="H2617" s="256">
        <f>2*C2617+D2617*E2617+F2617*E2617</f>
        <v>31.287649999999999</v>
      </c>
      <c r="I2617" s="3"/>
      <c r="J2617" s="4"/>
      <c r="BC2617" s="117"/>
      <c r="BD2617" s="117"/>
    </row>
    <row r="2618" spans="1:56" ht="15">
      <c r="A2618" s="114"/>
      <c r="B2618" s="244" t="s">
        <v>1717</v>
      </c>
      <c r="C2618" s="245">
        <v>1.3858999999999999</v>
      </c>
      <c r="D2618" s="245">
        <v>2.8130000000000002</v>
      </c>
      <c r="E2618" s="245">
        <v>2.85</v>
      </c>
      <c r="F2618" s="245">
        <v>5.59</v>
      </c>
      <c r="G2618" s="256">
        <f>C2618*E2618</f>
        <v>3.9498150000000001</v>
      </c>
      <c r="H2618" s="256">
        <f>2*C2618+D2618*E2618+F2618*E2618</f>
        <v>26.72035</v>
      </c>
      <c r="I2618" s="3"/>
      <c r="J2618" s="114"/>
      <c r="BA2618" s="117"/>
      <c r="BB2618" s="117"/>
      <c r="BC2618" s="117"/>
      <c r="BD2618" s="117"/>
    </row>
    <row r="2619" spans="1:56">
      <c r="A2619" s="114"/>
      <c r="B2619" s="140"/>
      <c r="C2619" s="213"/>
      <c r="D2619" s="213"/>
      <c r="E2619" s="115"/>
      <c r="F2619" s="254" t="s">
        <v>76</v>
      </c>
      <c r="G2619" s="228">
        <f>SUM(G2617:G2618)</f>
        <v>8.6979150000000001</v>
      </c>
      <c r="H2619" s="228">
        <f>SUM(H2617:H2618)</f>
        <v>58.007999999999996</v>
      </c>
      <c r="I2619" s="3"/>
      <c r="J2619" s="114"/>
      <c r="AZ2619" s="117"/>
      <c r="BA2619" s="117"/>
      <c r="BB2619" s="117"/>
      <c r="BC2619" s="117"/>
      <c r="BD2619" s="117"/>
    </row>
    <row r="2620" spans="1:56" ht="15">
      <c r="A2620" s="114"/>
      <c r="B2620" s="140"/>
      <c r="C2620" s="213"/>
      <c r="D2620" s="213"/>
      <c r="E2620" s="236"/>
      <c r="F2620" s="213"/>
      <c r="G2620" s="212"/>
      <c r="H2620" s="210"/>
      <c r="I2620" s="3"/>
      <c r="J2620" s="114"/>
      <c r="AZ2620" s="117"/>
      <c r="BA2620" s="117"/>
      <c r="BB2620" s="117"/>
      <c r="BC2620" s="117"/>
      <c r="BD2620" s="117"/>
    </row>
    <row r="2621" spans="1:56" ht="15">
      <c r="A2621" s="114"/>
      <c r="B2621" s="242" t="s">
        <v>1718</v>
      </c>
      <c r="C2621" s="199" t="s">
        <v>61</v>
      </c>
      <c r="D2621" s="199" t="s">
        <v>82</v>
      </c>
      <c r="E2621" s="199" t="s">
        <v>66</v>
      </c>
      <c r="F2621" s="199" t="s">
        <v>62</v>
      </c>
      <c r="G2621" s="243" t="s">
        <v>99</v>
      </c>
      <c r="H2621" s="243" t="s">
        <v>68</v>
      </c>
      <c r="I2621" s="82"/>
      <c r="J2621" s="114"/>
      <c r="BB2621" s="117"/>
      <c r="BC2621" s="117"/>
      <c r="BD2621" s="117"/>
    </row>
    <row r="2622" spans="1:56" ht="15">
      <c r="A2622" s="114"/>
      <c r="B2622" s="244" t="s">
        <v>1719</v>
      </c>
      <c r="C2622" s="200">
        <v>1</v>
      </c>
      <c r="D2622" s="245">
        <v>0.3</v>
      </c>
      <c r="E2622" s="201">
        <v>0.5</v>
      </c>
      <c r="F2622" s="201">
        <v>2.25</v>
      </c>
      <c r="G2622" s="202">
        <f t="shared" ref="G2622" si="293">D2622*E2622*F2622*C2622</f>
        <v>0.33749999999999997</v>
      </c>
      <c r="H2622" s="202">
        <f t="shared" ref="H2622" si="294">((E2622*2)+D2622)*F2622*C2622</f>
        <v>2.9250000000000003</v>
      </c>
      <c r="I2622" s="82"/>
      <c r="J2622" s="114"/>
      <c r="BB2622" s="117"/>
      <c r="BC2622" s="117"/>
      <c r="BD2622" s="117"/>
    </row>
    <row r="2623" spans="1:56" ht="15">
      <c r="A2623" s="114"/>
      <c r="B2623" s="310"/>
      <c r="C2623" s="114"/>
      <c r="D2623" s="114"/>
      <c r="E2623" s="117"/>
      <c r="F2623" s="254" t="s">
        <v>767</v>
      </c>
      <c r="G2623" s="633">
        <f>G2622</f>
        <v>0.33749999999999997</v>
      </c>
      <c r="H2623" s="698">
        <f>H2622</f>
        <v>2.9250000000000003</v>
      </c>
      <c r="I2623" s="114"/>
      <c r="J2623" s="114"/>
      <c r="BA2623" s="117"/>
      <c r="BB2623" s="117"/>
      <c r="BC2623" s="117"/>
      <c r="BD2623" s="117"/>
    </row>
    <row r="2624" spans="1:56" ht="15">
      <c r="A2624" s="114"/>
      <c r="B2624" s="310"/>
      <c r="C2624" s="114"/>
      <c r="D2624" s="114"/>
      <c r="E2624" s="227"/>
      <c r="F2624" s="638"/>
      <c r="G2624" s="638"/>
      <c r="H2624" s="114"/>
      <c r="I2624" s="114"/>
      <c r="J2624" s="114"/>
      <c r="AZ2624" s="117"/>
      <c r="BA2624" s="117"/>
      <c r="BB2624" s="117"/>
      <c r="BC2624" s="117"/>
      <c r="BD2624" s="117"/>
    </row>
    <row r="2625" spans="1:56" ht="15">
      <c r="A2625" s="114"/>
      <c r="B2625" s="293"/>
      <c r="C2625" s="81"/>
      <c r="D2625" s="81"/>
      <c r="E2625" s="81"/>
      <c r="F2625" s="81"/>
      <c r="G2625" s="81"/>
      <c r="H2625" s="82"/>
      <c r="I2625" s="82"/>
      <c r="J2625" s="114"/>
      <c r="BB2625" s="117"/>
      <c r="BC2625" s="117"/>
      <c r="BD2625" s="117"/>
    </row>
    <row r="2626" spans="1:56" ht="15">
      <c r="A2626" s="114"/>
      <c r="B2626" s="696" t="s">
        <v>1720</v>
      </c>
      <c r="C2626" s="199" t="s">
        <v>296</v>
      </c>
      <c r="D2626" s="199" t="s">
        <v>516</v>
      </c>
      <c r="E2626" s="199" t="s">
        <v>65</v>
      </c>
      <c r="F2626" s="199" t="s">
        <v>297</v>
      </c>
      <c r="G2626" s="268" t="s">
        <v>104</v>
      </c>
      <c r="H2626" s="268" t="s">
        <v>105</v>
      </c>
      <c r="I2626" s="3"/>
      <c r="J2626" s="4"/>
      <c r="BC2626" s="117"/>
      <c r="BD2626" s="117"/>
    </row>
    <row r="2627" spans="1:56" ht="15">
      <c r="A2627" s="114"/>
      <c r="B2627" s="269" t="s">
        <v>517</v>
      </c>
      <c r="C2627" s="270">
        <v>1.4389000000000001</v>
      </c>
      <c r="D2627" s="270">
        <v>2.4609999999999999</v>
      </c>
      <c r="E2627" s="270">
        <v>2.1</v>
      </c>
      <c r="F2627" s="270">
        <v>5.95</v>
      </c>
      <c r="G2627" s="256">
        <f>C2627*E2627</f>
        <v>3.0216900000000004</v>
      </c>
      <c r="H2627" s="256">
        <f>2*C2627+D2627*E2627+F2627*E2627</f>
        <v>20.540900000000001</v>
      </c>
      <c r="I2627" s="3"/>
      <c r="J2627" s="4"/>
      <c r="BC2627" s="117"/>
      <c r="BD2627" s="117"/>
    </row>
    <row r="2628" spans="1:56" ht="15">
      <c r="A2628" s="114"/>
      <c r="B2628" s="244" t="s">
        <v>1722</v>
      </c>
      <c r="C2628" s="245">
        <v>1.6967000000000001</v>
      </c>
      <c r="D2628" s="245">
        <v>3.34</v>
      </c>
      <c r="E2628" s="245">
        <v>2.1</v>
      </c>
      <c r="F2628" s="245">
        <v>6.92</v>
      </c>
      <c r="G2628" s="256">
        <f>C2628*E2628</f>
        <v>3.5630700000000002</v>
      </c>
      <c r="H2628" s="256">
        <f>2*C2628+D2628*E2628+F2628*E2628</f>
        <v>24.939399999999999</v>
      </c>
      <c r="I2628" s="3"/>
      <c r="J2628" s="114"/>
      <c r="BA2628" s="117"/>
      <c r="BB2628" s="117"/>
      <c r="BC2628" s="117"/>
      <c r="BD2628" s="117"/>
    </row>
    <row r="2629" spans="1:56">
      <c r="A2629" s="114"/>
      <c r="B2629" s="140"/>
      <c r="C2629" s="213"/>
      <c r="D2629" s="213"/>
      <c r="E2629" s="115"/>
      <c r="F2629" s="254" t="s">
        <v>76</v>
      </c>
      <c r="G2629" s="228">
        <f>SUM(G2627:G2628)</f>
        <v>6.5847600000000011</v>
      </c>
      <c r="H2629" s="228">
        <f>SUM(H2627:H2628)</f>
        <v>45.4803</v>
      </c>
      <c r="I2629" s="3"/>
      <c r="J2629" s="114"/>
      <c r="AZ2629" s="117"/>
      <c r="BA2629" s="117"/>
      <c r="BB2629" s="117"/>
      <c r="BC2629" s="117"/>
      <c r="BD2629" s="117"/>
    </row>
    <row r="2630" spans="1:56" ht="15">
      <c r="A2630" s="114"/>
      <c r="B2630" s="140"/>
      <c r="C2630" s="213"/>
      <c r="D2630" s="213"/>
      <c r="E2630" s="236"/>
      <c r="F2630" s="213"/>
      <c r="G2630" s="212"/>
      <c r="H2630" s="210"/>
      <c r="I2630" s="3"/>
      <c r="J2630" s="114"/>
      <c r="AZ2630" s="117"/>
      <c r="BA2630" s="117"/>
      <c r="BB2630" s="117"/>
      <c r="BC2630" s="117"/>
      <c r="BD2630" s="117"/>
    </row>
    <row r="2631" spans="1:56" ht="15">
      <c r="A2631" s="114"/>
      <c r="B2631" s="242" t="s">
        <v>1721</v>
      </c>
      <c r="C2631" s="199" t="s">
        <v>61</v>
      </c>
      <c r="D2631" s="199" t="s">
        <v>82</v>
      </c>
      <c r="E2631" s="199" t="s">
        <v>66</v>
      </c>
      <c r="F2631" s="199" t="s">
        <v>62</v>
      </c>
      <c r="G2631" s="243" t="s">
        <v>99</v>
      </c>
      <c r="H2631" s="243" t="s">
        <v>68</v>
      </c>
      <c r="I2631" s="82"/>
      <c r="J2631" s="114"/>
      <c r="BB2631" s="117"/>
      <c r="BC2631" s="117"/>
      <c r="BD2631" s="117"/>
    </row>
    <row r="2632" spans="1:56" ht="15">
      <c r="A2632" s="114"/>
      <c r="B2632" s="244" t="s">
        <v>1723</v>
      </c>
      <c r="C2632" s="200">
        <v>1</v>
      </c>
      <c r="D2632" s="245">
        <v>0.3</v>
      </c>
      <c r="E2632" s="201">
        <v>0.5</v>
      </c>
      <c r="F2632" s="201">
        <v>1.5</v>
      </c>
      <c r="G2632" s="202">
        <f t="shared" ref="G2632" si="295">D2632*E2632*F2632*C2632</f>
        <v>0.22499999999999998</v>
      </c>
      <c r="H2632" s="202">
        <f t="shared" ref="H2632" si="296">((E2632*2)+D2632)*F2632*C2632</f>
        <v>1.9500000000000002</v>
      </c>
      <c r="I2632" s="82"/>
      <c r="J2632" s="114"/>
      <c r="BB2632" s="117"/>
      <c r="BC2632" s="117"/>
      <c r="BD2632" s="117"/>
    </row>
    <row r="2633" spans="1:56" ht="15">
      <c r="A2633" s="114"/>
      <c r="B2633" s="310"/>
      <c r="C2633" s="114"/>
      <c r="D2633" s="114"/>
      <c r="E2633" s="117"/>
      <c r="F2633" s="254" t="s">
        <v>767</v>
      </c>
      <c r="G2633" s="633">
        <f>G2632</f>
        <v>0.22499999999999998</v>
      </c>
      <c r="H2633" s="698">
        <f>H2632</f>
        <v>1.9500000000000002</v>
      </c>
      <c r="I2633" s="114"/>
      <c r="J2633" s="114"/>
      <c r="BA2633" s="117"/>
      <c r="BB2633" s="117"/>
      <c r="BC2633" s="117"/>
      <c r="BD2633" s="117"/>
    </row>
    <row r="2634" spans="1:56" ht="15">
      <c r="A2634" s="114"/>
      <c r="B2634" s="293"/>
      <c r="C2634" s="81"/>
      <c r="D2634" s="81"/>
      <c r="E2634" s="81"/>
      <c r="F2634" s="81"/>
      <c r="G2634" s="81"/>
      <c r="H2634" s="82"/>
      <c r="I2634" s="82"/>
      <c r="J2634" s="114"/>
      <c r="BB2634" s="117"/>
      <c r="BC2634" s="117"/>
      <c r="BD2634" s="117"/>
    </row>
    <row r="2635" spans="1:56" ht="15">
      <c r="A2635" s="114"/>
      <c r="B2635" s="697" t="s">
        <v>2235</v>
      </c>
      <c r="C2635" s="623"/>
      <c r="D2635" s="623"/>
      <c r="E2635" s="623"/>
      <c r="F2635" s="623"/>
      <c r="G2635" s="623"/>
      <c r="H2635" s="624"/>
      <c r="I2635" s="624"/>
      <c r="J2635" s="625"/>
      <c r="BB2635" s="117"/>
      <c r="BC2635" s="117"/>
      <c r="BD2635" s="117"/>
    </row>
    <row r="2636" spans="1:56" ht="15">
      <c r="A2636" s="114"/>
      <c r="B2636" s="293"/>
      <c r="C2636" s="81"/>
      <c r="D2636" s="81"/>
      <c r="E2636" s="81"/>
      <c r="F2636" s="81"/>
      <c r="G2636" s="81"/>
      <c r="H2636" s="82"/>
      <c r="I2636" s="82"/>
      <c r="J2636" s="114"/>
      <c r="BB2636" s="117"/>
      <c r="BC2636" s="117"/>
      <c r="BD2636" s="117"/>
    </row>
    <row r="2637" spans="1:56" ht="15">
      <c r="A2637" s="114"/>
      <c r="B2637" s="696" t="s">
        <v>1724</v>
      </c>
      <c r="C2637" s="199" t="s">
        <v>296</v>
      </c>
      <c r="D2637" s="199" t="s">
        <v>516</v>
      </c>
      <c r="E2637" s="199" t="s">
        <v>65</v>
      </c>
      <c r="F2637" s="199" t="s">
        <v>297</v>
      </c>
      <c r="G2637" s="268" t="s">
        <v>104</v>
      </c>
      <c r="H2637" s="268" t="s">
        <v>105</v>
      </c>
      <c r="I2637" s="3"/>
      <c r="J2637" s="4"/>
      <c r="BC2637" s="117"/>
      <c r="BD2637" s="117"/>
    </row>
    <row r="2638" spans="1:56" ht="15">
      <c r="A2638" s="114"/>
      <c r="B2638" s="269" t="s">
        <v>517</v>
      </c>
      <c r="C2638" s="270">
        <v>1.4389000000000001</v>
      </c>
      <c r="D2638" s="270">
        <v>2.4609999999999999</v>
      </c>
      <c r="E2638" s="270">
        <v>2.1</v>
      </c>
      <c r="F2638" s="270">
        <v>5.95</v>
      </c>
      <c r="G2638" s="256">
        <f>C2638*E2638</f>
        <v>3.0216900000000004</v>
      </c>
      <c r="H2638" s="256">
        <f>2*C2638+D2638*E2638+F2638*E2638</f>
        <v>20.540900000000001</v>
      </c>
      <c r="I2638" s="3"/>
      <c r="J2638" s="4"/>
      <c r="BC2638" s="117"/>
      <c r="BD2638" s="117"/>
    </row>
    <row r="2639" spans="1:56" ht="15">
      <c r="A2639" s="114"/>
      <c r="B2639" s="244" t="s">
        <v>1722</v>
      </c>
      <c r="C2639" s="245">
        <v>1.6967000000000001</v>
      </c>
      <c r="D2639" s="245">
        <v>3.34</v>
      </c>
      <c r="E2639" s="245">
        <v>2.1</v>
      </c>
      <c r="F2639" s="245">
        <v>6.92</v>
      </c>
      <c r="G2639" s="256">
        <f>C2639*E2639</f>
        <v>3.5630700000000002</v>
      </c>
      <c r="H2639" s="256">
        <f>2*C2639+D2639*E2639+F2639*E2639</f>
        <v>24.939399999999999</v>
      </c>
      <c r="I2639" s="3"/>
      <c r="J2639" s="114"/>
      <c r="BA2639" s="117"/>
      <c r="BB2639" s="117"/>
      <c r="BC2639" s="117"/>
      <c r="BD2639" s="117"/>
    </row>
    <row r="2640" spans="1:56">
      <c r="A2640" s="114"/>
      <c r="B2640" s="140"/>
      <c r="C2640" s="213"/>
      <c r="D2640" s="213"/>
      <c r="E2640" s="115"/>
      <c r="F2640" s="254" t="s">
        <v>76</v>
      </c>
      <c r="G2640" s="228">
        <f>SUM(G2638:G2639)</f>
        <v>6.5847600000000011</v>
      </c>
      <c r="H2640" s="228">
        <f>SUM(H2638:H2639)</f>
        <v>45.4803</v>
      </c>
      <c r="I2640" s="3"/>
      <c r="J2640" s="114"/>
      <c r="AZ2640" s="117"/>
      <c r="BA2640" s="117"/>
      <c r="BB2640" s="117"/>
      <c r="BC2640" s="117"/>
      <c r="BD2640" s="117"/>
    </row>
    <row r="2641" spans="1:56" ht="15">
      <c r="A2641" s="114"/>
      <c r="B2641" s="140"/>
      <c r="C2641" s="213"/>
      <c r="D2641" s="213"/>
      <c r="E2641" s="236"/>
      <c r="F2641" s="213"/>
      <c r="G2641" s="212"/>
      <c r="H2641" s="210"/>
      <c r="I2641" s="3"/>
      <c r="J2641" s="114"/>
      <c r="AZ2641" s="117"/>
      <c r="BA2641" s="117"/>
      <c r="BB2641" s="117"/>
      <c r="BC2641" s="117"/>
      <c r="BD2641" s="117"/>
    </row>
    <row r="2642" spans="1:56" ht="15">
      <c r="A2642" s="114"/>
      <c r="B2642" s="242" t="s">
        <v>1721</v>
      </c>
      <c r="C2642" s="199" t="s">
        <v>61</v>
      </c>
      <c r="D2642" s="199" t="s">
        <v>82</v>
      </c>
      <c r="E2642" s="199" t="s">
        <v>66</v>
      </c>
      <c r="F2642" s="199" t="s">
        <v>62</v>
      </c>
      <c r="G2642" s="243" t="s">
        <v>99</v>
      </c>
      <c r="H2642" s="243" t="s">
        <v>68</v>
      </c>
      <c r="I2642" s="82"/>
      <c r="J2642" s="114"/>
      <c r="BB2642" s="117"/>
      <c r="BC2642" s="117"/>
      <c r="BD2642" s="117"/>
    </row>
    <row r="2643" spans="1:56" ht="15">
      <c r="A2643" s="114"/>
      <c r="B2643" s="244" t="s">
        <v>1725</v>
      </c>
      <c r="C2643" s="200">
        <v>1</v>
      </c>
      <c r="D2643" s="245">
        <v>0.3</v>
      </c>
      <c r="E2643" s="201">
        <v>0.5</v>
      </c>
      <c r="F2643" s="201">
        <v>1.5</v>
      </c>
      <c r="G2643" s="202">
        <f t="shared" ref="G2643" si="297">D2643*E2643*F2643*C2643</f>
        <v>0.22499999999999998</v>
      </c>
      <c r="H2643" s="202">
        <f t="shared" ref="H2643" si="298">((E2643*2)+D2643)*F2643*C2643</f>
        <v>1.9500000000000002</v>
      </c>
      <c r="I2643" s="82"/>
      <c r="J2643" s="114"/>
      <c r="BB2643" s="117"/>
      <c r="BC2643" s="117"/>
      <c r="BD2643" s="117"/>
    </row>
    <row r="2644" spans="1:56" ht="15">
      <c r="A2644" s="114"/>
      <c r="B2644" s="310"/>
      <c r="C2644" s="114"/>
      <c r="D2644" s="114"/>
      <c r="E2644" s="117"/>
      <c r="F2644" s="254" t="s">
        <v>767</v>
      </c>
      <c r="G2644" s="633">
        <f>G2643</f>
        <v>0.22499999999999998</v>
      </c>
      <c r="H2644" s="698">
        <f>H2643</f>
        <v>1.9500000000000002</v>
      </c>
      <c r="I2644" s="114"/>
      <c r="J2644" s="114"/>
      <c r="BA2644" s="117"/>
      <c r="BB2644" s="117"/>
      <c r="BC2644" s="117"/>
      <c r="BD2644" s="117"/>
    </row>
    <row r="2645" spans="1:56" ht="15">
      <c r="A2645" s="114"/>
      <c r="B2645" s="310"/>
      <c r="C2645" s="114"/>
      <c r="D2645" s="114"/>
      <c r="E2645" s="227"/>
      <c r="F2645" s="638"/>
      <c r="G2645" s="638"/>
      <c r="H2645" s="114"/>
      <c r="I2645" s="114"/>
      <c r="J2645" s="114"/>
      <c r="AZ2645" s="117"/>
      <c r="BA2645" s="117"/>
      <c r="BB2645" s="117"/>
      <c r="BC2645" s="117"/>
      <c r="BD2645" s="117"/>
    </row>
    <row r="2646" spans="1:56" ht="15">
      <c r="A2646" s="114"/>
      <c r="B2646" s="293"/>
      <c r="C2646" s="81"/>
      <c r="D2646" s="81"/>
      <c r="E2646" s="81"/>
      <c r="F2646" s="81"/>
      <c r="G2646" s="81"/>
      <c r="H2646" s="82"/>
      <c r="I2646" s="82"/>
      <c r="J2646" s="114"/>
      <c r="BB2646" s="117"/>
      <c r="BC2646" s="117"/>
      <c r="BD2646" s="117"/>
    </row>
    <row r="2647" spans="1:56" ht="15">
      <c r="A2647" s="114"/>
      <c r="B2647" s="696" t="s">
        <v>1726</v>
      </c>
      <c r="C2647" s="199" t="s">
        <v>296</v>
      </c>
      <c r="D2647" s="199" t="s">
        <v>516</v>
      </c>
      <c r="E2647" s="199" t="s">
        <v>65</v>
      </c>
      <c r="F2647" s="199" t="s">
        <v>297</v>
      </c>
      <c r="G2647" s="268" t="s">
        <v>104</v>
      </c>
      <c r="H2647" s="268" t="s">
        <v>105</v>
      </c>
      <c r="I2647" s="3"/>
      <c r="J2647" s="4"/>
      <c r="BC2647" s="117"/>
      <c r="BD2647" s="117"/>
    </row>
    <row r="2648" spans="1:56" ht="15">
      <c r="A2648" s="114"/>
      <c r="B2648" s="269" t="s">
        <v>517</v>
      </c>
      <c r="C2648" s="270">
        <v>1.50265</v>
      </c>
      <c r="D2648" s="270">
        <v>2.6360000000000001</v>
      </c>
      <c r="E2648" s="270">
        <v>3.5529999999999999</v>
      </c>
      <c r="F2648" s="270">
        <v>5.76</v>
      </c>
      <c r="G2648" s="256">
        <f>C2648*E2648</f>
        <v>5.33891545</v>
      </c>
      <c r="H2648" s="256">
        <f>2*C2648+D2648*E2648+F2648*E2648</f>
        <v>32.836287999999996</v>
      </c>
      <c r="I2648" s="3"/>
      <c r="J2648" s="4"/>
      <c r="BC2648" s="117"/>
      <c r="BD2648" s="117"/>
    </row>
    <row r="2649" spans="1:56" ht="15">
      <c r="A2649" s="114"/>
      <c r="B2649" s="244" t="s">
        <v>1722</v>
      </c>
      <c r="C2649" s="245">
        <v>1.6371</v>
      </c>
      <c r="D2649" s="245">
        <v>3.165</v>
      </c>
      <c r="E2649" s="245">
        <v>3.55</v>
      </c>
      <c r="F2649" s="245">
        <v>6.72</v>
      </c>
      <c r="G2649" s="256">
        <f>C2649*E2649</f>
        <v>5.8117049999999999</v>
      </c>
      <c r="H2649" s="256">
        <f>2*C2649+D2649*E2649+F2649*E2649</f>
        <v>38.365949999999998</v>
      </c>
      <c r="I2649" s="3"/>
      <c r="J2649" s="114"/>
      <c r="BA2649" s="117"/>
      <c r="BB2649" s="117"/>
      <c r="BC2649" s="117"/>
      <c r="BD2649" s="117"/>
    </row>
    <row r="2650" spans="1:56">
      <c r="A2650" s="114"/>
      <c r="B2650" s="140"/>
      <c r="C2650" s="213"/>
      <c r="D2650" s="213"/>
      <c r="E2650" s="115"/>
      <c r="F2650" s="254" t="s">
        <v>76</v>
      </c>
      <c r="G2650" s="228">
        <f>SUM(G2648:G2649)</f>
        <v>11.15062045</v>
      </c>
      <c r="H2650" s="228">
        <f>SUM(H2648:H2649)</f>
        <v>71.202237999999994</v>
      </c>
      <c r="I2650" s="3"/>
      <c r="J2650" s="114"/>
      <c r="AZ2650" s="117"/>
      <c r="BA2650" s="117"/>
      <c r="BB2650" s="117"/>
      <c r="BC2650" s="117"/>
      <c r="BD2650" s="117"/>
    </row>
    <row r="2651" spans="1:56" ht="15">
      <c r="A2651" s="114"/>
      <c r="B2651" s="140"/>
      <c r="C2651" s="213"/>
      <c r="D2651" s="213"/>
      <c r="E2651" s="236"/>
      <c r="F2651" s="213"/>
      <c r="G2651" s="212"/>
      <c r="H2651" s="210"/>
      <c r="I2651" s="3"/>
      <c r="J2651" s="114"/>
      <c r="AZ2651" s="117"/>
      <c r="BA2651" s="117"/>
      <c r="BB2651" s="117"/>
      <c r="BC2651" s="117"/>
      <c r="BD2651" s="117"/>
    </row>
    <row r="2652" spans="1:56" ht="15">
      <c r="A2652" s="114"/>
      <c r="B2652" s="242" t="s">
        <v>1721</v>
      </c>
      <c r="C2652" s="199" t="s">
        <v>61</v>
      </c>
      <c r="D2652" s="199" t="s">
        <v>82</v>
      </c>
      <c r="E2652" s="199" t="s">
        <v>66</v>
      </c>
      <c r="F2652" s="199" t="s">
        <v>62</v>
      </c>
      <c r="G2652" s="243" t="s">
        <v>99</v>
      </c>
      <c r="H2652" s="243" t="s">
        <v>68</v>
      </c>
      <c r="I2652" s="82"/>
      <c r="J2652" s="114"/>
      <c r="BB2652" s="117"/>
      <c r="BC2652" s="117"/>
      <c r="BD2652" s="117"/>
    </row>
    <row r="2653" spans="1:56" ht="15">
      <c r="A2653" s="114"/>
      <c r="B2653" s="244" t="s">
        <v>1727</v>
      </c>
      <c r="C2653" s="200">
        <v>1</v>
      </c>
      <c r="D2653" s="245">
        <v>0.3</v>
      </c>
      <c r="E2653" s="201">
        <v>0.5</v>
      </c>
      <c r="F2653" s="201">
        <v>2.25</v>
      </c>
      <c r="G2653" s="202">
        <f t="shared" ref="G2653" si="299">D2653*E2653*F2653*C2653</f>
        <v>0.33749999999999997</v>
      </c>
      <c r="H2653" s="202">
        <f t="shared" ref="H2653" si="300">((E2653*2)+D2653)*F2653*C2653</f>
        <v>2.9250000000000003</v>
      </c>
      <c r="I2653" s="82"/>
      <c r="J2653" s="114"/>
      <c r="BB2653" s="117"/>
      <c r="BC2653" s="117"/>
      <c r="BD2653" s="117"/>
    </row>
    <row r="2654" spans="1:56" ht="15">
      <c r="A2654" s="114"/>
      <c r="B2654" s="310"/>
      <c r="C2654" s="114"/>
      <c r="D2654" s="114"/>
      <c r="E2654" s="117"/>
      <c r="F2654" s="254" t="s">
        <v>767</v>
      </c>
      <c r="G2654" s="633">
        <f>G2653</f>
        <v>0.33749999999999997</v>
      </c>
      <c r="H2654" s="698">
        <f>H2653</f>
        <v>2.9250000000000003</v>
      </c>
      <c r="I2654" s="114"/>
      <c r="J2654" s="114"/>
      <c r="BA2654" s="117"/>
      <c r="BB2654" s="117"/>
      <c r="BC2654" s="117"/>
      <c r="BD2654" s="117"/>
    </row>
    <row r="2655" spans="1:56" ht="15">
      <c r="A2655" s="114"/>
      <c r="B2655" s="310"/>
      <c r="C2655" s="114"/>
      <c r="D2655" s="114"/>
      <c r="E2655" s="227"/>
      <c r="F2655" s="638"/>
      <c r="G2655" s="638"/>
      <c r="H2655" s="114"/>
      <c r="I2655" s="114"/>
      <c r="J2655" s="114"/>
      <c r="AZ2655" s="117"/>
      <c r="BA2655" s="117"/>
      <c r="BB2655" s="117"/>
      <c r="BC2655" s="117"/>
      <c r="BD2655" s="117"/>
    </row>
    <row r="2656" spans="1:56" ht="15">
      <c r="A2656" s="114"/>
      <c r="B2656" s="697" t="s">
        <v>2236</v>
      </c>
      <c r="C2656" s="623"/>
      <c r="D2656" s="623"/>
      <c r="E2656" s="623"/>
      <c r="F2656" s="623"/>
      <c r="G2656" s="623"/>
      <c r="H2656" s="624"/>
      <c r="I2656" s="624"/>
      <c r="J2656" s="625"/>
      <c r="BB2656" s="117"/>
      <c r="BC2656" s="117"/>
      <c r="BD2656" s="117"/>
    </row>
    <row r="2657" spans="1:56" ht="15">
      <c r="A2657" s="114"/>
      <c r="B2657" s="293"/>
      <c r="C2657" s="81"/>
      <c r="D2657" s="81"/>
      <c r="E2657" s="81"/>
      <c r="F2657" s="81"/>
      <c r="G2657" s="81"/>
      <c r="H2657" s="82"/>
      <c r="I2657" s="82"/>
      <c r="J2657" s="114"/>
      <c r="BB2657" s="117"/>
      <c r="BC2657" s="117"/>
      <c r="BD2657" s="117"/>
    </row>
    <row r="2658" spans="1:56" ht="15">
      <c r="A2658" s="114"/>
      <c r="B2658" s="696" t="s">
        <v>1728</v>
      </c>
      <c r="C2658" s="199" t="s">
        <v>296</v>
      </c>
      <c r="D2658" s="199" t="s">
        <v>516</v>
      </c>
      <c r="E2658" s="199" t="s">
        <v>65</v>
      </c>
      <c r="F2658" s="199" t="s">
        <v>297</v>
      </c>
      <c r="G2658" s="268" t="s">
        <v>104</v>
      </c>
      <c r="H2658" s="268" t="s">
        <v>105</v>
      </c>
      <c r="I2658" s="3"/>
      <c r="J2658" s="4"/>
      <c r="BC2658" s="117"/>
      <c r="BD2658" s="117"/>
    </row>
    <row r="2659" spans="1:56" ht="15">
      <c r="A2659" s="114"/>
      <c r="B2659" s="269" t="s">
        <v>1716</v>
      </c>
      <c r="C2659" s="270">
        <v>1.752</v>
      </c>
      <c r="D2659" s="270">
        <v>2.9</v>
      </c>
      <c r="E2659" s="270">
        <v>1.9750000000000001</v>
      </c>
      <c r="F2659" s="270">
        <v>7.2</v>
      </c>
      <c r="G2659" s="256">
        <f t="shared" ref="G2659:G2664" si="301">C2659*E2659</f>
        <v>3.4601999999999999</v>
      </c>
      <c r="H2659" s="256">
        <f t="shared" ref="H2659:H2664" si="302">2*C2659+D2659*E2659+F2659*E2659</f>
        <v>23.451500000000003</v>
      </c>
      <c r="I2659" s="3"/>
      <c r="J2659" s="4"/>
      <c r="BC2659" s="117"/>
      <c r="BD2659" s="117"/>
    </row>
    <row r="2660" spans="1:56" ht="15">
      <c r="A2660" s="114"/>
      <c r="B2660" s="244" t="s">
        <v>1729</v>
      </c>
      <c r="C2660" s="245">
        <v>1.8042</v>
      </c>
      <c r="D2660" s="245">
        <v>2.9</v>
      </c>
      <c r="E2660" s="245">
        <v>1.9750000000000001</v>
      </c>
      <c r="F2660" s="245">
        <v>7.9</v>
      </c>
      <c r="G2660" s="256">
        <f t="shared" si="301"/>
        <v>3.5632950000000001</v>
      </c>
      <c r="H2660" s="256">
        <f t="shared" si="302"/>
        <v>24.938400000000001</v>
      </c>
      <c r="I2660" s="3"/>
      <c r="J2660" s="114"/>
      <c r="BA2660" s="117"/>
      <c r="BB2660" s="117"/>
      <c r="BC2660" s="117"/>
      <c r="BD2660" s="117"/>
    </row>
    <row r="2661" spans="1:56" ht="15">
      <c r="A2661" s="114"/>
      <c r="B2661" s="244" t="s">
        <v>1730</v>
      </c>
      <c r="C2661" s="245">
        <v>1.6963999999999999</v>
      </c>
      <c r="D2661" s="245">
        <v>2.2400000000000002</v>
      </c>
      <c r="E2661" s="245">
        <v>1.9750000000000001</v>
      </c>
      <c r="F2661" s="245">
        <v>7.46</v>
      </c>
      <c r="G2661" s="256">
        <f t="shared" si="301"/>
        <v>3.35039</v>
      </c>
      <c r="H2661" s="256">
        <f t="shared" si="302"/>
        <v>22.5503</v>
      </c>
      <c r="I2661" s="3"/>
      <c r="J2661" s="114"/>
      <c r="BA2661" s="117"/>
      <c r="BB2661" s="117"/>
      <c r="BC2661" s="117"/>
      <c r="BD2661" s="117"/>
    </row>
    <row r="2662" spans="1:56" ht="15">
      <c r="A2662" s="114"/>
      <c r="B2662" s="244" t="s">
        <v>1731</v>
      </c>
      <c r="C2662" s="245">
        <v>1.4634</v>
      </c>
      <c r="D2662" s="245">
        <v>2.1349999999999998</v>
      </c>
      <c r="E2662" s="245">
        <v>1.9750000000000001</v>
      </c>
      <c r="F2662" s="245">
        <v>6.3</v>
      </c>
      <c r="G2662" s="256">
        <f t="shared" si="301"/>
        <v>2.890215</v>
      </c>
      <c r="H2662" s="256">
        <f t="shared" si="302"/>
        <v>19.585925</v>
      </c>
      <c r="I2662" s="3"/>
      <c r="J2662" s="114"/>
      <c r="BA2662" s="117"/>
      <c r="BB2662" s="117"/>
      <c r="BC2662" s="117"/>
      <c r="BD2662" s="117"/>
    </row>
    <row r="2663" spans="1:56" ht="15">
      <c r="A2663" s="114"/>
      <c r="B2663" s="244" t="s">
        <v>1732</v>
      </c>
      <c r="C2663" s="245">
        <v>1.54</v>
      </c>
      <c r="D2663" s="245">
        <v>1.905</v>
      </c>
      <c r="E2663" s="245">
        <v>1.9750000000000001</v>
      </c>
      <c r="F2663" s="245">
        <v>6.26</v>
      </c>
      <c r="G2663" s="256">
        <f t="shared" si="301"/>
        <v>3.0415000000000001</v>
      </c>
      <c r="H2663" s="256">
        <f t="shared" si="302"/>
        <v>19.205874999999999</v>
      </c>
      <c r="I2663" s="3"/>
      <c r="J2663" s="114"/>
      <c r="BA2663" s="117"/>
      <c r="BB2663" s="117"/>
      <c r="BC2663" s="117"/>
      <c r="BD2663" s="117"/>
    </row>
    <row r="2664" spans="1:56" ht="15">
      <c r="A2664" s="114"/>
      <c r="B2664" s="244" t="s">
        <v>1733</v>
      </c>
      <c r="C2664" s="245">
        <v>1.2649999999999999</v>
      </c>
      <c r="D2664" s="245">
        <v>1.82</v>
      </c>
      <c r="E2664" s="245">
        <v>1.9750000000000001</v>
      </c>
      <c r="F2664" s="245">
        <v>5.53</v>
      </c>
      <c r="G2664" s="256">
        <f t="shared" si="301"/>
        <v>2.4983749999999998</v>
      </c>
      <c r="H2664" s="256">
        <f t="shared" si="302"/>
        <v>17.046250000000001</v>
      </c>
      <c r="I2664" s="3"/>
      <c r="J2664" s="114"/>
      <c r="BA2664" s="117"/>
      <c r="BB2664" s="117"/>
      <c r="BC2664" s="117"/>
      <c r="BD2664" s="117"/>
    </row>
    <row r="2665" spans="1:56">
      <c r="A2665" s="114"/>
      <c r="B2665" s="140"/>
      <c r="C2665" s="213"/>
      <c r="D2665" s="213"/>
      <c r="E2665" s="115"/>
      <c r="F2665" s="254" t="s">
        <v>76</v>
      </c>
      <c r="G2665" s="633">
        <f>SUM(G2659:G2664)</f>
        <v>18.803975000000001</v>
      </c>
      <c r="H2665" s="633">
        <f>SUM(H2659:H2664)</f>
        <v>126.77825</v>
      </c>
      <c r="I2665" s="3"/>
      <c r="J2665" s="114"/>
      <c r="AZ2665" s="117"/>
      <c r="BA2665" s="117"/>
      <c r="BB2665" s="117"/>
      <c r="BC2665" s="117"/>
      <c r="BD2665" s="117"/>
    </row>
    <row r="2666" spans="1:56" ht="15">
      <c r="A2666" s="114"/>
      <c r="B2666" s="140"/>
      <c r="C2666" s="213"/>
      <c r="D2666" s="213"/>
      <c r="E2666" s="236"/>
      <c r="F2666" s="213"/>
      <c r="G2666" s="212"/>
      <c r="H2666" s="210"/>
      <c r="I2666" s="3"/>
      <c r="J2666" s="114"/>
      <c r="AZ2666" s="117"/>
      <c r="BA2666" s="117"/>
      <c r="BB2666" s="117"/>
      <c r="BC2666" s="117"/>
      <c r="BD2666" s="117"/>
    </row>
    <row r="2667" spans="1:56" ht="15">
      <c r="A2667" s="114"/>
      <c r="B2667" s="242" t="s">
        <v>1734</v>
      </c>
      <c r="C2667" s="199" t="s">
        <v>61</v>
      </c>
      <c r="D2667" s="199" t="s">
        <v>82</v>
      </c>
      <c r="E2667" s="199" t="s">
        <v>66</v>
      </c>
      <c r="F2667" s="199" t="s">
        <v>62</v>
      </c>
      <c r="G2667" s="243" t="s">
        <v>99</v>
      </c>
      <c r="H2667" s="243" t="s">
        <v>68</v>
      </c>
      <c r="I2667" s="82"/>
      <c r="J2667" s="114"/>
      <c r="BB2667" s="117"/>
      <c r="BC2667" s="117"/>
      <c r="BD2667" s="117"/>
    </row>
    <row r="2668" spans="1:56" ht="15">
      <c r="A2668" s="114"/>
      <c r="B2668" s="244" t="s">
        <v>212</v>
      </c>
      <c r="C2668" s="200">
        <v>1</v>
      </c>
      <c r="D2668" s="245">
        <v>0.2</v>
      </c>
      <c r="E2668" s="201">
        <v>0.5</v>
      </c>
      <c r="F2668" s="201">
        <v>3.5350000000000001</v>
      </c>
      <c r="G2668" s="202">
        <f t="shared" ref="G2668" si="303">D2668*E2668*F2668*C2668</f>
        <v>0.35350000000000004</v>
      </c>
      <c r="H2668" s="202">
        <f t="shared" ref="H2668" si="304">((E2668*2)+D2668)*F2668*C2668</f>
        <v>4.242</v>
      </c>
      <c r="I2668" s="82"/>
      <c r="J2668" s="114"/>
      <c r="BB2668" s="117"/>
      <c r="BC2668" s="117"/>
      <c r="BD2668" s="117"/>
    </row>
    <row r="2669" spans="1:56" ht="15">
      <c r="A2669" s="114"/>
      <c r="B2669" s="244" t="s">
        <v>213</v>
      </c>
      <c r="C2669" s="200">
        <v>1</v>
      </c>
      <c r="D2669" s="245">
        <v>0.2</v>
      </c>
      <c r="E2669" s="201">
        <v>0.5</v>
      </c>
      <c r="F2669" s="201">
        <v>3.5350000000000001</v>
      </c>
      <c r="G2669" s="202">
        <f t="shared" ref="G2669" si="305">D2669*E2669*F2669*C2669</f>
        <v>0.35350000000000004</v>
      </c>
      <c r="H2669" s="202">
        <f t="shared" ref="H2669" si="306">((E2669*2)+D2669)*F2669*C2669</f>
        <v>4.242</v>
      </c>
      <c r="I2669" s="82"/>
      <c r="J2669" s="114"/>
      <c r="BB2669" s="117"/>
      <c r="BC2669" s="117"/>
      <c r="BD2669" s="117"/>
    </row>
    <row r="2670" spans="1:56" ht="15">
      <c r="A2670" s="114"/>
      <c r="B2670" s="244" t="s">
        <v>214</v>
      </c>
      <c r="C2670" s="200">
        <v>1</v>
      </c>
      <c r="D2670" s="245">
        <v>0.2</v>
      </c>
      <c r="E2670" s="201">
        <v>0.5</v>
      </c>
      <c r="F2670" s="201">
        <v>3.5350000000000001</v>
      </c>
      <c r="G2670" s="202">
        <f t="shared" ref="G2670" si="307">D2670*E2670*F2670*C2670</f>
        <v>0.35350000000000004</v>
      </c>
      <c r="H2670" s="202">
        <f t="shared" ref="H2670" si="308">((E2670*2)+D2670)*F2670*C2670</f>
        <v>4.242</v>
      </c>
      <c r="I2670" s="82"/>
      <c r="J2670" s="114"/>
      <c r="BB2670" s="117"/>
      <c r="BC2670" s="117"/>
      <c r="BD2670" s="117"/>
    </row>
    <row r="2671" spans="1:56" ht="15">
      <c r="A2671" s="114"/>
      <c r="B2671" s="310"/>
      <c r="C2671" s="114"/>
      <c r="D2671" s="114"/>
      <c r="E2671" s="117"/>
      <c r="F2671" s="254" t="s">
        <v>767</v>
      </c>
      <c r="G2671" s="633">
        <f>SUM(G2668:G2670)</f>
        <v>1.0605000000000002</v>
      </c>
      <c r="H2671" s="633">
        <f>SUM(H2668:H2670)</f>
        <v>12.725999999999999</v>
      </c>
      <c r="I2671" s="114"/>
      <c r="J2671" s="114"/>
      <c r="BA2671" s="117"/>
      <c r="BB2671" s="117"/>
      <c r="BC2671" s="117"/>
      <c r="BD2671" s="117"/>
    </row>
    <row r="2672" spans="1:56" ht="15">
      <c r="A2672" s="114"/>
      <c r="B2672" s="310"/>
      <c r="C2672" s="114"/>
      <c r="D2672" s="114"/>
      <c r="E2672" s="227"/>
      <c r="F2672" s="638"/>
      <c r="G2672" s="638"/>
      <c r="H2672" s="114"/>
      <c r="I2672" s="114"/>
      <c r="J2672" s="114"/>
      <c r="AZ2672" s="117"/>
      <c r="BA2672" s="117"/>
      <c r="BB2672" s="117"/>
      <c r="BC2672" s="117"/>
      <c r="BD2672" s="117"/>
    </row>
    <row r="2673" spans="1:56" ht="15">
      <c r="A2673" s="114"/>
      <c r="B2673" s="293"/>
      <c r="C2673" s="81"/>
      <c r="D2673" s="81"/>
      <c r="E2673" s="81"/>
      <c r="F2673" s="81"/>
      <c r="G2673" s="81"/>
      <c r="H2673" s="82"/>
      <c r="I2673" s="82"/>
      <c r="J2673" s="114"/>
      <c r="BB2673" s="117"/>
      <c r="BC2673" s="117"/>
      <c r="BD2673" s="117"/>
    </row>
    <row r="2674" spans="1:56" ht="15">
      <c r="A2674" s="114"/>
      <c r="B2674" s="697" t="s">
        <v>2237</v>
      </c>
      <c r="C2674" s="623"/>
      <c r="D2674" s="623"/>
      <c r="E2674" s="623"/>
      <c r="F2674" s="623"/>
      <c r="G2674" s="623"/>
      <c r="H2674" s="624"/>
      <c r="I2674" s="624"/>
      <c r="J2674" s="625"/>
      <c r="BB2674" s="117"/>
      <c r="BC2674" s="117"/>
      <c r="BD2674" s="117"/>
    </row>
    <row r="2675" spans="1:56" ht="15">
      <c r="A2675" s="114"/>
      <c r="B2675" s="293"/>
      <c r="C2675" s="81"/>
      <c r="D2675" s="81"/>
      <c r="E2675" s="81"/>
      <c r="F2675" s="81"/>
      <c r="G2675" s="81"/>
      <c r="H2675" s="82"/>
      <c r="I2675" s="82"/>
      <c r="J2675" s="114"/>
      <c r="BB2675" s="117"/>
      <c r="BC2675" s="117"/>
      <c r="BD2675" s="117"/>
    </row>
    <row r="2676" spans="1:56" ht="15">
      <c r="A2676" s="114"/>
      <c r="B2676" s="696" t="s">
        <v>1756</v>
      </c>
      <c r="C2676" s="199" t="s">
        <v>296</v>
      </c>
      <c r="D2676" s="199" t="s">
        <v>516</v>
      </c>
      <c r="E2676" s="199" t="s">
        <v>65</v>
      </c>
      <c r="F2676" s="199" t="s">
        <v>297</v>
      </c>
      <c r="G2676" s="268" t="s">
        <v>104</v>
      </c>
      <c r="H2676" s="268" t="s">
        <v>105</v>
      </c>
      <c r="I2676" s="3"/>
      <c r="J2676" s="4"/>
      <c r="BC2676" s="117"/>
      <c r="BD2676" s="117"/>
    </row>
    <row r="2677" spans="1:56" ht="15">
      <c r="A2677" s="114"/>
      <c r="B2677" s="269" t="s">
        <v>1738</v>
      </c>
      <c r="C2677" s="270">
        <v>0.4965</v>
      </c>
      <c r="D2677" s="270">
        <v>1.0680000000000001</v>
      </c>
      <c r="E2677" s="270">
        <v>1.2</v>
      </c>
      <c r="F2677" s="270">
        <v>2.59</v>
      </c>
      <c r="G2677" s="256">
        <f t="shared" ref="G2677:G2694" si="309">C2677*E2677</f>
        <v>0.5958</v>
      </c>
      <c r="H2677" s="256">
        <f t="shared" ref="H2677:H2694" si="310">2*C2677+D2677*E2677+F2677*E2677</f>
        <v>5.3826000000000001</v>
      </c>
      <c r="I2677" s="3"/>
      <c r="J2677" s="4"/>
      <c r="BC2677" s="117"/>
      <c r="BD2677" s="117"/>
    </row>
    <row r="2678" spans="1:56" ht="15">
      <c r="A2678" s="114"/>
      <c r="B2678" s="244" t="s">
        <v>1739</v>
      </c>
      <c r="C2678" s="245">
        <v>0.3589</v>
      </c>
      <c r="D2678" s="245">
        <v>0.7</v>
      </c>
      <c r="E2678" s="245">
        <v>1.2</v>
      </c>
      <c r="F2678" s="245">
        <v>1.92</v>
      </c>
      <c r="G2678" s="256">
        <f t="shared" si="309"/>
        <v>0.43068000000000001</v>
      </c>
      <c r="H2678" s="256">
        <f t="shared" si="310"/>
        <v>3.8617999999999997</v>
      </c>
      <c r="I2678" s="3"/>
      <c r="J2678" s="114"/>
      <c r="BA2678" s="117"/>
      <c r="BB2678" s="117"/>
      <c r="BC2678" s="117"/>
      <c r="BD2678" s="117"/>
    </row>
    <row r="2679" spans="1:56" ht="15">
      <c r="A2679" s="114"/>
      <c r="B2679" s="244" t="s">
        <v>1740</v>
      </c>
      <c r="C2679" s="245">
        <v>0.45319999999999999</v>
      </c>
      <c r="D2679" s="245">
        <v>0.87870000000000004</v>
      </c>
      <c r="E2679" s="245">
        <v>1.2</v>
      </c>
      <c r="F2679" s="245">
        <v>2.6</v>
      </c>
      <c r="G2679" s="256">
        <f t="shared" si="309"/>
        <v>0.54383999999999999</v>
      </c>
      <c r="H2679" s="256">
        <f t="shared" si="310"/>
        <v>5.0808400000000002</v>
      </c>
      <c r="I2679" s="3"/>
      <c r="J2679" s="114"/>
      <c r="BA2679" s="117"/>
      <c r="BB2679" s="117"/>
      <c r="BC2679" s="117"/>
      <c r="BD2679" s="117"/>
    </row>
    <row r="2680" spans="1:56" ht="15">
      <c r="A2680" s="114"/>
      <c r="B2680" s="244" t="s">
        <v>1741</v>
      </c>
      <c r="C2680" s="245">
        <v>0.3589</v>
      </c>
      <c r="D2680" s="245">
        <v>0.7</v>
      </c>
      <c r="E2680" s="245">
        <v>1.2</v>
      </c>
      <c r="F2680" s="245">
        <v>1.92</v>
      </c>
      <c r="G2680" s="256">
        <f t="shared" si="309"/>
        <v>0.43068000000000001</v>
      </c>
      <c r="H2680" s="256">
        <f t="shared" si="310"/>
        <v>3.8617999999999997</v>
      </c>
      <c r="I2680" s="3"/>
      <c r="J2680" s="114"/>
      <c r="BA2680" s="117"/>
      <c r="BB2680" s="117"/>
      <c r="BC2680" s="117"/>
      <c r="BD2680" s="117"/>
    </row>
    <row r="2681" spans="1:56" ht="15">
      <c r="A2681" s="114"/>
      <c r="B2681" s="244" t="s">
        <v>1742</v>
      </c>
      <c r="C2681" s="245">
        <v>0.45319999999999999</v>
      </c>
      <c r="D2681" s="245">
        <v>0.87870000000000004</v>
      </c>
      <c r="E2681" s="245">
        <v>1.2</v>
      </c>
      <c r="F2681" s="245">
        <v>2.6</v>
      </c>
      <c r="G2681" s="256">
        <f t="shared" si="309"/>
        <v>0.54383999999999999</v>
      </c>
      <c r="H2681" s="256">
        <f t="shared" si="310"/>
        <v>5.0808400000000002</v>
      </c>
      <c r="I2681" s="3"/>
      <c r="J2681" s="114"/>
      <c r="BA2681" s="117"/>
      <c r="BB2681" s="117"/>
      <c r="BC2681" s="117"/>
      <c r="BD2681" s="117"/>
    </row>
    <row r="2682" spans="1:56" ht="15">
      <c r="A2682" s="114"/>
      <c r="B2682" s="244" t="s">
        <v>1743</v>
      </c>
      <c r="C2682" s="245">
        <v>0.3589</v>
      </c>
      <c r="D2682" s="245">
        <v>0.7</v>
      </c>
      <c r="E2682" s="245">
        <v>1.2</v>
      </c>
      <c r="F2682" s="245">
        <v>1.92</v>
      </c>
      <c r="G2682" s="256">
        <f t="shared" si="309"/>
        <v>0.43068000000000001</v>
      </c>
      <c r="H2682" s="256">
        <f t="shared" si="310"/>
        <v>3.8617999999999997</v>
      </c>
      <c r="I2682" s="3"/>
      <c r="J2682" s="114"/>
      <c r="BA2682" s="117"/>
      <c r="BB2682" s="117"/>
      <c r="BC2682" s="117"/>
      <c r="BD2682" s="117"/>
    </row>
    <row r="2683" spans="1:56" ht="15">
      <c r="A2683" s="114"/>
      <c r="B2683" s="244" t="s">
        <v>1744</v>
      </c>
      <c r="C2683" s="245">
        <v>0.45319999999999999</v>
      </c>
      <c r="D2683" s="245">
        <v>0.87870000000000004</v>
      </c>
      <c r="E2683" s="245">
        <v>1.2</v>
      </c>
      <c r="F2683" s="245">
        <v>2.6</v>
      </c>
      <c r="G2683" s="256">
        <f t="shared" si="309"/>
        <v>0.54383999999999999</v>
      </c>
      <c r="H2683" s="256">
        <f t="shared" si="310"/>
        <v>5.0808400000000002</v>
      </c>
      <c r="I2683" s="3"/>
      <c r="J2683" s="114"/>
      <c r="BA2683" s="117"/>
      <c r="BB2683" s="117"/>
      <c r="BC2683" s="117"/>
      <c r="BD2683" s="117"/>
    </row>
    <row r="2684" spans="1:56" ht="15">
      <c r="A2684" s="114"/>
      <c r="B2684" s="244" t="s">
        <v>1745</v>
      </c>
      <c r="C2684" s="245">
        <v>0.45679999999999998</v>
      </c>
      <c r="D2684" s="245">
        <v>0.89300000000000002</v>
      </c>
      <c r="E2684" s="245">
        <v>1.2</v>
      </c>
      <c r="F2684" s="245">
        <v>2.61</v>
      </c>
      <c r="G2684" s="256">
        <f t="shared" si="309"/>
        <v>0.54815999999999998</v>
      </c>
      <c r="H2684" s="256">
        <f t="shared" si="310"/>
        <v>5.1171999999999995</v>
      </c>
      <c r="I2684" s="3"/>
      <c r="J2684" s="114"/>
      <c r="BA2684" s="117"/>
      <c r="BB2684" s="117"/>
      <c r="BC2684" s="117"/>
      <c r="BD2684" s="117"/>
    </row>
    <row r="2685" spans="1:56" ht="15">
      <c r="A2685" s="114"/>
      <c r="B2685" s="244" t="s">
        <v>1746</v>
      </c>
      <c r="C2685" s="245">
        <v>0.3619</v>
      </c>
      <c r="D2685" s="245">
        <v>0.71599999999999997</v>
      </c>
      <c r="E2685" s="245">
        <v>1.2</v>
      </c>
      <c r="F2685" s="245">
        <v>1.93</v>
      </c>
      <c r="G2685" s="256">
        <f t="shared" si="309"/>
        <v>0.43428</v>
      </c>
      <c r="H2685" s="256">
        <f t="shared" si="310"/>
        <v>3.899</v>
      </c>
      <c r="I2685" s="3"/>
      <c r="J2685" s="114"/>
      <c r="BA2685" s="117"/>
      <c r="BB2685" s="117"/>
      <c r="BC2685" s="117"/>
      <c r="BD2685" s="117"/>
    </row>
    <row r="2686" spans="1:56" ht="15">
      <c r="A2686" s="114"/>
      <c r="B2686" s="244" t="s">
        <v>1747</v>
      </c>
      <c r="C2686" s="245">
        <v>0.45679999999999998</v>
      </c>
      <c r="D2686" s="245">
        <v>0.89500000000000002</v>
      </c>
      <c r="E2686" s="245">
        <v>1.2</v>
      </c>
      <c r="F2686" s="245">
        <v>2.61</v>
      </c>
      <c r="G2686" s="256">
        <f t="shared" si="309"/>
        <v>0.54815999999999998</v>
      </c>
      <c r="H2686" s="256">
        <f t="shared" si="310"/>
        <v>5.1196000000000002</v>
      </c>
      <c r="I2686" s="3"/>
      <c r="J2686" s="114"/>
      <c r="BA2686" s="117"/>
      <c r="BB2686" s="117"/>
      <c r="BC2686" s="117"/>
      <c r="BD2686" s="117"/>
    </row>
    <row r="2687" spans="1:56" ht="15">
      <c r="A2687" s="114"/>
      <c r="B2687" s="244" t="s">
        <v>1748</v>
      </c>
      <c r="C2687" s="245">
        <v>0.3619</v>
      </c>
      <c r="D2687" s="245">
        <v>0.71599999999999997</v>
      </c>
      <c r="E2687" s="245">
        <v>1.2</v>
      </c>
      <c r="F2687" s="245">
        <v>1.93</v>
      </c>
      <c r="G2687" s="256">
        <f t="shared" si="309"/>
        <v>0.43428</v>
      </c>
      <c r="H2687" s="256">
        <f t="shared" si="310"/>
        <v>3.899</v>
      </c>
      <c r="I2687" s="3"/>
      <c r="J2687" s="114"/>
      <c r="BA2687" s="117"/>
      <c r="BB2687" s="117"/>
      <c r="BC2687" s="117"/>
      <c r="BD2687" s="117"/>
    </row>
    <row r="2688" spans="1:56" ht="15">
      <c r="A2688" s="114"/>
      <c r="B2688" s="244" t="s">
        <v>1749</v>
      </c>
      <c r="C2688" s="245">
        <v>0.45679999999999998</v>
      </c>
      <c r="D2688" s="245">
        <v>0.89500000000000002</v>
      </c>
      <c r="E2688" s="245">
        <v>1.2</v>
      </c>
      <c r="F2688" s="245">
        <v>2.61</v>
      </c>
      <c r="G2688" s="256">
        <f t="shared" si="309"/>
        <v>0.54815999999999998</v>
      </c>
      <c r="H2688" s="256">
        <f t="shared" si="310"/>
        <v>5.1196000000000002</v>
      </c>
      <c r="I2688" s="3"/>
      <c r="J2688" s="114"/>
      <c r="BA2688" s="117"/>
      <c r="BB2688" s="117"/>
      <c r="BC2688" s="117"/>
      <c r="BD2688" s="117"/>
    </row>
    <row r="2689" spans="1:56" ht="15">
      <c r="A2689" s="114"/>
      <c r="B2689" s="244" t="s">
        <v>1750</v>
      </c>
      <c r="C2689" s="245">
        <v>0.22289999999999999</v>
      </c>
      <c r="D2689" s="245">
        <v>0.35799999999999998</v>
      </c>
      <c r="E2689" s="245">
        <v>1.2</v>
      </c>
      <c r="F2689" s="245">
        <v>1.25</v>
      </c>
      <c r="G2689" s="256">
        <f t="shared" si="309"/>
        <v>0.26748</v>
      </c>
      <c r="H2689" s="256">
        <f t="shared" si="310"/>
        <v>2.3754</v>
      </c>
      <c r="I2689" s="3"/>
      <c r="J2689" s="114"/>
      <c r="BA2689" s="117"/>
      <c r="BB2689" s="117"/>
      <c r="BC2689" s="117"/>
      <c r="BD2689" s="117"/>
    </row>
    <row r="2690" spans="1:56" ht="15">
      <c r="A2690" s="114"/>
      <c r="B2690" s="244" t="s">
        <v>1751</v>
      </c>
      <c r="C2690" s="245">
        <v>0.44109999999999999</v>
      </c>
      <c r="D2690" s="245">
        <v>0.82399999999999995</v>
      </c>
      <c r="E2690" s="245">
        <v>1.2</v>
      </c>
      <c r="F2690" s="245">
        <v>2.577</v>
      </c>
      <c r="G2690" s="256">
        <f t="shared" si="309"/>
        <v>0.52932000000000001</v>
      </c>
      <c r="H2690" s="256">
        <f t="shared" si="310"/>
        <v>4.9634</v>
      </c>
      <c r="I2690" s="3"/>
      <c r="J2690" s="114"/>
      <c r="BA2690" s="117"/>
      <c r="BB2690" s="117"/>
      <c r="BC2690" s="117"/>
      <c r="BD2690" s="117"/>
    </row>
    <row r="2691" spans="1:56" ht="15">
      <c r="A2691" s="114"/>
      <c r="B2691" s="244" t="s">
        <v>1752</v>
      </c>
      <c r="C2691" s="245">
        <v>0.34860000000000002</v>
      </c>
      <c r="D2691" s="245">
        <v>0.66</v>
      </c>
      <c r="E2691" s="245">
        <v>1.2</v>
      </c>
      <c r="F2691" s="245">
        <v>1.9870000000000001</v>
      </c>
      <c r="G2691" s="256">
        <f t="shared" si="309"/>
        <v>0.41832000000000003</v>
      </c>
      <c r="H2691" s="256">
        <f t="shared" si="310"/>
        <v>3.8735999999999997</v>
      </c>
      <c r="I2691" s="3"/>
      <c r="J2691" s="114"/>
      <c r="BA2691" s="117"/>
      <c r="BB2691" s="117"/>
      <c r="BC2691" s="117"/>
      <c r="BD2691" s="117"/>
    </row>
    <row r="2692" spans="1:56" ht="15">
      <c r="A2692" s="114"/>
      <c r="B2692" s="244" t="s">
        <v>1753</v>
      </c>
      <c r="C2692" s="245">
        <v>0.44109999999999999</v>
      </c>
      <c r="D2692" s="245">
        <v>0.82499999999999996</v>
      </c>
      <c r="E2692" s="245">
        <v>1.2</v>
      </c>
      <c r="F2692" s="245">
        <v>2.577</v>
      </c>
      <c r="G2692" s="256">
        <f t="shared" si="309"/>
        <v>0.52932000000000001</v>
      </c>
      <c r="H2692" s="256">
        <f t="shared" si="310"/>
        <v>4.9645999999999999</v>
      </c>
      <c r="I2692" s="3"/>
      <c r="J2692" s="114"/>
      <c r="BA2692" s="117"/>
      <c r="BB2692" s="117"/>
      <c r="BC2692" s="117"/>
      <c r="BD2692" s="117"/>
    </row>
    <row r="2693" spans="1:56" ht="15">
      <c r="A2693" s="114"/>
      <c r="B2693" s="244" t="s">
        <v>1754</v>
      </c>
      <c r="C2693" s="245">
        <v>0.34860000000000002</v>
      </c>
      <c r="D2693" s="245">
        <v>0.66</v>
      </c>
      <c r="E2693" s="245">
        <v>1.2</v>
      </c>
      <c r="F2693" s="245">
        <v>1.9870000000000001</v>
      </c>
      <c r="G2693" s="256">
        <f t="shared" si="309"/>
        <v>0.41832000000000003</v>
      </c>
      <c r="H2693" s="256">
        <f t="shared" si="310"/>
        <v>3.8735999999999997</v>
      </c>
      <c r="I2693" s="3"/>
      <c r="J2693" s="114"/>
      <c r="BA2693" s="117"/>
      <c r="BB2693" s="117"/>
      <c r="BC2693" s="117"/>
      <c r="BD2693" s="117"/>
    </row>
    <row r="2694" spans="1:56" ht="15">
      <c r="A2694" s="114"/>
      <c r="B2694" s="244" t="s">
        <v>1755</v>
      </c>
      <c r="C2694" s="245">
        <v>0.34860000000000002</v>
      </c>
      <c r="D2694" s="245">
        <v>0.66</v>
      </c>
      <c r="E2694" s="245">
        <v>1.2</v>
      </c>
      <c r="F2694" s="245">
        <v>1.9870000000000001</v>
      </c>
      <c r="G2694" s="256">
        <f t="shared" si="309"/>
        <v>0.41832000000000003</v>
      </c>
      <c r="H2694" s="256">
        <f t="shared" si="310"/>
        <v>3.8735999999999997</v>
      </c>
      <c r="I2694" s="3"/>
      <c r="J2694" s="114"/>
      <c r="BA2694" s="117"/>
      <c r="BB2694" s="117"/>
      <c r="BC2694" s="117"/>
      <c r="BD2694" s="117"/>
    </row>
    <row r="2695" spans="1:56" ht="15">
      <c r="A2695" s="114"/>
      <c r="B2695" s="310"/>
      <c r="C2695" s="114"/>
      <c r="D2695" s="114"/>
      <c r="E2695" s="117"/>
      <c r="F2695" s="254" t="s">
        <v>767</v>
      </c>
      <c r="G2695" s="633">
        <f>SUM(G2677:G2694)</f>
        <v>8.6134800000000009</v>
      </c>
      <c r="H2695" s="633">
        <f>SUM(H2677:H2694)</f>
        <v>79.289119999999983</v>
      </c>
      <c r="I2695" s="114"/>
      <c r="J2695" s="114"/>
      <c r="BA2695" s="117"/>
      <c r="BB2695" s="117"/>
      <c r="BC2695" s="117"/>
      <c r="BD2695" s="117"/>
    </row>
    <row r="2696" spans="1:56" ht="15">
      <c r="A2696" s="114"/>
      <c r="B2696" s="140"/>
      <c r="C2696" s="213"/>
      <c r="D2696" s="213"/>
      <c r="E2696" s="236"/>
      <c r="F2696" s="213"/>
      <c r="G2696" s="212"/>
      <c r="H2696" s="210"/>
      <c r="I2696" s="3"/>
      <c r="J2696" s="114"/>
      <c r="AZ2696" s="117"/>
      <c r="BA2696" s="117"/>
      <c r="BB2696" s="117"/>
      <c r="BC2696" s="117"/>
      <c r="BD2696" s="117"/>
    </row>
    <row r="2697" spans="1:56" ht="15">
      <c r="A2697" s="114"/>
      <c r="B2697" s="697" t="s">
        <v>2238</v>
      </c>
      <c r="C2697" s="623"/>
      <c r="D2697" s="623"/>
      <c r="E2697" s="623"/>
      <c r="F2697" s="623"/>
      <c r="G2697" s="623"/>
      <c r="H2697" s="624"/>
      <c r="I2697" s="624"/>
      <c r="J2697" s="625"/>
      <c r="BB2697" s="117"/>
      <c r="BC2697" s="117"/>
      <c r="BD2697" s="117"/>
    </row>
    <row r="2698" spans="1:56" ht="15">
      <c r="A2698" s="114"/>
      <c r="B2698" s="293"/>
      <c r="C2698" s="81"/>
      <c r="D2698" s="81"/>
      <c r="E2698" s="81"/>
      <c r="F2698" s="81"/>
      <c r="G2698" s="81"/>
      <c r="H2698" s="82"/>
      <c r="I2698" s="82"/>
      <c r="J2698" s="114"/>
      <c r="BB2698" s="117"/>
      <c r="BC2698" s="117"/>
      <c r="BD2698" s="117"/>
    </row>
    <row r="2699" spans="1:56" ht="15">
      <c r="A2699" s="114"/>
      <c r="B2699" s="696" t="s">
        <v>1757</v>
      </c>
      <c r="C2699" s="199" t="s">
        <v>296</v>
      </c>
      <c r="D2699" s="199" t="s">
        <v>516</v>
      </c>
      <c r="E2699" s="199" t="s">
        <v>65</v>
      </c>
      <c r="F2699" s="199" t="s">
        <v>297</v>
      </c>
      <c r="G2699" s="268" t="s">
        <v>104</v>
      </c>
      <c r="H2699" s="268" t="s">
        <v>105</v>
      </c>
      <c r="I2699" s="3"/>
      <c r="J2699" s="4"/>
      <c r="BC2699" s="117"/>
      <c r="BD2699" s="117"/>
    </row>
    <row r="2700" spans="1:56" ht="15">
      <c r="A2700" s="114"/>
      <c r="B2700" s="269" t="s">
        <v>1758</v>
      </c>
      <c r="C2700" s="270">
        <v>0.97009999999999996</v>
      </c>
      <c r="D2700" s="270">
        <v>1.482</v>
      </c>
      <c r="E2700" s="270">
        <v>1.75</v>
      </c>
      <c r="F2700" s="270">
        <v>4.01</v>
      </c>
      <c r="G2700" s="256">
        <f>C2700*E2700</f>
        <v>1.6976749999999998</v>
      </c>
      <c r="H2700" s="256">
        <f>2*C2700+D2700*E2700+F2700*E2700</f>
        <v>11.5512</v>
      </c>
      <c r="I2700" s="3"/>
      <c r="J2700" s="4"/>
      <c r="BC2700" s="117"/>
      <c r="BD2700" s="117"/>
    </row>
    <row r="2701" spans="1:56" ht="15">
      <c r="A2701" s="114"/>
      <c r="B2701" s="244" t="s">
        <v>1759</v>
      </c>
      <c r="C2701" s="245">
        <v>1.4359</v>
      </c>
      <c r="D2701" s="245">
        <v>1.611</v>
      </c>
      <c r="E2701" s="245">
        <v>1.75</v>
      </c>
      <c r="F2701" s="245">
        <v>6.5449999999999999</v>
      </c>
      <c r="G2701" s="256">
        <f>C2701*E2701</f>
        <v>2.5128249999999999</v>
      </c>
      <c r="H2701" s="256">
        <f>2*C2701+D2701*E2701+F2701*E2701</f>
        <v>17.1448</v>
      </c>
      <c r="I2701" s="3"/>
      <c r="J2701" s="114"/>
      <c r="BA2701" s="117"/>
      <c r="BB2701" s="117"/>
      <c r="BC2701" s="117"/>
      <c r="BD2701" s="117"/>
    </row>
    <row r="2702" spans="1:56" ht="15">
      <c r="A2702" s="114"/>
      <c r="B2702" s="244" t="s">
        <v>1760</v>
      </c>
      <c r="C2702" s="245">
        <v>0.96960000000000002</v>
      </c>
      <c r="D2702" s="245">
        <v>1.2529999999999999</v>
      </c>
      <c r="E2702" s="245">
        <v>1.75</v>
      </c>
      <c r="F2702" s="245">
        <v>4.43</v>
      </c>
      <c r="G2702" s="256">
        <f>C2702*E2702</f>
        <v>1.6968000000000001</v>
      </c>
      <c r="H2702" s="256">
        <f>2*C2702+D2702*E2702+F2702*E2702</f>
        <v>11.884449999999999</v>
      </c>
      <c r="I2702" s="3"/>
      <c r="J2702" s="114"/>
      <c r="BA2702" s="117"/>
      <c r="BB2702" s="117"/>
      <c r="BC2702" s="117"/>
      <c r="BD2702" s="117"/>
    </row>
    <row r="2703" spans="1:56" ht="15">
      <c r="A2703" s="114"/>
      <c r="B2703" s="244" t="s">
        <v>1761</v>
      </c>
      <c r="C2703" s="245">
        <v>1.3729</v>
      </c>
      <c r="D2703" s="245">
        <v>2.0499999999999998</v>
      </c>
      <c r="E2703" s="245">
        <v>1.75</v>
      </c>
      <c r="F2703" s="245">
        <v>4.6189999999999998</v>
      </c>
      <c r="G2703" s="256">
        <f>C2703*E2703</f>
        <v>2.4025750000000001</v>
      </c>
      <c r="H2703" s="256">
        <f>2*C2703+D2703*E2703+F2703*E2703</f>
        <v>14.416549999999999</v>
      </c>
      <c r="I2703" s="3"/>
      <c r="J2703" s="114"/>
      <c r="BA2703" s="117"/>
      <c r="BB2703" s="117"/>
      <c r="BC2703" s="117"/>
      <c r="BD2703" s="117"/>
    </row>
    <row r="2704" spans="1:56" ht="15">
      <c r="A2704" s="114"/>
      <c r="B2704" s="244" t="s">
        <v>560</v>
      </c>
      <c r="C2704" s="245">
        <v>1.0875999999999999</v>
      </c>
      <c r="D2704" s="245">
        <v>1.675</v>
      </c>
      <c r="E2704" s="245">
        <v>1.75</v>
      </c>
      <c r="F2704" s="245">
        <v>4.875</v>
      </c>
      <c r="G2704" s="256">
        <f>C2704*E2704</f>
        <v>1.9032999999999998</v>
      </c>
      <c r="H2704" s="256">
        <f>2*C2704+D2704*E2704+F2704*E2704</f>
        <v>13.637699999999999</v>
      </c>
      <c r="I2704" s="3"/>
      <c r="J2704" s="114"/>
      <c r="BA2704" s="117"/>
      <c r="BB2704" s="117"/>
      <c r="BC2704" s="117"/>
      <c r="BD2704" s="117"/>
    </row>
    <row r="2705" spans="1:56">
      <c r="A2705" s="114"/>
      <c r="B2705" s="140"/>
      <c r="C2705" s="213"/>
      <c r="D2705" s="213"/>
      <c r="E2705" s="115"/>
      <c r="F2705" s="254" t="s">
        <v>76</v>
      </c>
      <c r="G2705" s="633">
        <f>SUM(G2700:G2704)</f>
        <v>10.213175</v>
      </c>
      <c r="H2705" s="633">
        <f>SUM(H2700:H2704)</f>
        <v>68.634699999999995</v>
      </c>
      <c r="I2705" s="3"/>
      <c r="J2705" s="114"/>
      <c r="AZ2705" s="117"/>
      <c r="BA2705" s="117"/>
      <c r="BB2705" s="117"/>
      <c r="BC2705" s="117"/>
      <c r="BD2705" s="117"/>
    </row>
    <row r="2706" spans="1:56" ht="15">
      <c r="A2706" s="114"/>
      <c r="B2706" s="140"/>
      <c r="C2706" s="213"/>
      <c r="D2706" s="213"/>
      <c r="E2706" s="236"/>
      <c r="F2706" s="213"/>
      <c r="G2706" s="212"/>
      <c r="H2706" s="210"/>
      <c r="I2706" s="3"/>
      <c r="J2706" s="114"/>
      <c r="AZ2706" s="117"/>
      <c r="BA2706" s="117"/>
      <c r="BB2706" s="117"/>
      <c r="BC2706" s="117"/>
      <c r="BD2706" s="117"/>
    </row>
    <row r="2707" spans="1:56" ht="15">
      <c r="A2707" s="114"/>
      <c r="B2707" s="242" t="s">
        <v>1763</v>
      </c>
      <c r="C2707" s="199" t="s">
        <v>61</v>
      </c>
      <c r="D2707" s="199" t="s">
        <v>82</v>
      </c>
      <c r="E2707" s="199" t="s">
        <v>66</v>
      </c>
      <c r="F2707" s="199" t="s">
        <v>62</v>
      </c>
      <c r="G2707" s="243" t="s">
        <v>99</v>
      </c>
      <c r="H2707" s="243" t="s">
        <v>68</v>
      </c>
      <c r="I2707" s="82"/>
      <c r="J2707" s="114"/>
      <c r="BB2707" s="117"/>
      <c r="BC2707" s="117"/>
      <c r="BD2707" s="117"/>
    </row>
    <row r="2708" spans="1:56" ht="15">
      <c r="A2708" s="114"/>
      <c r="B2708" s="244" t="s">
        <v>215</v>
      </c>
      <c r="C2708" s="200">
        <v>1</v>
      </c>
      <c r="D2708" s="245">
        <v>0.2</v>
      </c>
      <c r="E2708" s="201">
        <v>0.5</v>
      </c>
      <c r="F2708" s="201">
        <v>3.05</v>
      </c>
      <c r="G2708" s="202">
        <f t="shared" ref="G2708:G2710" si="311">D2708*E2708*F2708*C2708</f>
        <v>0.30499999999999999</v>
      </c>
      <c r="H2708" s="202">
        <f t="shared" ref="H2708:H2710" si="312">((E2708*2)+D2708)*F2708*C2708</f>
        <v>3.6599999999999997</v>
      </c>
      <c r="I2708" s="82"/>
      <c r="J2708" s="114"/>
      <c r="BB2708" s="117"/>
      <c r="BC2708" s="117"/>
      <c r="BD2708" s="117"/>
    </row>
    <row r="2709" spans="1:56" ht="15">
      <c r="A2709" s="114"/>
      <c r="B2709" s="244" t="s">
        <v>216</v>
      </c>
      <c r="C2709" s="200">
        <v>1</v>
      </c>
      <c r="D2709" s="245">
        <v>0.2</v>
      </c>
      <c r="E2709" s="201">
        <v>0.5</v>
      </c>
      <c r="F2709" s="201">
        <v>3.05</v>
      </c>
      <c r="G2709" s="202">
        <f t="shared" si="311"/>
        <v>0.30499999999999999</v>
      </c>
      <c r="H2709" s="202">
        <f t="shared" si="312"/>
        <v>3.6599999999999997</v>
      </c>
      <c r="I2709" s="82"/>
      <c r="J2709" s="114"/>
      <c r="BB2709" s="117"/>
      <c r="BC2709" s="117"/>
      <c r="BD2709" s="117"/>
    </row>
    <row r="2710" spans="1:56" ht="15">
      <c r="A2710" s="114"/>
      <c r="B2710" s="244" t="s">
        <v>1762</v>
      </c>
      <c r="C2710" s="200">
        <v>1</v>
      </c>
      <c r="D2710" s="245">
        <v>0.2</v>
      </c>
      <c r="E2710" s="201">
        <v>0.5</v>
      </c>
      <c r="F2710" s="201">
        <v>3.05</v>
      </c>
      <c r="G2710" s="202">
        <f t="shared" si="311"/>
        <v>0.30499999999999999</v>
      </c>
      <c r="H2710" s="202">
        <f t="shared" si="312"/>
        <v>3.6599999999999997</v>
      </c>
      <c r="I2710" s="82"/>
      <c r="J2710" s="114"/>
      <c r="BB2710" s="117"/>
      <c r="BC2710" s="117"/>
      <c r="BD2710" s="117"/>
    </row>
    <row r="2711" spans="1:56" ht="15">
      <c r="A2711" s="114"/>
      <c r="B2711" s="310"/>
      <c r="C2711" s="114"/>
      <c r="D2711" s="114"/>
      <c r="E2711" s="117"/>
      <c r="F2711" s="254" t="s">
        <v>767</v>
      </c>
      <c r="G2711" s="633">
        <f>SUM(G2708:G2710)</f>
        <v>0.91500000000000004</v>
      </c>
      <c r="H2711" s="633">
        <f>SUM(H2708:H2710)</f>
        <v>10.979999999999999</v>
      </c>
      <c r="I2711" s="114"/>
      <c r="J2711" s="114"/>
      <c r="BA2711" s="117"/>
      <c r="BB2711" s="117"/>
      <c r="BC2711" s="117"/>
      <c r="BD2711" s="117"/>
    </row>
    <row r="2712" spans="1:56" ht="15">
      <c r="A2712" s="114"/>
      <c r="B2712" s="310"/>
      <c r="C2712" s="114"/>
      <c r="D2712" s="114"/>
      <c r="E2712" s="227"/>
      <c r="F2712" s="638"/>
      <c r="G2712" s="638"/>
      <c r="H2712" s="114"/>
      <c r="I2712" s="114"/>
      <c r="J2712" s="114"/>
      <c r="AZ2712" s="117"/>
      <c r="BA2712" s="117"/>
      <c r="BB2712" s="117"/>
      <c r="BC2712" s="117"/>
      <c r="BD2712" s="117"/>
    </row>
    <row r="2713" spans="1:56" ht="15">
      <c r="A2713" s="114"/>
      <c r="B2713" s="293"/>
      <c r="C2713" s="81"/>
      <c r="D2713" s="81"/>
      <c r="E2713" s="81"/>
      <c r="F2713" s="81"/>
      <c r="G2713" s="81"/>
      <c r="H2713" s="82"/>
      <c r="I2713" s="82"/>
      <c r="J2713" s="114"/>
      <c r="BB2713" s="117"/>
      <c r="BC2713" s="117"/>
      <c r="BD2713" s="117"/>
    </row>
    <row r="2714" spans="1:56" ht="15">
      <c r="A2714" s="114"/>
      <c r="B2714" s="268" t="s">
        <v>1764</v>
      </c>
      <c r="C2714" s="199" t="s">
        <v>296</v>
      </c>
      <c r="D2714" s="199" t="s">
        <v>516</v>
      </c>
      <c r="E2714" s="199" t="s">
        <v>65</v>
      </c>
      <c r="F2714" s="199" t="s">
        <v>297</v>
      </c>
      <c r="G2714" s="268" t="s">
        <v>104</v>
      </c>
      <c r="H2714" s="268" t="s">
        <v>105</v>
      </c>
      <c r="I2714" s="3"/>
      <c r="J2714" s="4"/>
      <c r="BC2714" s="117"/>
      <c r="BD2714" s="117"/>
    </row>
    <row r="2715" spans="1:56" ht="15">
      <c r="A2715" s="114"/>
      <c r="B2715" s="269" t="s">
        <v>1766</v>
      </c>
      <c r="C2715" s="270">
        <v>1.2112000000000001</v>
      </c>
      <c r="D2715" s="270">
        <v>2.15</v>
      </c>
      <c r="E2715" s="270">
        <v>1.65</v>
      </c>
      <c r="F2715" s="270">
        <v>4.7450000000000001</v>
      </c>
      <c r="G2715" s="256">
        <f>C2715*E2715</f>
        <v>1.99848</v>
      </c>
      <c r="H2715" s="256">
        <f>2*C2715+D2715*E2715+F2715*E2715</f>
        <v>13.799150000000001</v>
      </c>
      <c r="I2715" s="3"/>
      <c r="J2715" s="4"/>
      <c r="BC2715" s="117"/>
      <c r="BD2715" s="117"/>
    </row>
    <row r="2716" spans="1:56" ht="15">
      <c r="A2716" s="114"/>
      <c r="B2716" s="244" t="s">
        <v>1767</v>
      </c>
      <c r="C2716" s="245">
        <v>1.2968</v>
      </c>
      <c r="D2716" s="245">
        <v>2.2269999999999999</v>
      </c>
      <c r="E2716" s="245">
        <v>1.65</v>
      </c>
      <c r="F2716" s="245">
        <v>5.7359999999999998</v>
      </c>
      <c r="G2716" s="256">
        <f>C2716*E2716</f>
        <v>2.1397199999999996</v>
      </c>
      <c r="H2716" s="256">
        <f>2*C2716+D2716*E2716+F2716*E2716</f>
        <v>15.73255</v>
      </c>
      <c r="I2716" s="3"/>
      <c r="J2716" s="114"/>
      <c r="BA2716" s="117"/>
      <c r="BB2716" s="117"/>
      <c r="BC2716" s="117"/>
      <c r="BD2716" s="117"/>
    </row>
    <row r="2717" spans="1:56">
      <c r="A2717" s="114"/>
      <c r="B2717" s="140"/>
      <c r="C2717" s="213"/>
      <c r="D2717" s="213"/>
      <c r="E2717" s="115"/>
      <c r="F2717" s="254" t="s">
        <v>76</v>
      </c>
      <c r="G2717" s="633">
        <f>SUM(G2715:G2716)</f>
        <v>4.1381999999999994</v>
      </c>
      <c r="H2717" s="633">
        <f>SUM(H2715:H2716)</f>
        <v>29.531700000000001</v>
      </c>
      <c r="I2717" s="3"/>
      <c r="J2717" s="114"/>
      <c r="AZ2717" s="117"/>
      <c r="BA2717" s="117"/>
      <c r="BB2717" s="117"/>
      <c r="BC2717" s="117"/>
      <c r="BD2717" s="117"/>
    </row>
    <row r="2718" spans="1:56" ht="15">
      <c r="A2718" s="114"/>
      <c r="B2718" s="140"/>
      <c r="C2718" s="213"/>
      <c r="D2718" s="213"/>
      <c r="E2718" s="236"/>
      <c r="F2718" s="213"/>
      <c r="G2718" s="212"/>
      <c r="H2718" s="210"/>
      <c r="I2718" s="3"/>
      <c r="J2718" s="114"/>
      <c r="AZ2718" s="117"/>
      <c r="BA2718" s="117"/>
      <c r="BB2718" s="117"/>
      <c r="BC2718" s="117"/>
      <c r="BD2718" s="117"/>
    </row>
    <row r="2719" spans="1:56" ht="15">
      <c r="A2719" s="114"/>
      <c r="B2719" s="242" t="s">
        <v>1765</v>
      </c>
      <c r="C2719" s="199" t="s">
        <v>61</v>
      </c>
      <c r="D2719" s="199" t="s">
        <v>82</v>
      </c>
      <c r="E2719" s="199" t="s">
        <v>66</v>
      </c>
      <c r="F2719" s="199" t="s">
        <v>62</v>
      </c>
      <c r="G2719" s="243" t="s">
        <v>99</v>
      </c>
      <c r="H2719" s="243" t="s">
        <v>68</v>
      </c>
      <c r="I2719" s="82"/>
      <c r="J2719" s="114"/>
      <c r="BB2719" s="117"/>
      <c r="BC2719" s="117"/>
      <c r="BD2719" s="117"/>
    </row>
    <row r="2720" spans="1:56" ht="15">
      <c r="A2720" s="114"/>
      <c r="B2720" s="244" t="s">
        <v>212</v>
      </c>
      <c r="C2720" s="200">
        <v>1</v>
      </c>
      <c r="D2720" s="245">
        <v>0.2</v>
      </c>
      <c r="E2720" s="201">
        <v>0.5</v>
      </c>
      <c r="F2720" s="201">
        <v>3.15</v>
      </c>
      <c r="G2720" s="202">
        <f t="shared" ref="G2720" si="313">D2720*E2720*F2720*C2720</f>
        <v>0.315</v>
      </c>
      <c r="H2720" s="202">
        <f t="shared" ref="H2720" si="314">((E2720*2)+D2720)*F2720*C2720</f>
        <v>3.78</v>
      </c>
      <c r="I2720" s="82"/>
      <c r="J2720" s="114"/>
      <c r="BB2720" s="117"/>
      <c r="BC2720" s="117"/>
      <c r="BD2720" s="117"/>
    </row>
    <row r="2721" spans="1:56" ht="15">
      <c r="A2721" s="114"/>
      <c r="B2721" s="310"/>
      <c r="C2721" s="114"/>
      <c r="D2721" s="114"/>
      <c r="E2721" s="117"/>
      <c r="F2721" s="254" t="s">
        <v>767</v>
      </c>
      <c r="G2721" s="633">
        <f>SUM(G2720:G2720)</f>
        <v>0.315</v>
      </c>
      <c r="H2721" s="633">
        <f>SUM(H2720:H2720)</f>
        <v>3.78</v>
      </c>
      <c r="I2721" s="114"/>
      <c r="J2721" s="114"/>
      <c r="BA2721" s="117"/>
      <c r="BB2721" s="117"/>
      <c r="BC2721" s="117"/>
      <c r="BD2721" s="117"/>
    </row>
    <row r="2722" spans="1:56" ht="15">
      <c r="A2722" s="114"/>
      <c r="B2722" s="310"/>
      <c r="C2722" s="114"/>
      <c r="D2722" s="114"/>
      <c r="E2722" s="227"/>
      <c r="F2722" s="638"/>
      <c r="G2722" s="638"/>
      <c r="H2722" s="114"/>
      <c r="I2722" s="114"/>
      <c r="J2722" s="114"/>
      <c r="AZ2722" s="117"/>
      <c r="BA2722" s="117"/>
      <c r="BB2722" s="117"/>
      <c r="BC2722" s="117"/>
      <c r="BD2722" s="117"/>
    </row>
    <row r="2723" spans="1:56" ht="15">
      <c r="A2723" s="114"/>
      <c r="B2723" s="140"/>
      <c r="C2723" s="213"/>
      <c r="D2723" s="213"/>
      <c r="E2723" s="236"/>
      <c r="F2723" s="213"/>
      <c r="G2723" s="212"/>
      <c r="H2723" s="210"/>
      <c r="I2723" s="3"/>
      <c r="J2723" s="114"/>
      <c r="AZ2723" s="117"/>
      <c r="BA2723" s="117"/>
      <c r="BB2723" s="117"/>
      <c r="BC2723" s="117"/>
      <c r="BD2723" s="117"/>
    </row>
    <row r="2724" spans="1:56" ht="15">
      <c r="A2724" s="114"/>
      <c r="B2724" s="697" t="s">
        <v>2239</v>
      </c>
      <c r="C2724" s="623"/>
      <c r="D2724" s="623"/>
      <c r="E2724" s="623"/>
      <c r="F2724" s="623"/>
      <c r="G2724" s="623"/>
      <c r="H2724" s="624"/>
      <c r="I2724" s="624"/>
      <c r="J2724" s="625"/>
      <c r="BB2724" s="117"/>
      <c r="BC2724" s="117"/>
      <c r="BD2724" s="117"/>
    </row>
    <row r="2725" spans="1:56" ht="15">
      <c r="A2725" s="114"/>
      <c r="B2725" s="293"/>
      <c r="C2725" s="81"/>
      <c r="D2725" s="81"/>
      <c r="E2725" s="81"/>
      <c r="F2725" s="81"/>
      <c r="G2725" s="81"/>
      <c r="H2725" s="82"/>
      <c r="I2725" s="82"/>
      <c r="J2725" s="114"/>
      <c r="BB2725" s="117"/>
      <c r="BC2725" s="117"/>
      <c r="BD2725" s="117"/>
    </row>
    <row r="2726" spans="1:56" ht="15">
      <c r="A2726" s="114"/>
      <c r="B2726" s="696" t="s">
        <v>1770</v>
      </c>
      <c r="C2726" s="199" t="s">
        <v>296</v>
      </c>
      <c r="D2726" s="199" t="s">
        <v>516</v>
      </c>
      <c r="E2726" s="199" t="s">
        <v>65</v>
      </c>
      <c r="F2726" s="199" t="s">
        <v>297</v>
      </c>
      <c r="G2726" s="268" t="s">
        <v>104</v>
      </c>
      <c r="H2726" s="268" t="s">
        <v>105</v>
      </c>
      <c r="I2726" s="3"/>
      <c r="J2726" s="4"/>
      <c r="BC2726" s="117"/>
      <c r="BD2726" s="117"/>
    </row>
    <row r="2727" spans="1:56" ht="15">
      <c r="A2727" s="114"/>
      <c r="B2727" s="269" t="s">
        <v>1768</v>
      </c>
      <c r="C2727" s="270">
        <v>0.79220000000000002</v>
      </c>
      <c r="D2727" s="270">
        <v>0.88</v>
      </c>
      <c r="E2727" s="270">
        <v>2.6</v>
      </c>
      <c r="F2727" s="270">
        <v>3.4159999999999999</v>
      </c>
      <c r="G2727" s="256">
        <f>C2727*E2727</f>
        <v>2.05972</v>
      </c>
      <c r="H2727" s="256">
        <f>2*C2727+D2727*E2727+F2727*E2727</f>
        <v>12.754000000000001</v>
      </c>
      <c r="I2727" s="3"/>
      <c r="J2727" s="4"/>
      <c r="BC2727" s="117"/>
      <c r="BD2727" s="117"/>
    </row>
    <row r="2728" spans="1:56" ht="15">
      <c r="A2728" s="114"/>
      <c r="B2728" s="244" t="s">
        <v>1769</v>
      </c>
      <c r="C2728" s="245">
        <v>2.3917000000000002</v>
      </c>
      <c r="D2728" s="245">
        <v>2.46</v>
      </c>
      <c r="E2728" s="245">
        <v>2.6</v>
      </c>
      <c r="F2728" s="245">
        <v>10.95</v>
      </c>
      <c r="G2728" s="256">
        <f>C2728*E2728</f>
        <v>6.2184200000000009</v>
      </c>
      <c r="H2728" s="256">
        <f>2*C2728+D2728*E2728+F2728*E2728</f>
        <v>39.6494</v>
      </c>
      <c r="I2728" s="3"/>
      <c r="J2728" s="114"/>
      <c r="BA2728" s="117"/>
      <c r="BB2728" s="117"/>
      <c r="BC2728" s="117"/>
      <c r="BD2728" s="117"/>
    </row>
    <row r="2729" spans="1:56" ht="15">
      <c r="A2729" s="114"/>
      <c r="B2729" s="244" t="s">
        <v>1760</v>
      </c>
      <c r="C2729" s="245">
        <v>1.9326000000000001</v>
      </c>
      <c r="D2729" s="245">
        <v>2.46</v>
      </c>
      <c r="E2729" s="245">
        <v>2.6</v>
      </c>
      <c r="F2729" s="245">
        <v>8.4499999999999993</v>
      </c>
      <c r="G2729" s="256">
        <f>C2729*E2729</f>
        <v>5.0247600000000006</v>
      </c>
      <c r="H2729" s="256">
        <f>2*C2729+D2729*E2729+F2729*E2729</f>
        <v>32.231200000000001</v>
      </c>
      <c r="I2729" s="3"/>
      <c r="J2729" s="114"/>
      <c r="BA2729" s="117"/>
      <c r="BB2729" s="117"/>
      <c r="BC2729" s="117"/>
      <c r="BD2729" s="117"/>
    </row>
    <row r="2730" spans="1:56">
      <c r="A2730" s="114"/>
      <c r="B2730" s="140"/>
      <c r="C2730" s="213"/>
      <c r="D2730" s="213"/>
      <c r="E2730" s="115"/>
      <c r="F2730" s="254" t="s">
        <v>76</v>
      </c>
      <c r="G2730" s="633">
        <f>SUM(G2727:G2729)*3</f>
        <v>39.908700000000003</v>
      </c>
      <c r="H2730" s="633">
        <f>SUM(H2727:H2729)*3</f>
        <v>253.90380000000002</v>
      </c>
      <c r="I2730" s="3"/>
      <c r="J2730" s="114"/>
      <c r="AZ2730" s="117"/>
      <c r="BA2730" s="117"/>
      <c r="BB2730" s="117"/>
      <c r="BC2730" s="117"/>
      <c r="BD2730" s="117"/>
    </row>
    <row r="2731" spans="1:56" ht="15">
      <c r="A2731" s="114"/>
      <c r="B2731" s="140"/>
      <c r="C2731" s="213"/>
      <c r="D2731" s="213"/>
      <c r="E2731" s="236"/>
      <c r="F2731" s="213"/>
      <c r="G2731" s="212"/>
      <c r="H2731" s="210"/>
      <c r="I2731" s="3"/>
      <c r="J2731" s="114"/>
      <c r="AZ2731" s="117"/>
      <c r="BA2731" s="117"/>
      <c r="BB2731" s="117"/>
      <c r="BC2731" s="117"/>
      <c r="BD2731" s="117"/>
    </row>
    <row r="2732" spans="1:56" ht="15">
      <c r="A2732" s="114"/>
      <c r="B2732" s="242" t="s">
        <v>97</v>
      </c>
      <c r="C2732" s="199" t="s">
        <v>61</v>
      </c>
      <c r="D2732" s="199" t="s">
        <v>82</v>
      </c>
      <c r="E2732" s="199" t="s">
        <v>66</v>
      </c>
      <c r="F2732" s="199" t="s">
        <v>62</v>
      </c>
      <c r="G2732" s="243" t="s">
        <v>99</v>
      </c>
      <c r="H2732" s="243" t="s">
        <v>68</v>
      </c>
      <c r="I2732" s="82"/>
      <c r="J2732" s="114"/>
      <c r="BB2732" s="117"/>
      <c r="BC2732" s="117"/>
      <c r="BD2732" s="117"/>
    </row>
    <row r="2733" spans="1:56" ht="15">
      <c r="A2733" s="114"/>
      <c r="B2733" s="244" t="s">
        <v>1771</v>
      </c>
      <c r="C2733" s="200">
        <v>1</v>
      </c>
      <c r="D2733" s="245">
        <v>0.3</v>
      </c>
      <c r="E2733" s="201">
        <v>0.6</v>
      </c>
      <c r="F2733" s="201">
        <v>55.44</v>
      </c>
      <c r="G2733" s="202">
        <f t="shared" ref="G2733:G2734" si="315">D2733*E2733*F2733*C2733</f>
        <v>9.9791999999999987</v>
      </c>
      <c r="H2733" s="202">
        <f t="shared" ref="H2733:H2734" si="316">((E2733*2)+D2733)*F2733*C2733</f>
        <v>83.16</v>
      </c>
      <c r="I2733" s="82"/>
      <c r="J2733" s="114"/>
      <c r="BB2733" s="117"/>
      <c r="BC2733" s="117"/>
      <c r="BD2733" s="117"/>
    </row>
    <row r="2734" spans="1:56" ht="15">
      <c r="A2734" s="114"/>
      <c r="B2734" s="244" t="s">
        <v>1772</v>
      </c>
      <c r="C2734" s="200">
        <v>1</v>
      </c>
      <c r="D2734" s="245">
        <v>0.3</v>
      </c>
      <c r="E2734" s="201">
        <v>0.375</v>
      </c>
      <c r="F2734" s="201">
        <v>19.59</v>
      </c>
      <c r="G2734" s="202">
        <f t="shared" si="315"/>
        <v>2.2038749999999996</v>
      </c>
      <c r="H2734" s="202">
        <f t="shared" si="316"/>
        <v>20.569500000000001</v>
      </c>
      <c r="I2734" s="82"/>
      <c r="J2734" s="114"/>
      <c r="BB2734" s="117"/>
      <c r="BC2734" s="117"/>
      <c r="BD2734" s="117"/>
    </row>
    <row r="2735" spans="1:56" ht="15">
      <c r="A2735" s="114"/>
      <c r="B2735" s="310"/>
      <c r="C2735" s="114"/>
      <c r="D2735" s="114"/>
      <c r="E2735" s="117"/>
      <c r="F2735" s="254" t="s">
        <v>767</v>
      </c>
      <c r="G2735" s="633">
        <f>SUM(G2733:G2734)</f>
        <v>12.183074999999999</v>
      </c>
      <c r="H2735" s="633">
        <f>SUM(H2733:H2734)</f>
        <v>103.7295</v>
      </c>
      <c r="I2735" s="114"/>
      <c r="J2735" s="114"/>
      <c r="BA2735" s="117"/>
      <c r="BB2735" s="117"/>
      <c r="BC2735" s="117"/>
      <c r="BD2735" s="117"/>
    </row>
    <row r="2736" spans="1:56" ht="15">
      <c r="A2736" s="114"/>
      <c r="B2736" s="310"/>
      <c r="C2736" s="114"/>
      <c r="D2736" s="114"/>
      <c r="E2736" s="227"/>
      <c r="F2736" s="638"/>
      <c r="G2736" s="638"/>
      <c r="H2736" s="114"/>
      <c r="I2736" s="114"/>
      <c r="J2736" s="114"/>
      <c r="AZ2736" s="117"/>
      <c r="BA2736" s="117"/>
      <c r="BB2736" s="117"/>
      <c r="BC2736" s="117"/>
      <c r="BD2736" s="117"/>
    </row>
    <row r="2737" spans="1:56" ht="15">
      <c r="A2737" s="114"/>
      <c r="B2737" s="697" t="s">
        <v>2240</v>
      </c>
      <c r="C2737" s="623"/>
      <c r="D2737" s="623"/>
      <c r="E2737" s="623"/>
      <c r="F2737" s="623"/>
      <c r="G2737" s="623"/>
      <c r="H2737" s="624"/>
      <c r="I2737" s="624"/>
      <c r="J2737" s="625"/>
      <c r="BB2737" s="117"/>
      <c r="BC2737" s="117"/>
      <c r="BD2737" s="117"/>
    </row>
    <row r="2738" spans="1:56" ht="15">
      <c r="A2738" s="114"/>
      <c r="B2738" s="293"/>
      <c r="C2738" s="81"/>
      <c r="D2738" s="81"/>
      <c r="E2738" s="81"/>
      <c r="F2738" s="81"/>
      <c r="G2738" s="81"/>
      <c r="H2738" s="82"/>
      <c r="I2738" s="82"/>
      <c r="J2738" s="114"/>
      <c r="BB2738" s="117"/>
      <c r="BC2738" s="117"/>
      <c r="BD2738" s="117"/>
    </row>
    <row r="2739" spans="1:56" ht="15">
      <c r="A2739" s="114"/>
      <c r="B2739" s="696" t="s">
        <v>1773</v>
      </c>
      <c r="C2739" s="199" t="s">
        <v>296</v>
      </c>
      <c r="D2739" s="199" t="s">
        <v>516</v>
      </c>
      <c r="E2739" s="199" t="s">
        <v>65</v>
      </c>
      <c r="F2739" s="199" t="s">
        <v>297</v>
      </c>
      <c r="G2739" s="268" t="s">
        <v>104</v>
      </c>
      <c r="H2739" s="268" t="s">
        <v>105</v>
      </c>
      <c r="I2739" s="3"/>
      <c r="J2739" s="4"/>
      <c r="BC2739" s="117"/>
      <c r="BD2739" s="117"/>
    </row>
    <row r="2740" spans="1:56" ht="15">
      <c r="A2740" s="114"/>
      <c r="B2740" s="269" t="s">
        <v>1774</v>
      </c>
      <c r="C2740" s="270">
        <v>31.545000000000002</v>
      </c>
      <c r="D2740" s="270">
        <v>5.8</v>
      </c>
      <c r="E2740" s="270">
        <v>4.5374999999999996</v>
      </c>
      <c r="F2740" s="270">
        <v>11.88</v>
      </c>
      <c r="G2740" s="256">
        <f>C2740*E2740</f>
        <v>143.13543749999999</v>
      </c>
      <c r="H2740" s="256">
        <f>2*C2740+D2740*E2740+F2740*E2740</f>
        <v>143.31299999999999</v>
      </c>
      <c r="I2740" s="3"/>
      <c r="J2740" s="4"/>
      <c r="BC2740" s="117"/>
      <c r="BD2740" s="117"/>
    </row>
    <row r="2741" spans="1:56">
      <c r="A2741" s="114"/>
      <c r="B2741" s="140"/>
      <c r="C2741" s="213"/>
      <c r="D2741" s="213"/>
      <c r="E2741" s="115"/>
      <c r="F2741" s="254" t="s">
        <v>76</v>
      </c>
      <c r="G2741" s="633">
        <f>SUM(G2740:G2740)</f>
        <v>143.13543749999999</v>
      </c>
      <c r="H2741" s="633">
        <f>SUM(H2740:H2740)</f>
        <v>143.31299999999999</v>
      </c>
      <c r="I2741" s="3"/>
      <c r="J2741" s="114"/>
      <c r="AZ2741" s="117"/>
      <c r="BA2741" s="117"/>
      <c r="BB2741" s="117"/>
      <c r="BC2741" s="117"/>
      <c r="BD2741" s="117"/>
    </row>
    <row r="2742" spans="1:56" ht="15">
      <c r="A2742" s="114"/>
      <c r="B2742" s="140"/>
      <c r="C2742" s="213"/>
      <c r="D2742" s="213"/>
      <c r="E2742" s="236"/>
      <c r="F2742" s="213"/>
      <c r="G2742" s="212"/>
      <c r="H2742" s="210"/>
      <c r="I2742" s="3"/>
      <c r="J2742" s="114"/>
      <c r="AZ2742" s="117"/>
      <c r="BA2742" s="117"/>
      <c r="BB2742" s="117"/>
      <c r="BC2742" s="117"/>
      <c r="BD2742" s="117"/>
    </row>
    <row r="2743" spans="1:56" ht="15">
      <c r="A2743" s="114"/>
      <c r="B2743" s="242" t="s">
        <v>97</v>
      </c>
      <c r="C2743" s="199" t="s">
        <v>61</v>
      </c>
      <c r="D2743" s="199" t="s">
        <v>82</v>
      </c>
      <c r="E2743" s="199" t="s">
        <v>66</v>
      </c>
      <c r="F2743" s="199" t="s">
        <v>62</v>
      </c>
      <c r="G2743" s="243" t="s">
        <v>99</v>
      </c>
      <c r="H2743" s="243" t="s">
        <v>68</v>
      </c>
      <c r="I2743" s="82"/>
      <c r="J2743" s="114"/>
      <c r="BB2743" s="117"/>
      <c r="BC2743" s="117"/>
      <c r="BD2743" s="117"/>
    </row>
    <row r="2744" spans="1:56" ht="15">
      <c r="A2744" s="114"/>
      <c r="B2744" s="244" t="s">
        <v>1775</v>
      </c>
      <c r="C2744" s="200">
        <v>1</v>
      </c>
      <c r="D2744" s="245">
        <v>0.3</v>
      </c>
      <c r="E2744" s="201">
        <v>1.03</v>
      </c>
      <c r="F2744" s="201">
        <v>11.62</v>
      </c>
      <c r="G2744" s="202">
        <f t="shared" ref="G2744:G2745" si="317">D2744*E2744*F2744*C2744</f>
        <v>3.5905799999999997</v>
      </c>
      <c r="H2744" s="202">
        <f t="shared" ref="H2744:H2745" si="318">((E2744*2)+D2744)*F2744*C2744</f>
        <v>27.423199999999998</v>
      </c>
      <c r="I2744" s="82"/>
      <c r="J2744" s="114"/>
      <c r="BB2744" s="117"/>
      <c r="BC2744" s="117"/>
      <c r="BD2744" s="117"/>
    </row>
    <row r="2745" spans="1:56" ht="15">
      <c r="A2745" s="114"/>
      <c r="B2745" s="244" t="s">
        <v>1776</v>
      </c>
      <c r="C2745" s="200">
        <v>1</v>
      </c>
      <c r="D2745" s="245">
        <v>0.3</v>
      </c>
      <c r="E2745" s="201">
        <v>1.03</v>
      </c>
      <c r="F2745" s="201">
        <v>11.65</v>
      </c>
      <c r="G2745" s="202">
        <f t="shared" si="317"/>
        <v>3.59985</v>
      </c>
      <c r="H2745" s="202">
        <f t="shared" si="318"/>
        <v>27.494</v>
      </c>
      <c r="I2745" s="82"/>
      <c r="J2745" s="114"/>
      <c r="BB2745" s="117"/>
      <c r="BC2745" s="117"/>
      <c r="BD2745" s="117"/>
    </row>
    <row r="2746" spans="1:56" ht="15">
      <c r="A2746" s="114"/>
      <c r="B2746" s="310"/>
      <c r="C2746" s="114"/>
      <c r="D2746" s="114"/>
      <c r="E2746" s="117"/>
      <c r="F2746" s="254" t="s">
        <v>767</v>
      </c>
      <c r="G2746" s="633">
        <f>SUM(G2744:G2745)</f>
        <v>7.1904299999999992</v>
      </c>
      <c r="H2746" s="633">
        <f>SUM(H2744:H2745)</f>
        <v>54.917199999999994</v>
      </c>
      <c r="I2746" s="114"/>
      <c r="J2746" s="114"/>
      <c r="BA2746" s="117"/>
      <c r="BB2746" s="117"/>
      <c r="BC2746" s="117"/>
      <c r="BD2746" s="117"/>
    </row>
    <row r="2747" spans="1:56" ht="15">
      <c r="A2747" s="114"/>
      <c r="B2747" s="310"/>
      <c r="C2747" s="114"/>
      <c r="D2747" s="114"/>
      <c r="E2747" s="227"/>
      <c r="F2747" s="638"/>
      <c r="G2747" s="638"/>
      <c r="H2747" s="114"/>
      <c r="I2747" s="114"/>
      <c r="J2747" s="114"/>
      <c r="AZ2747" s="117"/>
      <c r="BA2747" s="117"/>
      <c r="BB2747" s="117"/>
      <c r="BC2747" s="117"/>
      <c r="BD2747" s="117"/>
    </row>
    <row r="2748" spans="1:56">
      <c r="A2748" s="114"/>
      <c r="B2748" s="1307" t="s">
        <v>1777</v>
      </c>
      <c r="C2748" s="1307"/>
      <c r="D2748" s="1307"/>
      <c r="E2748" s="1307"/>
      <c r="F2748" s="1308"/>
      <c r="G2748" s="115"/>
      <c r="H2748" s="115"/>
      <c r="I2748" s="82"/>
      <c r="J2748" s="114"/>
      <c r="BB2748" s="117"/>
      <c r="BC2748" s="117"/>
      <c r="BD2748" s="117"/>
    </row>
    <row r="2749" spans="1:56">
      <c r="A2749" s="114"/>
      <c r="B2749" s="278"/>
      <c r="C2749" s="115"/>
      <c r="D2749" s="115"/>
      <c r="E2749" s="115"/>
      <c r="F2749" s="357"/>
      <c r="G2749" s="115"/>
      <c r="H2749" s="115"/>
      <c r="I2749" s="82"/>
      <c r="J2749" s="114"/>
      <c r="BB2749" s="117"/>
      <c r="BC2749" s="117"/>
      <c r="BD2749" s="117"/>
    </row>
    <row r="2750" spans="1:56">
      <c r="A2750" s="114"/>
      <c r="B2750" s="279" t="s">
        <v>315</v>
      </c>
      <c r="C2750" s="203"/>
      <c r="D2750" s="204"/>
      <c r="E2750" s="205">
        <f>H2746+H2741+H2735+H2730+H2721+H2717+H2711+H2705+H2695+H2671+H2665+H2654+H2650+H2644+H2640+H2633+H2629+H2623+H2619</f>
        <v>1117.5041079999999</v>
      </c>
      <c r="F2750" s="206" t="s">
        <v>13</v>
      </c>
      <c r="G2750" s="115"/>
      <c r="H2750" s="115"/>
      <c r="I2750" s="82"/>
      <c r="J2750" s="114"/>
      <c r="BB2750" s="117"/>
      <c r="BC2750" s="117"/>
      <c r="BD2750" s="117"/>
    </row>
    <row r="2751" spans="1:56">
      <c r="A2751" s="114"/>
      <c r="B2751" s="279" t="s">
        <v>316</v>
      </c>
      <c r="C2751" s="203"/>
      <c r="D2751" s="204"/>
      <c r="E2751" s="205">
        <f>G2746+G2741+G2735+G2730+G2721+G2717+G2711+G2705+G2695+G2671+G2665+G2654+G2650+G2644+G2640+G2633+G2629+G2623+G2619</f>
        <v>280.62002795000012</v>
      </c>
      <c r="F2751" s="206" t="s">
        <v>100</v>
      </c>
      <c r="G2751" s="115"/>
      <c r="H2751" s="115"/>
      <c r="I2751" s="82"/>
      <c r="J2751" s="114"/>
      <c r="BB2751" s="117"/>
      <c r="BC2751" s="117"/>
      <c r="BD2751" s="117"/>
    </row>
    <row r="2752" spans="1:56">
      <c r="A2752" s="114"/>
      <c r="B2752" s="115"/>
      <c r="C2752" s="115"/>
      <c r="D2752" s="115"/>
      <c r="E2752" s="115"/>
      <c r="F2752" s="115"/>
      <c r="G2752" s="115"/>
      <c r="H2752" s="115"/>
      <c r="I2752" s="82"/>
      <c r="J2752" s="114"/>
      <c r="BB2752" s="117"/>
      <c r="BC2752" s="117"/>
      <c r="BD2752" s="117"/>
    </row>
    <row r="2753" spans="1:56" s="470" customFormat="1">
      <c r="A2753" s="264"/>
      <c r="B2753" s="331"/>
      <c r="C2753" s="331"/>
      <c r="D2753" s="331"/>
      <c r="E2753" s="331"/>
      <c r="F2753" s="331"/>
      <c r="G2753" s="331"/>
      <c r="H2753" s="331"/>
      <c r="I2753" s="386"/>
      <c r="J2753" s="264"/>
      <c r="K2753" s="264"/>
      <c r="L2753" s="264"/>
      <c r="M2753" s="264"/>
      <c r="N2753" s="264"/>
      <c r="O2753" s="264"/>
      <c r="P2753" s="264"/>
      <c r="Q2753" s="264"/>
      <c r="R2753" s="264"/>
      <c r="S2753" s="264"/>
      <c r="T2753" s="264"/>
      <c r="U2753" s="264"/>
      <c r="V2753" s="264"/>
      <c r="W2753" s="264"/>
      <c r="X2753" s="264"/>
      <c r="Y2753" s="264"/>
      <c r="Z2753" s="264"/>
      <c r="AA2753" s="264"/>
      <c r="AB2753" s="264"/>
      <c r="AC2753" s="264"/>
      <c r="AD2753" s="264"/>
      <c r="AE2753" s="264"/>
      <c r="AF2753" s="264"/>
      <c r="AG2753" s="264"/>
      <c r="AH2753" s="264"/>
      <c r="AI2753" s="264"/>
      <c r="AJ2753" s="264"/>
      <c r="AK2753" s="264"/>
      <c r="AL2753" s="264"/>
      <c r="AM2753" s="264"/>
      <c r="AN2753" s="264"/>
      <c r="AO2753" s="264"/>
      <c r="AP2753" s="264"/>
      <c r="AQ2753" s="264"/>
      <c r="AR2753" s="264"/>
      <c r="AS2753" s="264"/>
      <c r="AT2753" s="264"/>
      <c r="AU2753" s="264"/>
      <c r="AV2753" s="264"/>
      <c r="AW2753" s="264"/>
      <c r="AX2753" s="264"/>
      <c r="AY2753" s="264"/>
      <c r="AZ2753" s="264"/>
      <c r="BA2753" s="264"/>
    </row>
    <row r="2754" spans="1:56" s="356" customFormat="1" ht="15">
      <c r="A2754" s="353"/>
      <c r="B2754" s="420" t="s">
        <v>2242</v>
      </c>
      <c r="C2754" s="420"/>
      <c r="D2754" s="420"/>
      <c r="E2754" s="420"/>
      <c r="F2754" s="420"/>
      <c r="G2754" s="420"/>
      <c r="H2754" s="421"/>
      <c r="I2754" s="421"/>
      <c r="J2754" s="353"/>
      <c r="K2754" s="353"/>
      <c r="L2754" s="353"/>
      <c r="M2754" s="353"/>
      <c r="N2754" s="353"/>
      <c r="O2754" s="353"/>
      <c r="P2754" s="353"/>
      <c r="Q2754" s="353"/>
      <c r="R2754" s="353"/>
      <c r="S2754" s="353"/>
      <c r="T2754" s="353"/>
      <c r="U2754" s="353"/>
      <c r="V2754" s="353"/>
      <c r="W2754" s="353"/>
      <c r="X2754" s="353"/>
      <c r="Y2754" s="353"/>
      <c r="Z2754" s="353"/>
      <c r="AA2754" s="353"/>
      <c r="AB2754" s="353"/>
      <c r="AC2754" s="353"/>
      <c r="AD2754" s="353"/>
      <c r="AE2754" s="353"/>
      <c r="AF2754" s="353"/>
      <c r="AG2754" s="353"/>
      <c r="AH2754" s="353"/>
      <c r="AI2754" s="353"/>
      <c r="AJ2754" s="353"/>
      <c r="AK2754" s="353"/>
      <c r="AL2754" s="353"/>
      <c r="AM2754" s="353"/>
      <c r="AN2754" s="353"/>
      <c r="AO2754" s="353"/>
      <c r="AP2754" s="353"/>
      <c r="AQ2754" s="353"/>
      <c r="AR2754" s="353"/>
      <c r="AS2754" s="353"/>
      <c r="AT2754" s="353"/>
      <c r="AU2754" s="353"/>
      <c r="AV2754" s="353"/>
    </row>
    <row r="2755" spans="1:56" s="470" customFormat="1" ht="15">
      <c r="A2755" s="264"/>
      <c r="B2755" s="749"/>
      <c r="C2755" s="387"/>
      <c r="D2755" s="387"/>
      <c r="E2755" s="387"/>
      <c r="F2755" s="387"/>
      <c r="G2755" s="387"/>
      <c r="H2755" s="386"/>
      <c r="I2755" s="386"/>
      <c r="J2755" s="264"/>
      <c r="K2755" s="264"/>
      <c r="L2755" s="264"/>
      <c r="M2755" s="264"/>
      <c r="N2755" s="264"/>
      <c r="O2755" s="264"/>
      <c r="P2755" s="264"/>
      <c r="Q2755" s="264"/>
      <c r="R2755" s="264"/>
      <c r="S2755" s="264"/>
      <c r="T2755" s="264"/>
      <c r="U2755" s="264"/>
      <c r="V2755" s="264"/>
      <c r="W2755" s="264"/>
      <c r="X2755" s="264"/>
      <c r="Y2755" s="264"/>
      <c r="Z2755" s="264"/>
      <c r="AA2755" s="264"/>
      <c r="AB2755" s="264"/>
      <c r="AC2755" s="264"/>
      <c r="AD2755" s="264"/>
      <c r="AE2755" s="264"/>
      <c r="AF2755" s="264"/>
      <c r="AG2755" s="264"/>
      <c r="AH2755" s="264"/>
      <c r="AI2755" s="264"/>
      <c r="AJ2755" s="264"/>
      <c r="AK2755" s="264"/>
      <c r="AL2755" s="264"/>
      <c r="AM2755" s="264"/>
      <c r="AN2755" s="264"/>
      <c r="AO2755" s="264"/>
      <c r="AP2755" s="264"/>
      <c r="AQ2755" s="264"/>
      <c r="AR2755" s="264"/>
      <c r="AS2755" s="264"/>
      <c r="AT2755" s="264"/>
      <c r="AU2755" s="264"/>
      <c r="AV2755" s="264"/>
    </row>
    <row r="2756" spans="1:56" s="470" customFormat="1" ht="15">
      <c r="A2756" s="264"/>
      <c r="B2756" s="750" t="s">
        <v>97</v>
      </c>
      <c r="C2756" s="751" t="s">
        <v>61</v>
      </c>
      <c r="D2756" s="751" t="s">
        <v>1968</v>
      </c>
      <c r="E2756" s="751" t="s">
        <v>1643</v>
      </c>
      <c r="F2756" s="751" t="s">
        <v>1969</v>
      </c>
      <c r="G2756" s="752" t="s">
        <v>99</v>
      </c>
      <c r="H2756" s="752" t="s">
        <v>68</v>
      </c>
      <c r="I2756" s="386"/>
      <c r="J2756" s="264"/>
      <c r="K2756" s="264"/>
      <c r="L2756" s="264"/>
      <c r="M2756" s="264"/>
      <c r="N2756" s="264"/>
      <c r="O2756" s="264"/>
      <c r="P2756" s="264"/>
      <c r="Q2756" s="264"/>
      <c r="R2756" s="264"/>
      <c r="S2756" s="264"/>
      <c r="T2756" s="264"/>
      <c r="U2756" s="264"/>
      <c r="V2756" s="264"/>
      <c r="W2756" s="264"/>
      <c r="X2756" s="264"/>
      <c r="Y2756" s="264"/>
      <c r="Z2756" s="264"/>
      <c r="AA2756" s="264"/>
      <c r="AB2756" s="264"/>
      <c r="AC2756" s="264"/>
      <c r="AD2756" s="264"/>
      <c r="AE2756" s="264"/>
      <c r="AF2756" s="264"/>
      <c r="AG2756" s="264"/>
      <c r="AH2756" s="264"/>
      <c r="AI2756" s="264"/>
      <c r="AJ2756" s="264"/>
      <c r="AK2756" s="264"/>
      <c r="AL2756" s="264"/>
      <c r="AM2756" s="264"/>
      <c r="AN2756" s="264"/>
      <c r="AO2756" s="264"/>
      <c r="AP2756" s="264"/>
      <c r="AQ2756" s="264"/>
      <c r="AR2756" s="264"/>
      <c r="AS2756" s="264"/>
      <c r="AT2756" s="264"/>
      <c r="AU2756" s="264"/>
      <c r="AV2756" s="264"/>
      <c r="AW2756" s="264"/>
      <c r="AX2756" s="264"/>
      <c r="AY2756" s="264"/>
      <c r="AZ2756" s="264"/>
      <c r="BA2756" s="264"/>
    </row>
    <row r="2757" spans="1:56" s="470" customFormat="1" ht="15">
      <c r="A2757" s="264"/>
      <c r="B2757" s="753" t="s">
        <v>1970</v>
      </c>
      <c r="C2757" s="754">
        <v>5</v>
      </c>
      <c r="D2757" s="755">
        <v>2.2650000000000001</v>
      </c>
      <c r="E2757" s="755">
        <f>1.785*2</f>
        <v>3.57</v>
      </c>
      <c r="F2757" s="756">
        <v>0.8</v>
      </c>
      <c r="G2757" s="759">
        <f>D2757*F2757*C2757</f>
        <v>9.0600000000000023</v>
      </c>
      <c r="H2757" s="759">
        <f>(D2757*2+E2757*F2757)*C2757</f>
        <v>36.93</v>
      </c>
      <c r="I2757" s="386"/>
      <c r="J2757" s="264"/>
      <c r="K2757" s="264"/>
      <c r="L2757" s="264"/>
      <c r="M2757" s="264"/>
      <c r="N2757" s="264"/>
      <c r="O2757" s="264"/>
      <c r="P2757" s="264"/>
      <c r="Q2757" s="264"/>
      <c r="R2757" s="264"/>
      <c r="S2757" s="264"/>
      <c r="T2757" s="264"/>
      <c r="U2757" s="264"/>
      <c r="V2757" s="264"/>
      <c r="W2757" s="264"/>
      <c r="X2757" s="264"/>
      <c r="Y2757" s="264"/>
      <c r="Z2757" s="264"/>
      <c r="AA2757" s="264"/>
      <c r="AB2757" s="264"/>
      <c r="AC2757" s="264"/>
      <c r="AD2757" s="264"/>
      <c r="AE2757" s="264"/>
      <c r="AF2757" s="264"/>
      <c r="AG2757" s="264"/>
      <c r="AH2757" s="264"/>
      <c r="AI2757" s="264"/>
      <c r="AJ2757" s="264"/>
      <c r="AK2757" s="264"/>
      <c r="AL2757" s="264"/>
      <c r="AM2757" s="264"/>
      <c r="AN2757" s="264"/>
      <c r="AO2757" s="264"/>
      <c r="AP2757" s="264"/>
      <c r="AQ2757" s="264"/>
      <c r="AR2757" s="264"/>
      <c r="AS2757" s="264"/>
      <c r="AT2757" s="264"/>
      <c r="AU2757" s="264"/>
      <c r="AV2757" s="264"/>
      <c r="AW2757" s="264"/>
      <c r="AX2757" s="264"/>
      <c r="AY2757" s="264"/>
      <c r="AZ2757" s="264"/>
      <c r="BA2757" s="264"/>
    </row>
    <row r="2758" spans="1:56" s="470" customFormat="1" ht="15">
      <c r="A2758" s="264"/>
      <c r="B2758" s="757"/>
      <c r="C2758" s="264"/>
      <c r="D2758" s="264"/>
      <c r="E2758" s="264"/>
      <c r="F2758" s="758" t="s">
        <v>767</v>
      </c>
      <c r="G2758" s="628">
        <f>SUM(G2757:G2757)</f>
        <v>9.0600000000000023</v>
      </c>
      <c r="H2758" s="628">
        <f>SUM(H2757:H2757)</f>
        <v>36.93</v>
      </c>
      <c r="I2758" s="264"/>
      <c r="J2758" s="264"/>
      <c r="K2758" s="264"/>
      <c r="L2758" s="264"/>
      <c r="M2758" s="264"/>
      <c r="N2758" s="264"/>
      <c r="O2758" s="264"/>
      <c r="P2758" s="264"/>
      <c r="Q2758" s="264"/>
      <c r="R2758" s="264"/>
      <c r="S2758" s="264"/>
      <c r="T2758" s="264"/>
      <c r="U2758" s="264"/>
      <c r="V2758" s="264"/>
      <c r="W2758" s="264"/>
      <c r="X2758" s="264"/>
      <c r="Y2758" s="264"/>
      <c r="Z2758" s="264"/>
      <c r="AA2758" s="264"/>
      <c r="AB2758" s="264"/>
      <c r="AC2758" s="264"/>
      <c r="AD2758" s="264"/>
      <c r="AE2758" s="264"/>
      <c r="AF2758" s="264"/>
      <c r="AG2758" s="264"/>
      <c r="AH2758" s="264"/>
      <c r="AI2758" s="264"/>
      <c r="AJ2758" s="264"/>
      <c r="AK2758" s="264"/>
      <c r="AL2758" s="264"/>
      <c r="AM2758" s="264"/>
      <c r="AN2758" s="264"/>
      <c r="AO2758" s="264"/>
      <c r="AP2758" s="264"/>
      <c r="AQ2758" s="264"/>
      <c r="AR2758" s="264"/>
      <c r="AS2758" s="264"/>
      <c r="AT2758" s="264"/>
      <c r="AU2758" s="264"/>
      <c r="AV2758" s="264"/>
      <c r="AW2758" s="264"/>
      <c r="AX2758" s="264"/>
      <c r="AY2758" s="264"/>
      <c r="AZ2758" s="264"/>
    </row>
    <row r="2759" spans="1:56" s="470" customFormat="1" ht="15">
      <c r="A2759" s="264"/>
      <c r="B2759" s="757"/>
      <c r="C2759" s="264"/>
      <c r="D2759" s="264"/>
      <c r="E2759" s="264"/>
      <c r="F2759" s="748"/>
      <c r="G2759" s="638"/>
      <c r="H2759" s="638"/>
      <c r="I2759" s="264"/>
      <c r="J2759" s="264"/>
      <c r="K2759" s="264"/>
      <c r="L2759" s="264"/>
      <c r="M2759" s="264"/>
      <c r="N2759" s="264"/>
      <c r="O2759" s="264"/>
      <c r="P2759" s="264"/>
      <c r="Q2759" s="264"/>
      <c r="R2759" s="264"/>
      <c r="S2759" s="264"/>
      <c r="T2759" s="264"/>
      <c r="U2759" s="264"/>
      <c r="V2759" s="264"/>
      <c r="W2759" s="264"/>
      <c r="X2759" s="264"/>
      <c r="Y2759" s="264"/>
      <c r="Z2759" s="264"/>
      <c r="AA2759" s="264"/>
      <c r="AB2759" s="264"/>
      <c r="AC2759" s="264"/>
      <c r="AD2759" s="264"/>
      <c r="AE2759" s="264"/>
      <c r="AF2759" s="264"/>
      <c r="AG2759" s="264"/>
      <c r="AH2759" s="264"/>
      <c r="AI2759" s="264"/>
      <c r="AJ2759" s="264"/>
      <c r="AK2759" s="264"/>
      <c r="AL2759" s="264"/>
      <c r="AM2759" s="264"/>
      <c r="AN2759" s="264"/>
      <c r="AO2759" s="264"/>
      <c r="AP2759" s="264"/>
      <c r="AQ2759" s="264"/>
      <c r="AR2759" s="264"/>
      <c r="AS2759" s="264"/>
      <c r="AT2759" s="264"/>
      <c r="AU2759" s="264"/>
      <c r="AV2759" s="264"/>
      <c r="AW2759" s="264"/>
      <c r="AX2759" s="264"/>
      <c r="AY2759" s="264"/>
      <c r="AZ2759" s="264"/>
    </row>
    <row r="2760" spans="1:56" s="470" customFormat="1" ht="15">
      <c r="A2760" s="264"/>
      <c r="B2760" s="757"/>
      <c r="C2760" s="264"/>
      <c r="D2760" s="264"/>
      <c r="E2760" s="264"/>
      <c r="F2760" s="748"/>
      <c r="G2760" s="638"/>
      <c r="H2760" s="638"/>
      <c r="I2760" s="264"/>
      <c r="J2760" s="264"/>
      <c r="K2760" s="264"/>
      <c r="L2760" s="264"/>
      <c r="M2760" s="264"/>
      <c r="N2760" s="264"/>
      <c r="O2760" s="264"/>
      <c r="P2760" s="264"/>
      <c r="Q2760" s="264"/>
      <c r="R2760" s="264"/>
      <c r="S2760" s="264"/>
      <c r="T2760" s="264"/>
      <c r="U2760" s="264"/>
      <c r="V2760" s="264"/>
      <c r="W2760" s="264"/>
      <c r="X2760" s="264"/>
      <c r="Y2760" s="264"/>
      <c r="Z2760" s="264"/>
      <c r="AA2760" s="264"/>
      <c r="AB2760" s="264"/>
      <c r="AC2760" s="264"/>
      <c r="AD2760" s="264"/>
      <c r="AE2760" s="264"/>
      <c r="AF2760" s="264"/>
      <c r="AG2760" s="264"/>
      <c r="AH2760" s="264"/>
      <c r="AI2760" s="264"/>
      <c r="AJ2760" s="264"/>
      <c r="AK2760" s="264"/>
      <c r="AL2760" s="264"/>
      <c r="AM2760" s="264"/>
      <c r="AN2760" s="264"/>
      <c r="AO2760" s="264"/>
      <c r="AP2760" s="264"/>
      <c r="AQ2760" s="264"/>
      <c r="AR2760" s="264"/>
      <c r="AS2760" s="264"/>
      <c r="AT2760" s="264"/>
      <c r="AU2760" s="264"/>
      <c r="AV2760" s="264"/>
      <c r="AW2760" s="264"/>
      <c r="AX2760" s="264"/>
      <c r="AY2760" s="264"/>
      <c r="AZ2760" s="264"/>
    </row>
    <row r="2761" spans="1:56" customFormat="1" ht="15">
      <c r="A2761" s="114"/>
      <c r="B2761" s="801" t="s">
        <v>1999</v>
      </c>
      <c r="C2761" s="751" t="s">
        <v>61</v>
      </c>
      <c r="D2761" s="751" t="s">
        <v>82</v>
      </c>
      <c r="E2761" s="751" t="s">
        <v>66</v>
      </c>
      <c r="F2761" s="751" t="s">
        <v>62</v>
      </c>
      <c r="G2761" s="802" t="s">
        <v>99</v>
      </c>
      <c r="H2761" s="802" t="s">
        <v>68</v>
      </c>
      <c r="I2761" s="386"/>
      <c r="J2761" s="114"/>
      <c r="K2761" s="800"/>
      <c r="L2761" s="800"/>
      <c r="M2761" s="800"/>
      <c r="N2761" s="800"/>
      <c r="O2761" s="800"/>
      <c r="P2761" s="800"/>
      <c r="Q2761" s="800"/>
      <c r="R2761" s="800"/>
      <c r="S2761" s="800"/>
      <c r="T2761" s="800"/>
      <c r="U2761" s="800"/>
      <c r="V2761" s="800"/>
      <c r="W2761" s="800"/>
      <c r="X2761" s="800"/>
      <c r="Y2761" s="800"/>
      <c r="Z2761" s="800"/>
      <c r="AA2761" s="800"/>
      <c r="AB2761" s="800"/>
      <c r="AC2761" s="800"/>
      <c r="AD2761" s="800"/>
      <c r="AE2761" s="800"/>
      <c r="AF2761" s="800"/>
      <c r="AG2761" s="800"/>
      <c r="AH2761" s="800"/>
      <c r="AI2761" s="800"/>
      <c r="AJ2761" s="800"/>
      <c r="AK2761" s="800"/>
      <c r="AL2761" s="800"/>
      <c r="AM2761" s="800"/>
      <c r="AN2761" s="800"/>
      <c r="AO2761" s="800"/>
      <c r="AP2761" s="800"/>
      <c r="AQ2761" s="800"/>
      <c r="AR2761" s="800"/>
      <c r="AS2761" s="800"/>
      <c r="AT2761" s="800"/>
      <c r="AU2761" s="800"/>
      <c r="AV2761" s="800"/>
      <c r="AW2761" s="800"/>
      <c r="AX2761" s="800"/>
      <c r="AY2761" s="800"/>
      <c r="AZ2761" s="800"/>
      <c r="BA2761" s="800"/>
      <c r="BB2761" s="117"/>
      <c r="BC2761" s="117"/>
      <c r="BD2761" s="117"/>
    </row>
    <row r="2762" spans="1:56" customFormat="1" ht="15">
      <c r="A2762" s="114"/>
      <c r="B2762" s="803" t="s">
        <v>2000</v>
      </c>
      <c r="C2762" s="754">
        <v>50</v>
      </c>
      <c r="D2762" s="827">
        <v>0.46800000000000003</v>
      </c>
      <c r="E2762" s="756">
        <v>7.0000000000000007E-2</v>
      </c>
      <c r="F2762" s="756">
        <v>1.5</v>
      </c>
      <c r="G2762" s="828">
        <f>C2762*D2762*E2762*F2762</f>
        <v>2.4570000000000007</v>
      </c>
      <c r="H2762" s="828">
        <f>((D2762*2+F2762*2)*E2762)*C2762</f>
        <v>13.776000000000002</v>
      </c>
      <c r="I2762" s="386"/>
      <c r="J2762" s="114"/>
      <c r="K2762" s="800"/>
      <c r="L2762" s="800"/>
      <c r="M2762" s="800"/>
      <c r="N2762" s="800"/>
      <c r="O2762" s="800"/>
      <c r="P2762" s="800"/>
      <c r="Q2762" s="800"/>
      <c r="R2762" s="800"/>
      <c r="S2762" s="800"/>
      <c r="T2762" s="800"/>
      <c r="U2762" s="800"/>
      <c r="V2762" s="800"/>
      <c r="W2762" s="800"/>
      <c r="X2762" s="800"/>
      <c r="Y2762" s="800"/>
      <c r="Z2762" s="800"/>
      <c r="AA2762" s="800"/>
      <c r="AB2762" s="800"/>
      <c r="AC2762" s="800"/>
      <c r="AD2762" s="800"/>
      <c r="AE2762" s="800"/>
      <c r="AF2762" s="800"/>
      <c r="AG2762" s="800"/>
      <c r="AH2762" s="800"/>
      <c r="AI2762" s="800"/>
      <c r="AJ2762" s="800"/>
      <c r="AK2762" s="800"/>
      <c r="AL2762" s="800"/>
      <c r="AM2762" s="800"/>
      <c r="AN2762" s="800"/>
      <c r="AO2762" s="800"/>
      <c r="AP2762" s="800"/>
      <c r="AQ2762" s="800"/>
      <c r="AR2762" s="800"/>
      <c r="AS2762" s="800"/>
      <c r="AT2762" s="800"/>
      <c r="AU2762" s="800"/>
      <c r="AV2762" s="800"/>
      <c r="AW2762" s="800"/>
      <c r="AX2762" s="800"/>
      <c r="AY2762" s="800"/>
      <c r="AZ2762" s="800"/>
      <c r="BA2762" s="800"/>
      <c r="BB2762" s="117"/>
      <c r="BC2762" s="117"/>
      <c r="BD2762" s="117"/>
    </row>
    <row r="2763" spans="1:56" customFormat="1" ht="15">
      <c r="A2763" s="114"/>
      <c r="B2763" s="803" t="s">
        <v>2001</v>
      </c>
      <c r="C2763" s="754">
        <v>350</v>
      </c>
      <c r="D2763" s="827">
        <v>0.46800000000000003</v>
      </c>
      <c r="E2763" s="756">
        <v>7.0000000000000007E-2</v>
      </c>
      <c r="F2763" s="756">
        <v>1.49</v>
      </c>
      <c r="G2763" s="828">
        <f>C2763*D2763*E2763*F2763</f>
        <v>17.084340000000001</v>
      </c>
      <c r="H2763" s="828">
        <f>((D2763*2+F2763*2)*E2763)*C2763</f>
        <v>95.942000000000007</v>
      </c>
      <c r="I2763" s="386"/>
      <c r="J2763" s="114"/>
      <c r="K2763" s="800"/>
      <c r="L2763" s="800"/>
      <c r="M2763" s="800"/>
      <c r="N2763" s="800"/>
      <c r="O2763" s="800"/>
      <c r="P2763" s="800"/>
      <c r="Q2763" s="800"/>
      <c r="R2763" s="800"/>
      <c r="S2763" s="800"/>
      <c r="T2763" s="800"/>
      <c r="U2763" s="800"/>
      <c r="V2763" s="800"/>
      <c r="W2763" s="800"/>
      <c r="X2763" s="800"/>
      <c r="Y2763" s="800"/>
      <c r="Z2763" s="800"/>
      <c r="AA2763" s="800"/>
      <c r="AB2763" s="800"/>
      <c r="AC2763" s="800"/>
      <c r="AD2763" s="800"/>
      <c r="AE2763" s="800"/>
      <c r="AF2763" s="800"/>
      <c r="AG2763" s="800"/>
      <c r="AH2763" s="800"/>
      <c r="AI2763" s="800"/>
      <c r="AJ2763" s="800"/>
      <c r="AK2763" s="800"/>
      <c r="AL2763" s="800"/>
      <c r="AM2763" s="800"/>
      <c r="AN2763" s="800"/>
      <c r="AO2763" s="800"/>
      <c r="AP2763" s="800"/>
      <c r="AQ2763" s="800"/>
      <c r="AR2763" s="800"/>
      <c r="AS2763" s="800"/>
      <c r="AT2763" s="800"/>
      <c r="AU2763" s="800"/>
      <c r="AV2763" s="800"/>
      <c r="AW2763" s="800"/>
      <c r="AX2763" s="800"/>
      <c r="AY2763" s="800"/>
      <c r="AZ2763" s="800"/>
      <c r="BA2763" s="800"/>
      <c r="BB2763" s="117"/>
      <c r="BC2763" s="117"/>
      <c r="BD2763" s="117"/>
    </row>
    <row r="2764" spans="1:56" customFormat="1" ht="15">
      <c r="A2764" s="114"/>
      <c r="B2764" s="805"/>
      <c r="C2764" s="806"/>
      <c r="D2764" s="807"/>
      <c r="E2764" s="808"/>
      <c r="F2764" s="758" t="s">
        <v>76</v>
      </c>
      <c r="G2764" s="255">
        <f>SUM(G2762:G2763)</f>
        <v>19.541340000000002</v>
      </c>
      <c r="H2764" s="255">
        <f>SUM(H2762:H2763)</f>
        <v>109.718</v>
      </c>
      <c r="I2764" s="386"/>
      <c r="J2764" s="114"/>
      <c r="K2764" s="800"/>
      <c r="L2764" s="800"/>
      <c r="M2764" s="800"/>
      <c r="N2764" s="800"/>
      <c r="O2764" s="800"/>
      <c r="P2764" s="800"/>
      <c r="Q2764" s="800"/>
      <c r="R2764" s="800"/>
      <c r="S2764" s="800"/>
      <c r="T2764" s="800"/>
      <c r="U2764" s="800"/>
      <c r="V2764" s="800"/>
      <c r="W2764" s="800"/>
      <c r="X2764" s="800"/>
      <c r="Y2764" s="800"/>
      <c r="Z2764" s="800"/>
      <c r="AA2764" s="800"/>
      <c r="AB2764" s="800"/>
      <c r="AC2764" s="800"/>
      <c r="AD2764" s="800"/>
      <c r="AE2764" s="800"/>
      <c r="AF2764" s="800"/>
      <c r="AG2764" s="800"/>
      <c r="AH2764" s="800"/>
      <c r="AI2764" s="800"/>
      <c r="AJ2764" s="800"/>
      <c r="AK2764" s="800"/>
      <c r="AL2764" s="800"/>
      <c r="AM2764" s="800"/>
      <c r="AN2764" s="800"/>
      <c r="AO2764" s="800"/>
      <c r="AP2764" s="800"/>
      <c r="AQ2764" s="800"/>
      <c r="AR2764" s="800"/>
      <c r="AS2764" s="800"/>
      <c r="AT2764" s="800"/>
      <c r="AU2764" s="800"/>
      <c r="AV2764" s="800"/>
      <c r="AW2764" s="800"/>
      <c r="AX2764" s="800"/>
      <c r="AY2764" s="800"/>
      <c r="AZ2764" s="800"/>
      <c r="BA2764" s="800"/>
      <c r="BB2764" s="117"/>
      <c r="BC2764" s="117"/>
      <c r="BD2764" s="117"/>
    </row>
    <row r="2765" spans="1:56" customFormat="1" ht="12.75"/>
    <row r="2766" spans="1:56" s="470" customFormat="1" ht="15">
      <c r="A2766" s="264"/>
      <c r="B2766" s="749"/>
      <c r="C2766" s="387"/>
      <c r="D2766" s="387"/>
      <c r="E2766" s="387"/>
      <c r="F2766" s="387"/>
      <c r="G2766" s="387"/>
      <c r="H2766" s="386"/>
      <c r="I2766" s="386"/>
      <c r="J2766" s="264"/>
      <c r="K2766" s="264"/>
      <c r="L2766" s="264"/>
      <c r="M2766" s="264"/>
      <c r="N2766" s="264"/>
      <c r="O2766" s="264"/>
      <c r="P2766" s="264"/>
      <c r="Q2766" s="264"/>
      <c r="R2766" s="264"/>
      <c r="S2766" s="264"/>
      <c r="T2766" s="264"/>
      <c r="U2766" s="264"/>
      <c r="V2766" s="264"/>
      <c r="W2766" s="264"/>
      <c r="X2766" s="264"/>
      <c r="Y2766" s="264"/>
      <c r="Z2766" s="264"/>
      <c r="AA2766" s="264"/>
      <c r="AB2766" s="264"/>
      <c r="AC2766" s="264"/>
      <c r="AD2766" s="264"/>
      <c r="AE2766" s="264"/>
      <c r="AF2766" s="264"/>
      <c r="AG2766" s="264"/>
      <c r="AH2766" s="264"/>
      <c r="AI2766" s="264"/>
      <c r="AJ2766" s="264"/>
      <c r="AK2766" s="264"/>
      <c r="AL2766" s="264"/>
      <c r="AM2766" s="264"/>
      <c r="AN2766" s="264"/>
      <c r="AO2766" s="264"/>
      <c r="AP2766" s="264"/>
      <c r="AQ2766" s="264"/>
      <c r="AR2766" s="264"/>
      <c r="AS2766" s="264"/>
      <c r="AT2766" s="264"/>
      <c r="AU2766" s="264"/>
      <c r="AV2766" s="264"/>
    </row>
    <row r="2767" spans="1:56" s="470" customFormat="1" ht="15">
      <c r="A2767" s="264"/>
      <c r="B2767" s="750" t="s">
        <v>2193</v>
      </c>
      <c r="C2767" s="751" t="s">
        <v>61</v>
      </c>
      <c r="D2767" s="751" t="s">
        <v>1625</v>
      </c>
      <c r="E2767" s="751" t="s">
        <v>1566</v>
      </c>
      <c r="F2767" s="752" t="s">
        <v>2194</v>
      </c>
      <c r="G2767" s="386"/>
      <c r="H2767" s="264"/>
      <c r="I2767" s="264"/>
      <c r="J2767" s="264"/>
      <c r="K2767" s="264"/>
      <c r="L2767" s="264"/>
      <c r="M2767" s="264"/>
      <c r="N2767" s="264"/>
      <c r="O2767" s="264"/>
      <c r="P2767" s="264"/>
      <c r="Q2767" s="264"/>
      <c r="R2767" s="264"/>
      <c r="S2767" s="264"/>
      <c r="T2767" s="264"/>
      <c r="U2767" s="264"/>
      <c r="V2767" s="264"/>
      <c r="W2767" s="264"/>
      <c r="X2767" s="264"/>
      <c r="Y2767" s="264"/>
      <c r="Z2767" s="264"/>
      <c r="AA2767" s="264"/>
      <c r="AB2767" s="264"/>
      <c r="AC2767" s="264"/>
      <c r="AD2767" s="264"/>
      <c r="AE2767" s="264"/>
      <c r="AF2767" s="264"/>
      <c r="AG2767" s="264"/>
      <c r="AH2767" s="264"/>
      <c r="AI2767" s="264"/>
      <c r="AJ2767" s="264"/>
      <c r="AK2767" s="264"/>
      <c r="AL2767" s="264"/>
      <c r="AM2767" s="264"/>
      <c r="AN2767" s="264"/>
      <c r="AO2767" s="264"/>
      <c r="AP2767" s="264"/>
      <c r="AQ2767" s="264"/>
      <c r="AR2767" s="264"/>
      <c r="AS2767" s="264"/>
      <c r="AT2767" s="264"/>
      <c r="AU2767" s="264"/>
      <c r="AV2767" s="264"/>
      <c r="AW2767" s="264"/>
      <c r="AX2767" s="264"/>
      <c r="AY2767" s="264"/>
    </row>
    <row r="2768" spans="1:56" s="470" customFormat="1" ht="15">
      <c r="A2768" s="264"/>
      <c r="B2768" s="753" t="s">
        <v>2195</v>
      </c>
      <c r="C2768" s="754">
        <v>5</v>
      </c>
      <c r="D2768" s="755">
        <v>1.98</v>
      </c>
      <c r="E2768" s="756">
        <v>0.15</v>
      </c>
      <c r="F2768" s="759">
        <f>D2768*E2768*C2768</f>
        <v>1.4849999999999999</v>
      </c>
      <c r="G2768" s="386"/>
      <c r="H2768" s="264"/>
      <c r="I2768" s="264"/>
      <c r="J2768" s="264"/>
      <c r="K2768" s="264"/>
      <c r="L2768" s="264"/>
      <c r="M2768" s="264"/>
      <c r="N2768" s="264"/>
      <c r="O2768" s="264"/>
      <c r="P2768" s="264"/>
      <c r="Q2768" s="264"/>
      <c r="R2768" s="264"/>
      <c r="S2768" s="264"/>
      <c r="T2768" s="264"/>
      <c r="U2768" s="264"/>
      <c r="V2768" s="264"/>
      <c r="W2768" s="264"/>
      <c r="X2768" s="264"/>
      <c r="Y2768" s="264"/>
      <c r="Z2768" s="264"/>
      <c r="AA2768" s="264"/>
      <c r="AB2768" s="264"/>
      <c r="AC2768" s="264"/>
      <c r="AD2768" s="264"/>
      <c r="AE2768" s="264"/>
      <c r="AF2768" s="264"/>
      <c r="AG2768" s="264"/>
      <c r="AH2768" s="264"/>
      <c r="AI2768" s="264"/>
      <c r="AJ2768" s="264"/>
      <c r="AK2768" s="264"/>
      <c r="AL2768" s="264"/>
      <c r="AM2768" s="264"/>
      <c r="AN2768" s="264"/>
      <c r="AO2768" s="264"/>
      <c r="AP2768" s="264"/>
      <c r="AQ2768" s="264"/>
      <c r="AR2768" s="264"/>
      <c r="AS2768" s="264"/>
      <c r="AT2768" s="264"/>
      <c r="AU2768" s="264"/>
      <c r="AV2768" s="264"/>
      <c r="AW2768" s="264"/>
      <c r="AX2768" s="264"/>
      <c r="AY2768" s="264"/>
    </row>
    <row r="2769" spans="1:56" s="470" customFormat="1" ht="15">
      <c r="A2769" s="264"/>
      <c r="B2769" s="757"/>
      <c r="C2769" s="264"/>
      <c r="D2769" s="264"/>
      <c r="E2769" s="758" t="s">
        <v>767</v>
      </c>
      <c r="F2769" s="932">
        <f>SUM(F2768:F2768)</f>
        <v>1.4849999999999999</v>
      </c>
      <c r="G2769" s="264"/>
      <c r="H2769" s="264"/>
      <c r="I2769" s="264"/>
      <c r="J2769" s="264"/>
      <c r="K2769" s="264"/>
      <c r="L2769" s="264"/>
      <c r="M2769" s="264"/>
      <c r="N2769" s="264"/>
      <c r="O2769" s="264"/>
      <c r="P2769" s="264"/>
      <c r="Q2769" s="264"/>
      <c r="R2769" s="264"/>
      <c r="S2769" s="264"/>
      <c r="T2769" s="264"/>
      <c r="U2769" s="264"/>
      <c r="V2769" s="264"/>
      <c r="W2769" s="264"/>
      <c r="X2769" s="264"/>
      <c r="Y2769" s="264"/>
      <c r="Z2769" s="264"/>
      <c r="AA2769" s="264"/>
      <c r="AB2769" s="264"/>
      <c r="AC2769" s="264"/>
      <c r="AD2769" s="264"/>
      <c r="AE2769" s="264"/>
      <c r="AF2769" s="264"/>
      <c r="AG2769" s="264"/>
      <c r="AH2769" s="264"/>
      <c r="AI2769" s="264"/>
      <c r="AJ2769" s="264"/>
      <c r="AK2769" s="264"/>
      <c r="AL2769" s="264"/>
      <c r="AM2769" s="264"/>
      <c r="AN2769" s="264"/>
      <c r="AO2769" s="264"/>
      <c r="AP2769" s="264"/>
      <c r="AQ2769" s="264"/>
      <c r="AR2769" s="264"/>
      <c r="AS2769" s="264"/>
      <c r="AT2769" s="264"/>
      <c r="AU2769" s="264"/>
      <c r="AV2769" s="264"/>
      <c r="AW2769" s="264"/>
      <c r="AX2769" s="264"/>
    </row>
    <row r="2770" spans="1:56" ht="15">
      <c r="A2770" s="114"/>
      <c r="B2770" s="310"/>
      <c r="C2770" s="114"/>
      <c r="D2770" s="114"/>
      <c r="E2770" s="748"/>
      <c r="F2770" s="638"/>
      <c r="G2770" s="114"/>
      <c r="H2770" s="114"/>
      <c r="I2770" s="114"/>
      <c r="J2770" s="114"/>
      <c r="AY2770" s="117"/>
      <c r="AZ2770" s="117"/>
      <c r="BA2770" s="117"/>
      <c r="BB2770" s="117"/>
      <c r="BC2770" s="117"/>
      <c r="BD2770" s="117"/>
    </row>
    <row r="2771" spans="1:56" ht="15">
      <c r="A2771" s="114"/>
      <c r="B2771" s="310"/>
      <c r="C2771" s="114"/>
      <c r="D2771" s="114"/>
      <c r="E2771" s="227"/>
      <c r="F2771" s="638"/>
      <c r="G2771" s="638"/>
      <c r="H2771" s="114"/>
      <c r="I2771" s="114"/>
      <c r="J2771" s="114"/>
      <c r="AZ2771" s="117"/>
      <c r="BA2771" s="117"/>
      <c r="BB2771" s="117"/>
      <c r="BC2771" s="117"/>
      <c r="BD2771" s="117"/>
    </row>
    <row r="2772" spans="1:56">
      <c r="A2772" s="114"/>
      <c r="B2772" s="1309" t="s">
        <v>2002</v>
      </c>
      <c r="C2772" s="1307"/>
      <c r="D2772" s="1307"/>
      <c r="E2772" s="1307"/>
      <c r="F2772" s="1308"/>
      <c r="G2772" s="115"/>
      <c r="H2772" s="115"/>
      <c r="I2772" s="82"/>
      <c r="J2772" s="114"/>
      <c r="BB2772" s="117"/>
      <c r="BC2772" s="117"/>
      <c r="BD2772" s="117"/>
    </row>
    <row r="2773" spans="1:56">
      <c r="A2773" s="114"/>
      <c r="B2773" s="933"/>
      <c r="C2773" s="115"/>
      <c r="D2773" s="115"/>
      <c r="E2773" s="115"/>
      <c r="F2773" s="357"/>
      <c r="G2773" s="115"/>
      <c r="H2773" s="115"/>
      <c r="I2773" s="82"/>
      <c r="J2773" s="114"/>
      <c r="BB2773" s="117"/>
      <c r="BC2773" s="117"/>
      <c r="BD2773" s="117"/>
    </row>
    <row r="2774" spans="1:56">
      <c r="A2774" s="114"/>
      <c r="B2774" s="934" t="s">
        <v>315</v>
      </c>
      <c r="C2774" s="203"/>
      <c r="D2774" s="204"/>
      <c r="E2774" s="205">
        <f>H2758+H2764</f>
        <v>146.648</v>
      </c>
      <c r="F2774" s="206" t="s">
        <v>13</v>
      </c>
      <c r="G2774" s="115"/>
      <c r="H2774" s="115"/>
      <c r="I2774" s="82"/>
      <c r="J2774" s="114"/>
      <c r="BB2774" s="117"/>
      <c r="BC2774" s="117"/>
      <c r="BD2774" s="117"/>
    </row>
    <row r="2775" spans="1:56">
      <c r="A2775" s="114"/>
      <c r="B2775" s="934" t="s">
        <v>316</v>
      </c>
      <c r="C2775" s="203"/>
      <c r="D2775" s="204"/>
      <c r="E2775" s="205">
        <f>G2758+G2764</f>
        <v>28.601340000000004</v>
      </c>
      <c r="F2775" s="206" t="s">
        <v>100</v>
      </c>
      <c r="G2775" s="115"/>
      <c r="H2775" s="115"/>
      <c r="I2775" s="82"/>
      <c r="J2775" s="114"/>
      <c r="BB2775" s="117"/>
      <c r="BC2775" s="117"/>
      <c r="BD2775" s="117"/>
    </row>
    <row r="2776" spans="1:56">
      <c r="A2776" s="114"/>
      <c r="B2776" s="825" t="s">
        <v>1558</v>
      </c>
      <c r="C2776" s="812"/>
      <c r="D2776" s="813"/>
      <c r="E2776" s="814">
        <f>G2764*3/7</f>
        <v>8.37486</v>
      </c>
      <c r="F2776" s="826" t="s">
        <v>100</v>
      </c>
      <c r="G2776" s="115"/>
      <c r="H2776" s="386"/>
      <c r="I2776" s="114"/>
      <c r="J2776" s="114"/>
      <c r="BA2776" s="117"/>
      <c r="BB2776" s="117"/>
      <c r="BC2776" s="117"/>
      <c r="BD2776" s="117"/>
    </row>
    <row r="2777" spans="1:56">
      <c r="A2777" s="114"/>
      <c r="B2777" s="935" t="s">
        <v>1976</v>
      </c>
      <c r="C2777" s="936"/>
      <c r="D2777" s="937"/>
      <c r="E2777" s="938">
        <f>F2769</f>
        <v>1.4849999999999999</v>
      </c>
      <c r="F2777" s="939" t="s">
        <v>100</v>
      </c>
      <c r="G2777" s="115"/>
      <c r="H2777" s="386"/>
      <c r="I2777" s="114"/>
      <c r="J2777" s="114"/>
      <c r="BA2777" s="117"/>
      <c r="BB2777" s="117"/>
      <c r="BC2777" s="117"/>
      <c r="BD2777" s="117"/>
    </row>
    <row r="2778" spans="1:56">
      <c r="A2778" s="114"/>
      <c r="B2778" s="115"/>
      <c r="C2778" s="115"/>
      <c r="D2778" s="115"/>
      <c r="E2778" s="115"/>
      <c r="F2778" s="115"/>
      <c r="G2778" s="115"/>
      <c r="H2778" s="115"/>
      <c r="I2778" s="82"/>
      <c r="J2778" s="114"/>
      <c r="BB2778" s="117"/>
      <c r="BC2778" s="117"/>
      <c r="BD2778" s="117"/>
    </row>
    <row r="2779" spans="1:56" s="470" customFormat="1" ht="15">
      <c r="A2779" s="264"/>
      <c r="B2779" s="757"/>
      <c r="C2779" s="264"/>
      <c r="D2779" s="264"/>
      <c r="E2779" s="748"/>
      <c r="F2779" s="638"/>
      <c r="G2779" s="638"/>
      <c r="H2779" s="264"/>
      <c r="I2779" s="264"/>
      <c r="J2779" s="264"/>
      <c r="K2779" s="264"/>
      <c r="L2779" s="264"/>
      <c r="M2779" s="264"/>
      <c r="N2779" s="264"/>
      <c r="O2779" s="264"/>
      <c r="P2779" s="264"/>
      <c r="Q2779" s="264"/>
      <c r="R2779" s="264"/>
      <c r="S2779" s="264"/>
      <c r="T2779" s="264"/>
      <c r="U2779" s="264"/>
      <c r="V2779" s="264"/>
      <c r="W2779" s="264"/>
      <c r="X2779" s="264"/>
      <c r="Y2779" s="264"/>
      <c r="Z2779" s="264"/>
      <c r="AA2779" s="264"/>
      <c r="AB2779" s="264"/>
      <c r="AC2779" s="264"/>
      <c r="AD2779" s="264"/>
      <c r="AE2779" s="264"/>
      <c r="AF2779" s="264"/>
      <c r="AG2779" s="264"/>
      <c r="AH2779" s="264"/>
      <c r="AI2779" s="264"/>
      <c r="AJ2779" s="264"/>
      <c r="AK2779" s="264"/>
      <c r="AL2779" s="264"/>
      <c r="AM2779" s="264"/>
      <c r="AN2779" s="264"/>
      <c r="AO2779" s="264"/>
      <c r="AP2779" s="264"/>
      <c r="AQ2779" s="264"/>
      <c r="AR2779" s="264"/>
      <c r="AS2779" s="264"/>
      <c r="AT2779" s="264"/>
      <c r="AU2779" s="264"/>
      <c r="AV2779" s="264"/>
      <c r="AW2779" s="264"/>
      <c r="AX2779" s="264"/>
      <c r="AY2779" s="264"/>
    </row>
    <row r="2780" spans="1:56" s="356" customFormat="1" ht="15">
      <c r="A2780" s="353"/>
      <c r="B2780" s="420" t="s">
        <v>2241</v>
      </c>
      <c r="C2780" s="420"/>
      <c r="D2780" s="420"/>
      <c r="E2780" s="420"/>
      <c r="F2780" s="420"/>
      <c r="G2780" s="420"/>
      <c r="H2780" s="421"/>
      <c r="I2780" s="421"/>
      <c r="J2780" s="353"/>
      <c r="K2780" s="353"/>
      <c r="L2780" s="353"/>
      <c r="M2780" s="353"/>
      <c r="N2780" s="353"/>
      <c r="O2780" s="353"/>
      <c r="P2780" s="353"/>
      <c r="Q2780" s="353"/>
      <c r="R2780" s="353"/>
      <c r="S2780" s="353"/>
      <c r="T2780" s="353"/>
      <c r="U2780" s="353"/>
      <c r="V2780" s="353"/>
      <c r="W2780" s="353"/>
      <c r="X2780" s="353"/>
      <c r="Y2780" s="353"/>
      <c r="Z2780" s="353"/>
      <c r="AA2780" s="353"/>
      <c r="AB2780" s="353"/>
      <c r="AC2780" s="353"/>
      <c r="AD2780" s="353"/>
      <c r="AE2780" s="353"/>
      <c r="AF2780" s="353"/>
      <c r="AG2780" s="353"/>
      <c r="AH2780" s="353"/>
      <c r="AI2780" s="353"/>
      <c r="AJ2780" s="353"/>
      <c r="AK2780" s="353"/>
      <c r="AL2780" s="353"/>
      <c r="AM2780" s="353"/>
      <c r="AN2780" s="353"/>
      <c r="AO2780" s="353"/>
      <c r="AP2780" s="353"/>
      <c r="AQ2780" s="353"/>
      <c r="AR2780" s="353"/>
      <c r="AS2780" s="353"/>
      <c r="AT2780" s="353"/>
      <c r="AU2780" s="353"/>
      <c r="AV2780" s="353"/>
    </row>
    <row r="2781" spans="1:56" s="470" customFormat="1" ht="15">
      <c r="A2781" s="264"/>
      <c r="B2781" s="749"/>
      <c r="C2781" s="387"/>
      <c r="D2781" s="387"/>
      <c r="E2781" s="387"/>
      <c r="F2781" s="387"/>
      <c r="G2781" s="387"/>
      <c r="H2781" s="386"/>
      <c r="I2781" s="386"/>
      <c r="J2781" s="264"/>
      <c r="K2781" s="264"/>
      <c r="L2781" s="264"/>
      <c r="M2781" s="264"/>
      <c r="N2781" s="264"/>
      <c r="O2781" s="264"/>
      <c r="P2781" s="264"/>
      <c r="Q2781" s="264"/>
      <c r="R2781" s="264"/>
      <c r="S2781" s="264"/>
      <c r="T2781" s="264"/>
      <c r="U2781" s="264"/>
      <c r="V2781" s="264"/>
      <c r="W2781" s="264"/>
      <c r="X2781" s="264"/>
      <c r="Y2781" s="264"/>
      <c r="Z2781" s="264"/>
      <c r="AA2781" s="264"/>
      <c r="AB2781" s="264"/>
      <c r="AC2781" s="264"/>
      <c r="AD2781" s="264"/>
      <c r="AE2781" s="264"/>
      <c r="AF2781" s="264"/>
      <c r="AG2781" s="264"/>
      <c r="AH2781" s="264"/>
      <c r="AI2781" s="264"/>
      <c r="AJ2781" s="264"/>
      <c r="AK2781" s="264"/>
      <c r="AL2781" s="264"/>
      <c r="AM2781" s="264"/>
      <c r="AN2781" s="264"/>
      <c r="AO2781" s="264"/>
      <c r="AP2781" s="264"/>
      <c r="AQ2781" s="264"/>
      <c r="AR2781" s="264"/>
      <c r="AS2781" s="264"/>
      <c r="AT2781" s="264"/>
      <c r="AU2781" s="264"/>
      <c r="AV2781" s="264"/>
    </row>
    <row r="2782" spans="1:56" s="470" customFormat="1" ht="15">
      <c r="A2782" s="264"/>
      <c r="B2782" s="750" t="s">
        <v>160</v>
      </c>
      <c r="C2782" s="751" t="s">
        <v>61</v>
      </c>
      <c r="D2782" s="1345" t="s">
        <v>2329</v>
      </c>
      <c r="E2782" s="1346"/>
      <c r="F2782" s="751" t="s">
        <v>1543</v>
      </c>
      <c r="G2782" s="752" t="s">
        <v>1971</v>
      </c>
      <c r="H2782" s="386"/>
      <c r="I2782" s="386"/>
      <c r="J2782" s="264"/>
      <c r="K2782" s="264"/>
      <c r="L2782" s="264"/>
      <c r="M2782" s="264"/>
      <c r="N2782" s="264"/>
      <c r="O2782" s="264"/>
      <c r="P2782" s="264"/>
      <c r="Q2782" s="264"/>
      <c r="R2782" s="264"/>
      <c r="S2782" s="264"/>
      <c r="T2782" s="264"/>
      <c r="U2782" s="264"/>
      <c r="V2782" s="264"/>
      <c r="W2782" s="264"/>
      <c r="X2782" s="264"/>
      <c r="Y2782" s="264"/>
      <c r="Z2782" s="264"/>
      <c r="AA2782" s="264"/>
      <c r="AB2782" s="264"/>
      <c r="AC2782" s="264"/>
      <c r="AD2782" s="264"/>
      <c r="AE2782" s="264"/>
      <c r="AF2782" s="264"/>
      <c r="AG2782" s="264"/>
      <c r="AH2782" s="264"/>
      <c r="AI2782" s="264"/>
      <c r="AJ2782" s="264"/>
      <c r="AK2782" s="264"/>
      <c r="AL2782" s="264"/>
      <c r="AM2782" s="264"/>
      <c r="AN2782" s="264"/>
      <c r="AO2782" s="264"/>
      <c r="AP2782" s="264"/>
      <c r="AQ2782" s="264"/>
      <c r="AR2782" s="264"/>
      <c r="AS2782" s="264"/>
      <c r="AT2782" s="264"/>
      <c r="AU2782" s="264"/>
      <c r="AV2782" s="264"/>
      <c r="AW2782" s="264"/>
      <c r="AX2782" s="264"/>
      <c r="AY2782" s="264"/>
      <c r="AZ2782" s="264"/>
    </row>
    <row r="2783" spans="1:56" s="470" customFormat="1" ht="15">
      <c r="A2783" s="264"/>
      <c r="B2783" s="753" t="s">
        <v>1972</v>
      </c>
      <c r="C2783" s="754">
        <v>8</v>
      </c>
      <c r="D2783" s="1341">
        <v>274</v>
      </c>
      <c r="E2783" s="1342"/>
      <c r="F2783" s="756">
        <v>34.22</v>
      </c>
      <c r="G2783" s="756">
        <f>(0.19*0.19*F2783)*C2783</f>
        <v>9.8827359999999995</v>
      </c>
      <c r="H2783" s="386"/>
      <c r="I2783" s="264"/>
      <c r="J2783" s="264"/>
      <c r="K2783" s="264"/>
      <c r="L2783" s="264"/>
      <c r="M2783" s="264"/>
      <c r="N2783" s="264"/>
      <c r="O2783" s="264"/>
      <c r="P2783" s="264"/>
      <c r="Q2783" s="264"/>
      <c r="R2783" s="264"/>
      <c r="S2783" s="264"/>
      <c r="T2783" s="264"/>
      <c r="U2783" s="264"/>
      <c r="V2783" s="264"/>
      <c r="W2783" s="264"/>
      <c r="X2783" s="264"/>
      <c r="Y2783" s="264"/>
      <c r="Z2783" s="264"/>
      <c r="AA2783" s="264"/>
      <c r="AB2783" s="264"/>
      <c r="AC2783" s="264"/>
      <c r="AD2783" s="264"/>
      <c r="AE2783" s="264"/>
      <c r="AF2783" s="264"/>
      <c r="AG2783" s="264"/>
      <c r="AH2783" s="264"/>
      <c r="AI2783" s="264"/>
      <c r="AJ2783" s="264"/>
      <c r="AK2783" s="264"/>
      <c r="AL2783" s="264"/>
      <c r="AM2783" s="264"/>
      <c r="AN2783" s="264"/>
      <c r="AO2783" s="264"/>
      <c r="AP2783" s="264"/>
      <c r="AQ2783" s="264"/>
      <c r="AR2783" s="264"/>
      <c r="AS2783" s="264"/>
      <c r="AT2783" s="264"/>
      <c r="AU2783" s="264"/>
      <c r="AV2783" s="264"/>
      <c r="AW2783" s="264"/>
      <c r="AX2783" s="264"/>
      <c r="AY2783" s="264"/>
      <c r="AZ2783" s="264"/>
    </row>
    <row r="2784" spans="1:56" s="470" customFormat="1" ht="15">
      <c r="A2784" s="264"/>
      <c r="B2784" s="753" t="s">
        <v>1973</v>
      </c>
      <c r="C2784" s="754">
        <v>12</v>
      </c>
      <c r="D2784" s="1341">
        <v>431</v>
      </c>
      <c r="E2784" s="1342"/>
      <c r="F2784" s="756">
        <v>34.22</v>
      </c>
      <c r="G2784" s="756">
        <f>(0.19*0.19*F2784)*C2784</f>
        <v>14.824103999999998</v>
      </c>
      <c r="H2784" s="386"/>
      <c r="I2784" s="264"/>
      <c r="J2784" s="264"/>
      <c r="K2784" s="264"/>
      <c r="L2784" s="264"/>
      <c r="M2784" s="264"/>
      <c r="N2784" s="264"/>
      <c r="O2784" s="264"/>
      <c r="P2784" s="264"/>
      <c r="Q2784" s="264"/>
      <c r="R2784" s="264"/>
      <c r="S2784" s="264"/>
      <c r="T2784" s="264"/>
      <c r="U2784" s="264"/>
      <c r="V2784" s="264"/>
      <c r="W2784" s="264"/>
      <c r="X2784" s="264"/>
      <c r="Y2784" s="264"/>
      <c r="Z2784" s="264"/>
      <c r="AA2784" s="264"/>
      <c r="AB2784" s="264"/>
      <c r="AC2784" s="264"/>
      <c r="AD2784" s="264"/>
      <c r="AE2784" s="264"/>
      <c r="AF2784" s="264"/>
      <c r="AG2784" s="264"/>
      <c r="AH2784" s="264"/>
      <c r="AI2784" s="264"/>
      <c r="AJ2784" s="264"/>
      <c r="AK2784" s="264"/>
      <c r="AL2784" s="264"/>
      <c r="AM2784" s="264"/>
      <c r="AN2784" s="264"/>
      <c r="AO2784" s="264"/>
      <c r="AP2784" s="264"/>
      <c r="AQ2784" s="264"/>
      <c r="AR2784" s="264"/>
      <c r="AS2784" s="264"/>
      <c r="AT2784" s="264"/>
      <c r="AU2784" s="264"/>
      <c r="AV2784" s="264"/>
      <c r="AW2784" s="264"/>
      <c r="AX2784" s="264"/>
      <c r="AY2784" s="264"/>
      <c r="AZ2784" s="264"/>
    </row>
    <row r="2785" spans="1:56" s="470" customFormat="1" ht="15">
      <c r="A2785" s="264"/>
      <c r="B2785" s="753" t="s">
        <v>1974</v>
      </c>
      <c r="C2785" s="754">
        <v>3</v>
      </c>
      <c r="D2785" s="1341">
        <v>88</v>
      </c>
      <c r="E2785" s="1342"/>
      <c r="F2785" s="756">
        <v>32.799999999999997</v>
      </c>
      <c r="G2785" s="756">
        <f>(0.19*0.19*F2785)*C2785</f>
        <v>3.5522399999999994</v>
      </c>
      <c r="H2785" s="386"/>
      <c r="I2785" s="264"/>
      <c r="J2785" s="264"/>
      <c r="K2785" s="264"/>
      <c r="L2785" s="264"/>
      <c r="M2785" s="264"/>
      <c r="N2785" s="264"/>
      <c r="O2785" s="264"/>
      <c r="P2785" s="264"/>
      <c r="Q2785" s="264"/>
      <c r="R2785" s="264"/>
      <c r="S2785" s="264"/>
      <c r="T2785" s="264"/>
      <c r="U2785" s="264"/>
      <c r="V2785" s="264"/>
      <c r="W2785" s="264"/>
      <c r="X2785" s="264"/>
      <c r="Y2785" s="264"/>
      <c r="Z2785" s="264"/>
      <c r="AA2785" s="264"/>
      <c r="AB2785" s="264"/>
      <c r="AC2785" s="264"/>
      <c r="AD2785" s="264"/>
      <c r="AE2785" s="264"/>
      <c r="AF2785" s="264"/>
      <c r="AG2785" s="264"/>
      <c r="AH2785" s="264"/>
      <c r="AI2785" s="264"/>
      <c r="AJ2785" s="264"/>
      <c r="AK2785" s="264"/>
      <c r="AL2785" s="264"/>
      <c r="AM2785" s="264"/>
      <c r="AN2785" s="264"/>
      <c r="AO2785" s="264"/>
      <c r="AP2785" s="264"/>
      <c r="AQ2785" s="264"/>
      <c r="AR2785" s="264"/>
      <c r="AS2785" s="264"/>
      <c r="AT2785" s="264"/>
      <c r="AU2785" s="264"/>
      <c r="AV2785" s="264"/>
      <c r="AW2785" s="264"/>
      <c r="AX2785" s="264"/>
      <c r="AY2785" s="264"/>
      <c r="AZ2785" s="264"/>
    </row>
    <row r="2786" spans="1:56" s="470" customFormat="1" ht="15">
      <c r="A2786" s="264"/>
      <c r="B2786" s="753" t="s">
        <v>1988</v>
      </c>
      <c r="C2786" s="754">
        <v>15</v>
      </c>
      <c r="D2786" s="1341"/>
      <c r="E2786" s="1342"/>
      <c r="F2786" s="756">
        <v>6.4</v>
      </c>
      <c r="G2786" s="756">
        <f>(0.19*0.19*F2786)*C2786</f>
        <v>3.4656000000000002</v>
      </c>
      <c r="H2786" s="386"/>
      <c r="I2786" s="264"/>
      <c r="J2786" s="264"/>
      <c r="K2786" s="264"/>
      <c r="L2786" s="264"/>
      <c r="M2786" s="264"/>
      <c r="N2786" s="264"/>
      <c r="O2786" s="264"/>
      <c r="P2786" s="264"/>
      <c r="Q2786" s="264"/>
      <c r="R2786" s="264"/>
      <c r="S2786" s="264"/>
      <c r="T2786" s="264"/>
      <c r="U2786" s="264"/>
      <c r="V2786" s="264"/>
      <c r="W2786" s="264"/>
      <c r="X2786" s="264"/>
      <c r="Y2786" s="264"/>
      <c r="Z2786" s="264"/>
      <c r="AA2786" s="264"/>
      <c r="AB2786" s="264"/>
      <c r="AC2786" s="264"/>
      <c r="AD2786" s="264"/>
      <c r="AE2786" s="264"/>
      <c r="AF2786" s="264"/>
      <c r="AG2786" s="264"/>
      <c r="AH2786" s="264"/>
      <c r="AI2786" s="264"/>
      <c r="AJ2786" s="264"/>
      <c r="AK2786" s="264"/>
      <c r="AL2786" s="264"/>
      <c r="AM2786" s="264"/>
      <c r="AN2786" s="264"/>
      <c r="AO2786" s="264"/>
      <c r="AP2786" s="264"/>
      <c r="AQ2786" s="264"/>
      <c r="AR2786" s="264"/>
      <c r="AS2786" s="264"/>
      <c r="AT2786" s="264"/>
      <c r="AU2786" s="264"/>
      <c r="AV2786" s="264"/>
      <c r="AW2786" s="264"/>
      <c r="AX2786" s="264"/>
      <c r="AY2786" s="264"/>
      <c r="AZ2786" s="264"/>
    </row>
    <row r="2787" spans="1:56" s="470" customFormat="1" ht="15">
      <c r="A2787" s="264"/>
      <c r="B2787" s="757"/>
      <c r="C2787" s="758" t="s">
        <v>767</v>
      </c>
      <c r="D2787" s="1343">
        <f>SUM(D2783:E2786)</f>
        <v>793</v>
      </c>
      <c r="E2787" s="1344"/>
      <c r="G2787" s="759">
        <f>SUM(G2783:G2786)</f>
        <v>31.724679999999999</v>
      </c>
      <c r="H2787" s="264"/>
      <c r="I2787" s="264"/>
      <c r="J2787" s="264"/>
      <c r="K2787" s="264"/>
      <c r="L2787" s="264"/>
      <c r="M2787" s="264"/>
      <c r="N2787" s="264"/>
      <c r="O2787" s="264"/>
      <c r="P2787" s="264"/>
      <c r="Q2787" s="264"/>
      <c r="R2787" s="264"/>
      <c r="S2787" s="264"/>
      <c r="T2787" s="264"/>
      <c r="U2787" s="264"/>
      <c r="V2787" s="264"/>
      <c r="W2787" s="264"/>
      <c r="X2787" s="264"/>
      <c r="Y2787" s="264"/>
      <c r="Z2787" s="264"/>
      <c r="AA2787" s="264"/>
      <c r="AB2787" s="264"/>
      <c r="AC2787" s="264"/>
      <c r="AD2787" s="264"/>
      <c r="AE2787" s="264"/>
      <c r="AF2787" s="264"/>
      <c r="AG2787" s="264"/>
      <c r="AH2787" s="264"/>
      <c r="AI2787" s="264"/>
      <c r="AJ2787" s="264"/>
      <c r="AK2787" s="264"/>
      <c r="AL2787" s="264"/>
      <c r="AM2787" s="264"/>
      <c r="AN2787" s="264"/>
      <c r="AO2787" s="264"/>
      <c r="AP2787" s="264"/>
      <c r="AQ2787" s="264"/>
      <c r="AR2787" s="264"/>
      <c r="AS2787" s="264"/>
      <c r="AT2787" s="264"/>
      <c r="AU2787" s="264"/>
      <c r="AV2787" s="264"/>
      <c r="AW2787" s="264"/>
      <c r="AX2787" s="264"/>
      <c r="AY2787" s="264"/>
    </row>
    <row r="2788" spans="1:56" s="470" customFormat="1" ht="15">
      <c r="A2788" s="264"/>
      <c r="B2788" s="757"/>
      <c r="C2788" s="264"/>
      <c r="D2788" s="264"/>
      <c r="E2788" s="748"/>
      <c r="F2788" s="638"/>
      <c r="G2788" s="638"/>
      <c r="H2788" s="264"/>
      <c r="I2788" s="264"/>
      <c r="J2788" s="264"/>
      <c r="K2788" s="264"/>
      <c r="L2788" s="264"/>
      <c r="M2788" s="264"/>
      <c r="N2788" s="264"/>
      <c r="O2788" s="264"/>
      <c r="P2788" s="264"/>
      <c r="Q2788" s="264"/>
      <c r="R2788" s="264"/>
      <c r="S2788" s="264"/>
      <c r="T2788" s="264"/>
      <c r="U2788" s="264"/>
      <c r="V2788" s="264"/>
      <c r="W2788" s="264"/>
      <c r="X2788" s="264"/>
      <c r="Y2788" s="264"/>
      <c r="Z2788" s="264"/>
      <c r="AA2788" s="264"/>
      <c r="AB2788" s="264"/>
      <c r="AC2788" s="264"/>
      <c r="AD2788" s="264"/>
      <c r="AE2788" s="264"/>
      <c r="AF2788" s="264"/>
      <c r="AG2788" s="264"/>
      <c r="AH2788" s="264"/>
      <c r="AI2788" s="264"/>
      <c r="AJ2788" s="264"/>
      <c r="AK2788" s="264"/>
      <c r="AL2788" s="264"/>
      <c r="AM2788" s="264"/>
      <c r="AN2788" s="264"/>
      <c r="AO2788" s="264"/>
      <c r="AP2788" s="264"/>
      <c r="AQ2788" s="264"/>
      <c r="AR2788" s="264"/>
      <c r="AS2788" s="264"/>
      <c r="AT2788" s="264"/>
      <c r="AU2788" s="264"/>
      <c r="AV2788" s="264"/>
      <c r="AW2788" s="264"/>
      <c r="AX2788" s="264"/>
      <c r="AY2788" s="264"/>
    </row>
    <row r="2789" spans="1:56" s="470" customFormat="1" ht="15">
      <c r="A2789" s="264"/>
      <c r="B2789" s="750" t="s">
        <v>1984</v>
      </c>
      <c r="C2789" s="751" t="s">
        <v>61</v>
      </c>
      <c r="D2789" s="751" t="s">
        <v>1624</v>
      </c>
      <c r="E2789" s="751" t="s">
        <v>1975</v>
      </c>
      <c r="F2789" s="752" t="s">
        <v>1971</v>
      </c>
      <c r="G2789" s="386"/>
      <c r="H2789" s="264"/>
      <c r="I2789" s="264"/>
      <c r="J2789" s="264"/>
      <c r="K2789" s="264"/>
      <c r="L2789" s="264"/>
      <c r="M2789" s="264"/>
      <c r="N2789" s="264"/>
      <c r="O2789" s="264"/>
      <c r="P2789" s="264"/>
      <c r="Q2789" s="264"/>
      <c r="R2789" s="264"/>
      <c r="S2789" s="264"/>
      <c r="T2789" s="264"/>
      <c r="U2789" s="264"/>
      <c r="V2789" s="264"/>
      <c r="W2789" s="264"/>
      <c r="X2789" s="264"/>
      <c r="Y2789" s="264"/>
      <c r="Z2789" s="264"/>
      <c r="AA2789" s="264"/>
      <c r="AB2789" s="264"/>
      <c r="AC2789" s="264"/>
      <c r="AD2789" s="264"/>
      <c r="AE2789" s="264"/>
      <c r="AF2789" s="264"/>
      <c r="AG2789" s="264"/>
      <c r="AH2789" s="264"/>
      <c r="AI2789" s="264"/>
      <c r="AJ2789" s="264"/>
      <c r="AK2789" s="264"/>
      <c r="AL2789" s="264"/>
      <c r="AM2789" s="264"/>
      <c r="AN2789" s="264"/>
      <c r="AO2789" s="264"/>
      <c r="AP2789" s="264"/>
      <c r="AQ2789" s="264"/>
      <c r="AR2789" s="264"/>
      <c r="AS2789" s="264"/>
      <c r="AT2789" s="264"/>
      <c r="AU2789" s="264"/>
      <c r="AV2789" s="264"/>
      <c r="AW2789" s="264"/>
      <c r="AX2789" s="264"/>
      <c r="AY2789" s="264"/>
    </row>
    <row r="2790" spans="1:56" s="470" customFormat="1" ht="15">
      <c r="A2790" s="264"/>
      <c r="B2790" s="753" t="s">
        <v>1972</v>
      </c>
      <c r="C2790" s="754">
        <v>8</v>
      </c>
      <c r="D2790" s="755">
        <f>0.3445+0.1185</f>
        <v>0.46299999999999997</v>
      </c>
      <c r="E2790" s="755">
        <v>0.19</v>
      </c>
      <c r="F2790" s="756">
        <f>E2790*D2790*C2790</f>
        <v>0.70375999999999994</v>
      </c>
      <c r="G2790" s="386"/>
      <c r="H2790" s="264"/>
      <c r="I2790" s="264"/>
      <c r="J2790" s="264"/>
      <c r="K2790" s="264"/>
      <c r="L2790" s="264"/>
      <c r="M2790" s="264"/>
      <c r="N2790" s="264"/>
      <c r="O2790" s="264"/>
      <c r="P2790" s="264"/>
      <c r="Q2790" s="264"/>
      <c r="R2790" s="264"/>
      <c r="S2790" s="264"/>
      <c r="T2790" s="264"/>
      <c r="U2790" s="264"/>
      <c r="V2790" s="264"/>
      <c r="W2790" s="264"/>
      <c r="X2790" s="264"/>
      <c r="Y2790" s="264"/>
      <c r="Z2790" s="264"/>
      <c r="AA2790" s="264"/>
      <c r="AB2790" s="264"/>
      <c r="AC2790" s="264"/>
      <c r="AD2790" s="264"/>
      <c r="AE2790" s="264"/>
      <c r="AF2790" s="264"/>
      <c r="AG2790" s="264"/>
      <c r="AH2790" s="264"/>
      <c r="AI2790" s="264"/>
      <c r="AJ2790" s="264"/>
      <c r="AK2790" s="264"/>
      <c r="AL2790" s="264"/>
      <c r="AM2790" s="264"/>
      <c r="AN2790" s="264"/>
      <c r="AO2790" s="264"/>
      <c r="AP2790" s="264"/>
      <c r="AQ2790" s="264"/>
      <c r="AR2790" s="264"/>
      <c r="AS2790" s="264"/>
      <c r="AT2790" s="264"/>
      <c r="AU2790" s="264"/>
      <c r="AV2790" s="264"/>
      <c r="AW2790" s="264"/>
      <c r="AX2790" s="264"/>
      <c r="AY2790" s="264"/>
    </row>
    <row r="2791" spans="1:56" s="470" customFormat="1" ht="15">
      <c r="A2791" s="264"/>
      <c r="B2791" s="753" t="s">
        <v>1973</v>
      </c>
      <c r="C2791" s="754">
        <v>12</v>
      </c>
      <c r="D2791" s="755">
        <f>0.3445+0.1185+0.4345</f>
        <v>0.89749999999999996</v>
      </c>
      <c r="E2791" s="755">
        <v>0.19</v>
      </c>
      <c r="F2791" s="756">
        <f>E2791*D2791*C2791</f>
        <v>2.0462999999999996</v>
      </c>
      <c r="G2791" s="386"/>
      <c r="H2791" s="264"/>
      <c r="I2791" s="264"/>
      <c r="J2791" s="264"/>
      <c r="K2791" s="264"/>
      <c r="L2791" s="264"/>
      <c r="M2791" s="264"/>
      <c r="N2791" s="264"/>
      <c r="O2791" s="264"/>
      <c r="P2791" s="264"/>
      <c r="Q2791" s="264"/>
      <c r="R2791" s="264"/>
      <c r="S2791" s="264"/>
      <c r="T2791" s="264"/>
      <c r="U2791" s="264"/>
      <c r="V2791" s="264"/>
      <c r="W2791" s="264"/>
      <c r="X2791" s="264"/>
      <c r="Y2791" s="264"/>
      <c r="Z2791" s="264"/>
      <c r="AA2791" s="264"/>
      <c r="AB2791" s="264"/>
      <c r="AC2791" s="264"/>
      <c r="AD2791" s="264"/>
      <c r="AE2791" s="264"/>
      <c r="AF2791" s="264"/>
      <c r="AG2791" s="264"/>
      <c r="AH2791" s="264"/>
      <c r="AI2791" s="264"/>
      <c r="AJ2791" s="264"/>
      <c r="AK2791" s="264"/>
      <c r="AL2791" s="264"/>
      <c r="AM2791" s="264"/>
      <c r="AN2791" s="264"/>
      <c r="AO2791" s="264"/>
      <c r="AP2791" s="264"/>
      <c r="AQ2791" s="264"/>
      <c r="AR2791" s="264"/>
      <c r="AS2791" s="264"/>
      <c r="AT2791" s="264"/>
      <c r="AU2791" s="264"/>
      <c r="AV2791" s="264"/>
      <c r="AW2791" s="264"/>
      <c r="AX2791" s="264"/>
      <c r="AY2791" s="264"/>
    </row>
    <row r="2792" spans="1:56" s="470" customFormat="1" ht="15">
      <c r="A2792" s="264"/>
      <c r="B2792" s="753" t="s">
        <v>1974</v>
      </c>
      <c r="C2792" s="754">
        <v>3</v>
      </c>
      <c r="D2792" s="755">
        <f>0.3445+0.4319</f>
        <v>0.77639999999999998</v>
      </c>
      <c r="E2792" s="755">
        <v>0.19</v>
      </c>
      <c r="F2792" s="756">
        <f>E2792*D2792*C2792</f>
        <v>0.44254800000000005</v>
      </c>
      <c r="G2792" s="386"/>
      <c r="H2792" s="264"/>
      <c r="I2792" s="264"/>
      <c r="J2792" s="264"/>
      <c r="K2792" s="264"/>
      <c r="L2792" s="264"/>
      <c r="M2792" s="264"/>
      <c r="N2792" s="264"/>
      <c r="O2792" s="264"/>
      <c r="P2792" s="264"/>
      <c r="Q2792" s="264"/>
      <c r="R2792" s="264"/>
      <c r="S2792" s="264"/>
      <c r="T2792" s="264"/>
      <c r="U2792" s="264"/>
      <c r="V2792" s="264"/>
      <c r="W2792" s="264"/>
      <c r="X2792" s="264"/>
      <c r="Y2792" s="264"/>
      <c r="Z2792" s="264"/>
      <c r="AA2792" s="264"/>
      <c r="AB2792" s="264"/>
      <c r="AC2792" s="264"/>
      <c r="AD2792" s="264"/>
      <c r="AE2792" s="264"/>
      <c r="AF2792" s="264"/>
      <c r="AG2792" s="264"/>
      <c r="AH2792" s="264"/>
      <c r="AI2792" s="264"/>
      <c r="AJ2792" s="264"/>
      <c r="AK2792" s="264"/>
      <c r="AL2792" s="264"/>
      <c r="AM2792" s="264"/>
      <c r="AN2792" s="264"/>
      <c r="AO2792" s="264"/>
      <c r="AP2792" s="264"/>
      <c r="AQ2792" s="264"/>
      <c r="AR2792" s="264"/>
      <c r="AS2792" s="264"/>
      <c r="AT2792" s="264"/>
      <c r="AU2792" s="264"/>
      <c r="AV2792" s="264"/>
      <c r="AW2792" s="264"/>
      <c r="AX2792" s="264"/>
      <c r="AY2792" s="264"/>
    </row>
    <row r="2793" spans="1:56" s="470" customFormat="1" ht="15">
      <c r="A2793" s="264"/>
      <c r="B2793" s="757"/>
      <c r="C2793" s="264"/>
      <c r="D2793" s="264"/>
      <c r="E2793" s="758" t="s">
        <v>767</v>
      </c>
      <c r="F2793" s="759">
        <f>SUM(F2790:F2792)</f>
        <v>3.1926079999999994</v>
      </c>
      <c r="G2793" s="264"/>
      <c r="H2793" s="264"/>
      <c r="I2793" s="264"/>
      <c r="J2793" s="264"/>
      <c r="K2793" s="264"/>
      <c r="L2793" s="264"/>
      <c r="M2793" s="264"/>
      <c r="N2793" s="264"/>
      <c r="O2793" s="264"/>
      <c r="P2793" s="264"/>
      <c r="Q2793" s="264"/>
      <c r="R2793" s="264"/>
      <c r="S2793" s="264"/>
      <c r="T2793" s="264"/>
      <c r="U2793" s="264"/>
      <c r="V2793" s="264"/>
      <c r="W2793" s="264"/>
      <c r="X2793" s="264"/>
      <c r="Y2793" s="264"/>
      <c r="Z2793" s="264"/>
      <c r="AA2793" s="264"/>
      <c r="AB2793" s="264"/>
      <c r="AC2793" s="264"/>
      <c r="AD2793" s="264"/>
      <c r="AE2793" s="264"/>
      <c r="AF2793" s="264"/>
      <c r="AG2793" s="264"/>
      <c r="AH2793" s="264"/>
      <c r="AI2793" s="264"/>
      <c r="AJ2793" s="264"/>
      <c r="AK2793" s="264"/>
      <c r="AL2793" s="264"/>
      <c r="AM2793" s="264"/>
      <c r="AN2793" s="264"/>
      <c r="AO2793" s="264"/>
      <c r="AP2793" s="264"/>
      <c r="AQ2793" s="264"/>
      <c r="AR2793" s="264"/>
      <c r="AS2793" s="264"/>
      <c r="AT2793" s="264"/>
      <c r="AU2793" s="264"/>
      <c r="AV2793" s="264"/>
      <c r="AW2793" s="264"/>
      <c r="AX2793" s="264"/>
    </row>
    <row r="2794" spans="1:56" s="470" customFormat="1" ht="15">
      <c r="A2794" s="264"/>
      <c r="B2794" s="757"/>
      <c r="C2794" s="264"/>
      <c r="D2794" s="264"/>
      <c r="E2794" s="748"/>
      <c r="F2794" s="638"/>
      <c r="G2794" s="638"/>
      <c r="H2794" s="264"/>
      <c r="I2794" s="264"/>
      <c r="J2794" s="264"/>
      <c r="K2794" s="264"/>
      <c r="L2794" s="264"/>
      <c r="M2794" s="264"/>
      <c r="N2794" s="264"/>
      <c r="O2794" s="264"/>
      <c r="P2794" s="264"/>
      <c r="Q2794" s="264"/>
      <c r="R2794" s="264"/>
      <c r="S2794" s="264"/>
      <c r="T2794" s="264"/>
      <c r="U2794" s="264"/>
      <c r="V2794" s="264"/>
      <c r="W2794" s="264"/>
      <c r="X2794" s="264"/>
      <c r="Y2794" s="264"/>
      <c r="Z2794" s="264"/>
      <c r="AA2794" s="264"/>
      <c r="AB2794" s="264"/>
      <c r="AC2794" s="264"/>
      <c r="AD2794" s="264"/>
      <c r="AE2794" s="264"/>
      <c r="AF2794" s="264"/>
      <c r="AG2794" s="264"/>
      <c r="AH2794" s="264"/>
      <c r="AI2794" s="264"/>
      <c r="AJ2794" s="264"/>
      <c r="AK2794" s="264"/>
      <c r="AL2794" s="264"/>
      <c r="AM2794" s="264"/>
      <c r="AN2794" s="264"/>
      <c r="AO2794" s="264"/>
      <c r="AP2794" s="264"/>
      <c r="AQ2794" s="264"/>
      <c r="AR2794" s="264"/>
      <c r="AS2794" s="264"/>
      <c r="AT2794" s="264"/>
      <c r="AU2794" s="264"/>
      <c r="AV2794" s="264"/>
      <c r="AW2794" s="264"/>
      <c r="AX2794" s="264"/>
      <c r="AY2794" s="264"/>
    </row>
    <row r="2795" spans="1:56" ht="15">
      <c r="A2795" s="114"/>
      <c r="B2795" s="310"/>
      <c r="C2795" s="114"/>
      <c r="D2795" s="114"/>
      <c r="E2795" s="227"/>
      <c r="F2795" s="638"/>
      <c r="G2795" s="638"/>
      <c r="H2795" s="114"/>
      <c r="I2795" s="114"/>
      <c r="J2795" s="114"/>
      <c r="AZ2795" s="117"/>
      <c r="BA2795" s="117"/>
      <c r="BB2795" s="117"/>
      <c r="BC2795" s="117"/>
      <c r="BD2795" s="117"/>
    </row>
    <row r="2796" spans="1:56">
      <c r="A2796" s="114"/>
      <c r="B2796" s="1307" t="s">
        <v>2003</v>
      </c>
      <c r="C2796" s="1307"/>
      <c r="D2796" s="1307"/>
      <c r="E2796" s="1307"/>
      <c r="F2796" s="1308"/>
      <c r="G2796" s="115"/>
      <c r="H2796" s="115"/>
      <c r="I2796" s="82"/>
      <c r="J2796" s="114"/>
      <c r="BB2796" s="117"/>
      <c r="BC2796" s="117"/>
      <c r="BD2796" s="117"/>
    </row>
    <row r="2797" spans="1:56">
      <c r="A2797" s="114"/>
      <c r="B2797" s="278"/>
      <c r="C2797" s="115"/>
      <c r="D2797" s="115"/>
      <c r="E2797" s="115"/>
      <c r="F2797" s="357"/>
      <c r="G2797" s="115"/>
      <c r="H2797" s="115"/>
      <c r="I2797" s="82"/>
      <c r="J2797" s="114"/>
      <c r="BB2797" s="117"/>
      <c r="BC2797" s="117"/>
      <c r="BD2797" s="117"/>
    </row>
    <row r="2798" spans="1:56">
      <c r="A2798" s="114"/>
      <c r="B2798" s="279" t="s">
        <v>1976</v>
      </c>
      <c r="C2798" s="203"/>
      <c r="D2798" s="204"/>
      <c r="E2798" s="205">
        <f>G2787+F2793</f>
        <v>34.917287999999999</v>
      </c>
      <c r="F2798" s="206" t="s">
        <v>3</v>
      </c>
      <c r="G2798" s="115"/>
      <c r="H2798" s="115"/>
      <c r="I2798" s="82"/>
      <c r="J2798" s="114"/>
      <c r="BB2798" s="117"/>
      <c r="BC2798" s="117"/>
      <c r="BD2798" s="117"/>
    </row>
    <row r="2799" spans="1:56">
      <c r="A2799" s="114"/>
      <c r="B2799" s="279" t="s">
        <v>1985</v>
      </c>
      <c r="C2799" s="203"/>
      <c r="D2799" s="204"/>
      <c r="E2799" s="205">
        <f>D2787</f>
        <v>793</v>
      </c>
      <c r="F2799" s="206" t="s">
        <v>1153</v>
      </c>
      <c r="G2799" s="115"/>
      <c r="H2799" s="115"/>
      <c r="I2799" s="82"/>
      <c r="J2799" s="114"/>
      <c r="BB2799" s="117"/>
      <c r="BC2799" s="117"/>
      <c r="BD2799" s="117"/>
    </row>
    <row r="2800" spans="1:56">
      <c r="A2800" s="114"/>
      <c r="B2800" s="279"/>
      <c r="C2800" s="203"/>
      <c r="D2800" s="204"/>
      <c r="E2800" s="205"/>
      <c r="F2800" s="206"/>
      <c r="G2800" s="115"/>
      <c r="H2800" s="115"/>
      <c r="I2800" s="82"/>
      <c r="J2800" s="114"/>
      <c r="BB2800" s="117"/>
      <c r="BC2800" s="117"/>
      <c r="BD2800" s="117"/>
    </row>
    <row r="2801" spans="1:56">
      <c r="A2801" s="114"/>
      <c r="B2801" s="115"/>
      <c r="C2801" s="115"/>
      <c r="D2801" s="115"/>
      <c r="E2801" s="115"/>
      <c r="F2801" s="115"/>
      <c r="G2801" s="115"/>
      <c r="H2801" s="115"/>
      <c r="I2801" s="82"/>
      <c r="J2801" s="114"/>
      <c r="BB2801" s="117"/>
      <c r="BC2801" s="117"/>
      <c r="BD2801" s="117"/>
    </row>
    <row r="2802" spans="1:56" s="470" customFormat="1" ht="15">
      <c r="A2802" s="264"/>
      <c r="B2802" s="757"/>
      <c r="C2802" s="264"/>
      <c r="D2802" s="264"/>
      <c r="E2802" s="748"/>
      <c r="F2802" s="638"/>
      <c r="G2802" s="638"/>
      <c r="H2802" s="264"/>
      <c r="I2802" s="264"/>
      <c r="J2802" s="264"/>
      <c r="K2802" s="264"/>
      <c r="L2802" s="264"/>
      <c r="M2802" s="264"/>
      <c r="N2802" s="264"/>
      <c r="O2802" s="264"/>
      <c r="P2802" s="264"/>
      <c r="Q2802" s="264"/>
      <c r="R2802" s="264"/>
      <c r="S2802" s="264"/>
      <c r="T2802" s="264"/>
      <c r="U2802" s="264"/>
      <c r="V2802" s="264"/>
      <c r="W2802" s="264"/>
      <c r="X2802" s="264"/>
      <c r="Y2802" s="264"/>
      <c r="Z2802" s="264"/>
      <c r="AA2802" s="264"/>
      <c r="AB2802" s="264"/>
      <c r="AC2802" s="264"/>
      <c r="AD2802" s="264"/>
      <c r="AE2802" s="264"/>
      <c r="AF2802" s="264"/>
      <c r="AG2802" s="264"/>
      <c r="AH2802" s="264"/>
      <c r="AI2802" s="264"/>
      <c r="AJ2802" s="264"/>
      <c r="AK2802" s="264"/>
      <c r="AL2802" s="264"/>
      <c r="AM2802" s="264"/>
      <c r="AN2802" s="264"/>
      <c r="AO2802" s="264"/>
      <c r="AP2802" s="264"/>
      <c r="AQ2802" s="264"/>
      <c r="AR2802" s="264"/>
      <c r="AS2802" s="264"/>
      <c r="AT2802" s="264"/>
      <c r="AU2802" s="264"/>
      <c r="AV2802" s="264"/>
      <c r="AW2802" s="264"/>
      <c r="AX2802" s="264"/>
      <c r="AY2802" s="264"/>
    </row>
    <row r="2803" spans="1:56" s="823" customFormat="1" ht="15">
      <c r="A2803" s="353"/>
      <c r="B2803" s="821" t="s">
        <v>2243</v>
      </c>
      <c r="C2803" s="420"/>
      <c r="D2803" s="420"/>
      <c r="E2803" s="420"/>
      <c r="F2803" s="420"/>
      <c r="G2803" s="420"/>
      <c r="H2803" s="421"/>
      <c r="I2803" s="421"/>
      <c r="J2803" s="353"/>
      <c r="K2803" s="822"/>
      <c r="L2803" s="822"/>
      <c r="M2803" s="822"/>
      <c r="N2803" s="822"/>
      <c r="O2803" s="822"/>
      <c r="P2803" s="822"/>
      <c r="Q2803" s="822"/>
      <c r="R2803" s="822"/>
      <c r="S2803" s="822"/>
      <c r="T2803" s="822"/>
      <c r="U2803" s="822"/>
      <c r="V2803" s="822"/>
      <c r="W2803" s="822"/>
      <c r="X2803" s="822"/>
      <c r="Y2803" s="822"/>
      <c r="Z2803" s="822"/>
      <c r="AA2803" s="822"/>
      <c r="AB2803" s="822"/>
      <c r="AC2803" s="822"/>
      <c r="AD2803" s="822"/>
      <c r="AE2803" s="822"/>
      <c r="AF2803" s="822"/>
      <c r="AG2803" s="822"/>
      <c r="AH2803" s="822"/>
      <c r="AI2803" s="822"/>
      <c r="AJ2803" s="822"/>
      <c r="AK2803" s="822"/>
      <c r="AL2803" s="822"/>
      <c r="AM2803" s="822"/>
      <c r="AN2803" s="822"/>
      <c r="AO2803" s="822"/>
      <c r="AP2803" s="822"/>
      <c r="AQ2803" s="822"/>
      <c r="AR2803" s="822"/>
      <c r="AS2803" s="822"/>
      <c r="AT2803" s="822"/>
      <c r="AU2803" s="822"/>
      <c r="AV2803" s="822"/>
      <c r="AW2803" s="822"/>
      <c r="AX2803" s="822"/>
      <c r="AY2803" s="822"/>
      <c r="AZ2803" s="822"/>
      <c r="BA2803" s="822"/>
      <c r="BB2803" s="356"/>
      <c r="BC2803" s="356"/>
      <c r="BD2803" s="356"/>
    </row>
    <row r="2804" spans="1:56" customFormat="1" ht="12.75"/>
    <row r="2805" spans="1:56" customFormat="1" ht="15">
      <c r="A2805" s="114"/>
      <c r="B2805" s="114"/>
      <c r="C2805" s="114"/>
      <c r="D2805" s="114"/>
      <c r="E2805" s="114"/>
      <c r="F2805" s="114"/>
      <c r="G2805" s="114"/>
      <c r="H2805" s="114"/>
      <c r="I2805" s="386"/>
      <c r="J2805" s="114"/>
      <c r="K2805" s="800"/>
      <c r="L2805" s="800"/>
      <c r="M2805" s="800"/>
      <c r="N2805" s="800"/>
      <c r="O2805" s="800"/>
      <c r="P2805" s="800"/>
      <c r="Q2805" s="800"/>
      <c r="R2805" s="800"/>
      <c r="S2805" s="800"/>
      <c r="T2805" s="800"/>
      <c r="U2805" s="800"/>
      <c r="V2805" s="800"/>
      <c r="W2805" s="800"/>
      <c r="X2805" s="800"/>
      <c r="Y2805" s="800"/>
      <c r="Z2805" s="800"/>
      <c r="AA2805" s="800"/>
      <c r="AB2805" s="800"/>
      <c r="AC2805" s="800"/>
      <c r="AD2805" s="800"/>
      <c r="AE2805" s="800"/>
      <c r="AF2805" s="800"/>
      <c r="AG2805" s="800"/>
      <c r="AH2805" s="800"/>
      <c r="AI2805" s="800"/>
      <c r="AJ2805" s="800"/>
      <c r="AK2805" s="800"/>
      <c r="AL2805" s="800"/>
      <c r="AM2805" s="800"/>
      <c r="AN2805" s="800"/>
      <c r="AO2805" s="800"/>
      <c r="AP2805" s="800"/>
      <c r="AQ2805" s="800"/>
      <c r="AR2805" s="800"/>
      <c r="AS2805" s="800"/>
      <c r="AT2805" s="800"/>
      <c r="AU2805" s="800"/>
      <c r="AV2805" s="800"/>
      <c r="AW2805" s="800"/>
      <c r="AX2805" s="800"/>
      <c r="AY2805" s="800"/>
      <c r="AZ2805" s="800"/>
      <c r="BA2805" s="800"/>
      <c r="BB2805" s="117"/>
      <c r="BC2805" s="117"/>
      <c r="BD2805" s="117"/>
    </row>
    <row r="2806" spans="1:56" customFormat="1" ht="15">
      <c r="A2806" s="114"/>
      <c r="B2806" s="801" t="s">
        <v>116</v>
      </c>
      <c r="C2806" s="751" t="s">
        <v>61</v>
      </c>
      <c r="D2806" s="751" t="s">
        <v>82</v>
      </c>
      <c r="E2806" s="751" t="s">
        <v>66</v>
      </c>
      <c r="F2806" s="751" t="s">
        <v>62</v>
      </c>
      <c r="G2806" s="802" t="s">
        <v>99</v>
      </c>
      <c r="H2806" s="802" t="s">
        <v>68</v>
      </c>
      <c r="I2806" s="386"/>
      <c r="J2806" s="114"/>
      <c r="K2806" s="800"/>
      <c r="L2806" s="800"/>
      <c r="M2806" s="800"/>
      <c r="N2806" s="800"/>
      <c r="O2806" s="800"/>
      <c r="P2806" s="800"/>
      <c r="Q2806" s="800"/>
      <c r="R2806" s="800"/>
      <c r="S2806" s="800"/>
      <c r="T2806" s="800"/>
      <c r="U2806" s="800"/>
      <c r="V2806" s="800"/>
      <c r="W2806" s="800"/>
      <c r="X2806" s="800"/>
      <c r="Y2806" s="800"/>
      <c r="Z2806" s="800"/>
      <c r="AA2806" s="800"/>
      <c r="AB2806" s="800"/>
      <c r="AC2806" s="800"/>
      <c r="AD2806" s="800"/>
      <c r="AE2806" s="800"/>
      <c r="AF2806" s="800"/>
      <c r="AG2806" s="800"/>
      <c r="AH2806" s="800"/>
      <c r="AI2806" s="800"/>
      <c r="AJ2806" s="800"/>
      <c r="AK2806" s="800"/>
      <c r="AL2806" s="800"/>
      <c r="AM2806" s="800"/>
      <c r="AN2806" s="800"/>
      <c r="AO2806" s="800"/>
      <c r="AP2806" s="800"/>
      <c r="AQ2806" s="800"/>
      <c r="AR2806" s="800"/>
      <c r="AS2806" s="800"/>
      <c r="AT2806" s="800"/>
      <c r="AU2806" s="800"/>
      <c r="AV2806" s="800"/>
      <c r="AW2806" s="800"/>
      <c r="AX2806" s="800"/>
      <c r="AY2806" s="800"/>
      <c r="AZ2806" s="800"/>
      <c r="BA2806" s="800"/>
      <c r="BB2806" s="117"/>
      <c r="BC2806" s="117"/>
      <c r="BD2806" s="117"/>
    </row>
    <row r="2807" spans="1:56" customFormat="1" ht="15">
      <c r="A2807" s="114"/>
      <c r="B2807" s="803" t="s">
        <v>89</v>
      </c>
      <c r="C2807" s="754">
        <v>1</v>
      </c>
      <c r="D2807" s="755"/>
      <c r="E2807" s="756">
        <v>0.12</v>
      </c>
      <c r="F2807" s="756">
        <v>61.8</v>
      </c>
      <c r="G2807" s="804">
        <f>F2807*E2807</f>
        <v>7.4159999999999995</v>
      </c>
      <c r="H2807" s="804">
        <f>F2807</f>
        <v>61.8</v>
      </c>
      <c r="I2807" s="386"/>
      <c r="J2807" s="114"/>
      <c r="K2807" s="800"/>
      <c r="L2807" s="800"/>
      <c r="M2807" s="800"/>
      <c r="N2807" s="800"/>
      <c r="O2807" s="800"/>
      <c r="P2807" s="800"/>
      <c r="Q2807" s="800"/>
      <c r="R2807" s="800"/>
      <c r="S2807" s="800"/>
      <c r="T2807" s="800"/>
      <c r="U2807" s="800"/>
      <c r="V2807" s="800"/>
      <c r="W2807" s="800"/>
      <c r="X2807" s="800"/>
      <c r="Y2807" s="800"/>
      <c r="Z2807" s="800"/>
      <c r="AA2807" s="800"/>
      <c r="AB2807" s="800"/>
      <c r="AC2807" s="800"/>
      <c r="AD2807" s="800"/>
      <c r="AE2807" s="800"/>
      <c r="AF2807" s="800"/>
      <c r="AG2807" s="800"/>
      <c r="AH2807" s="800"/>
      <c r="AI2807" s="800"/>
      <c r="AJ2807" s="800"/>
      <c r="AK2807" s="800"/>
      <c r="AL2807" s="800"/>
      <c r="AM2807" s="800"/>
      <c r="AN2807" s="800"/>
      <c r="AO2807" s="800"/>
      <c r="AP2807" s="800"/>
      <c r="AQ2807" s="800"/>
      <c r="AR2807" s="800"/>
      <c r="AS2807" s="800"/>
      <c r="AT2807" s="800"/>
      <c r="AU2807" s="800"/>
      <c r="AV2807" s="800"/>
      <c r="AW2807" s="800"/>
      <c r="AX2807" s="800"/>
      <c r="AY2807" s="800"/>
      <c r="AZ2807" s="800"/>
      <c r="BA2807" s="800"/>
      <c r="BB2807" s="117"/>
      <c r="BC2807" s="117"/>
      <c r="BD2807" s="117"/>
    </row>
    <row r="2808" spans="1:56" customFormat="1" ht="15">
      <c r="A2808" s="114"/>
      <c r="B2808" s="805"/>
      <c r="C2808" s="806"/>
      <c r="D2808" s="807"/>
      <c r="E2808" s="808"/>
      <c r="F2808" s="758" t="s">
        <v>76</v>
      </c>
      <c r="G2808" s="809">
        <f>SUM(G2807:G2807)</f>
        <v>7.4159999999999995</v>
      </c>
      <c r="H2808" s="809">
        <f>SUM(H2807:H2807)</f>
        <v>61.8</v>
      </c>
      <c r="I2808" s="386"/>
      <c r="J2808" s="114"/>
      <c r="K2808" s="800"/>
      <c r="L2808" s="800"/>
      <c r="M2808" s="800"/>
      <c r="N2808" s="800"/>
      <c r="O2808" s="800"/>
      <c r="P2808" s="800"/>
      <c r="Q2808" s="800"/>
      <c r="R2808" s="800"/>
      <c r="S2808" s="800"/>
      <c r="T2808" s="800"/>
      <c r="U2808" s="800"/>
      <c r="V2808" s="800"/>
      <c r="W2808" s="800"/>
      <c r="X2808" s="800"/>
      <c r="Y2808" s="800"/>
      <c r="Z2808" s="800"/>
      <c r="AA2808" s="800"/>
      <c r="AB2808" s="800"/>
      <c r="AC2808" s="800"/>
      <c r="AD2808" s="800"/>
      <c r="AE2808" s="800"/>
      <c r="AF2808" s="800"/>
      <c r="AG2808" s="800"/>
      <c r="AH2808" s="800"/>
      <c r="AI2808" s="800"/>
      <c r="AJ2808" s="800"/>
      <c r="AK2808" s="800"/>
      <c r="AL2808" s="800"/>
      <c r="AM2808" s="800"/>
      <c r="AN2808" s="800"/>
      <c r="AO2808" s="800"/>
      <c r="AP2808" s="800"/>
      <c r="AQ2808" s="800"/>
      <c r="AR2808" s="800"/>
      <c r="AS2808" s="800"/>
      <c r="AT2808" s="800"/>
      <c r="AU2808" s="800"/>
      <c r="AV2808" s="800"/>
      <c r="AW2808" s="800"/>
      <c r="AX2808" s="800"/>
      <c r="AY2808" s="800"/>
      <c r="AZ2808" s="800"/>
      <c r="BA2808" s="800"/>
      <c r="BB2808" s="117"/>
      <c r="BC2808" s="117"/>
      <c r="BD2808" s="117"/>
    </row>
    <row r="2809" spans="1:56" customFormat="1" ht="12.75"/>
    <row r="2810" spans="1:56">
      <c r="A2810" s="114"/>
      <c r="B2810" s="309"/>
      <c r="C2810" s="793"/>
      <c r="D2810" s="793"/>
      <c r="E2810" s="793"/>
      <c r="F2810" s="115"/>
      <c r="G2810" s="196"/>
      <c r="H2810" s="257"/>
      <c r="I2810" s="386"/>
      <c r="J2810" s="114"/>
      <c r="BB2810" s="117"/>
      <c r="BC2810" s="117"/>
      <c r="BD2810" s="117"/>
    </row>
    <row r="2811" spans="1:56">
      <c r="A2811" s="114"/>
      <c r="B2811" s="1309" t="s">
        <v>2004</v>
      </c>
      <c r="C2811" s="1307"/>
      <c r="D2811" s="1307"/>
      <c r="E2811" s="1307"/>
      <c r="F2811" s="1308"/>
      <c r="G2811" s="115"/>
      <c r="H2811" s="115"/>
      <c r="I2811" s="386"/>
      <c r="J2811" s="114"/>
      <c r="BB2811" s="117"/>
      <c r="BC2811" s="117"/>
      <c r="BD2811" s="117"/>
    </row>
    <row r="2812" spans="1:56">
      <c r="A2812" s="114"/>
      <c r="B2812" s="824"/>
      <c r="C2812" s="115"/>
      <c r="D2812" s="115"/>
      <c r="E2812" s="115"/>
      <c r="F2812" s="357"/>
      <c r="G2812" s="115"/>
      <c r="H2812" s="115"/>
      <c r="I2812" s="386"/>
      <c r="J2812" s="114"/>
      <c r="BB2812" s="117"/>
      <c r="BC2812" s="117"/>
      <c r="BD2812" s="117"/>
    </row>
    <row r="2813" spans="1:56">
      <c r="A2813" s="114"/>
      <c r="B2813" s="825" t="s">
        <v>315</v>
      </c>
      <c r="C2813" s="812"/>
      <c r="D2813" s="813"/>
      <c r="E2813" s="814">
        <f>H2808</f>
        <v>61.8</v>
      </c>
      <c r="F2813" s="826" t="s">
        <v>13</v>
      </c>
      <c r="G2813" s="115"/>
      <c r="H2813" s="115"/>
      <c r="I2813" s="386"/>
      <c r="J2813" s="114"/>
      <c r="BB2813" s="117"/>
      <c r="BC2813" s="117"/>
      <c r="BD2813" s="117"/>
    </row>
    <row r="2814" spans="1:56">
      <c r="A2814" s="114"/>
      <c r="B2814" s="825" t="s">
        <v>316</v>
      </c>
      <c r="C2814" s="812"/>
      <c r="D2814" s="813"/>
      <c r="E2814" s="814">
        <f>G2808</f>
        <v>7.4159999999999995</v>
      </c>
      <c r="F2814" s="826" t="s">
        <v>100</v>
      </c>
      <c r="G2814" s="115"/>
      <c r="H2814" s="115"/>
      <c r="I2814" s="386"/>
      <c r="J2814" s="114"/>
      <c r="BB2814" s="117"/>
      <c r="BC2814" s="117"/>
      <c r="BD2814" s="117"/>
    </row>
    <row r="2815" spans="1:56" customFormat="1" ht="12.75"/>
    <row r="2816" spans="1:56" ht="15">
      <c r="A2816" s="114"/>
      <c r="B2816" s="310"/>
      <c r="C2816" s="114"/>
      <c r="D2816" s="114"/>
      <c r="E2816" s="227"/>
      <c r="F2816" s="638"/>
      <c r="G2816" s="638"/>
      <c r="H2816" s="114"/>
      <c r="I2816" s="114"/>
      <c r="J2816" s="114"/>
      <c r="AZ2816" s="117"/>
      <c r="BA2816" s="117"/>
      <c r="BB2816" s="117"/>
      <c r="BC2816" s="117"/>
      <c r="BD2816" s="117"/>
    </row>
    <row r="2817" spans="1:56" s="823" customFormat="1" ht="15">
      <c r="A2817" s="353"/>
      <c r="B2817" s="821" t="s">
        <v>2244</v>
      </c>
      <c r="C2817" s="420"/>
      <c r="D2817" s="420"/>
      <c r="E2817" s="420"/>
      <c r="F2817" s="420"/>
      <c r="G2817" s="420"/>
      <c r="H2817" s="421"/>
      <c r="I2817" s="421"/>
      <c r="J2817" s="353"/>
      <c r="K2817" s="822"/>
      <c r="L2817" s="822"/>
      <c r="M2817" s="822"/>
      <c r="N2817" s="822"/>
      <c r="O2817" s="822"/>
      <c r="P2817" s="822"/>
      <c r="Q2817" s="822"/>
      <c r="R2817" s="822"/>
      <c r="S2817" s="822"/>
      <c r="T2817" s="822"/>
      <c r="U2817" s="822"/>
      <c r="V2817" s="822"/>
      <c r="W2817" s="822"/>
      <c r="X2817" s="822"/>
      <c r="Y2817" s="822"/>
      <c r="Z2817" s="822"/>
      <c r="AA2817" s="822"/>
      <c r="AB2817" s="822"/>
      <c r="AC2817" s="822"/>
      <c r="AD2817" s="822"/>
      <c r="AE2817" s="822"/>
      <c r="AF2817" s="822"/>
      <c r="AG2817" s="822"/>
      <c r="AH2817" s="822"/>
      <c r="AI2817" s="822"/>
      <c r="AJ2817" s="822"/>
      <c r="AK2817" s="822"/>
      <c r="AL2817" s="822"/>
      <c r="AM2817" s="822"/>
      <c r="AN2817" s="822"/>
      <c r="AO2817" s="822"/>
      <c r="AP2817" s="822"/>
      <c r="AQ2817" s="822"/>
      <c r="AR2817" s="822"/>
      <c r="AS2817" s="822"/>
      <c r="AT2817" s="822"/>
      <c r="AU2817" s="822"/>
      <c r="AV2817" s="822"/>
      <c r="AW2817" s="822"/>
      <c r="AX2817" s="822"/>
      <c r="AY2817" s="822"/>
      <c r="AZ2817" s="822"/>
      <c r="BA2817" s="822"/>
      <c r="BB2817" s="356"/>
      <c r="BC2817" s="356"/>
      <c r="BD2817" s="356"/>
    </row>
    <row r="2818" spans="1:56" customFormat="1" ht="12.75"/>
    <row r="2819" spans="1:56" customFormat="1" ht="15">
      <c r="A2819" s="114"/>
      <c r="B2819" s="114"/>
      <c r="C2819" s="114"/>
      <c r="D2819" s="114"/>
      <c r="E2819" s="114"/>
      <c r="F2819" s="114"/>
      <c r="G2819" s="114"/>
      <c r="H2819" s="114"/>
      <c r="I2819" s="386"/>
      <c r="J2819" s="114"/>
      <c r="K2819" s="800"/>
      <c r="L2819" s="800"/>
      <c r="M2819" s="800"/>
      <c r="N2819" s="800"/>
      <c r="O2819" s="800"/>
      <c r="P2819" s="800"/>
      <c r="Q2819" s="800"/>
      <c r="R2819" s="800"/>
      <c r="S2819" s="800"/>
      <c r="T2819" s="800"/>
      <c r="U2819" s="800"/>
      <c r="V2819" s="800"/>
      <c r="W2819" s="800"/>
      <c r="X2819" s="800"/>
      <c r="Y2819" s="800"/>
      <c r="Z2819" s="800"/>
      <c r="AA2819" s="800"/>
      <c r="AB2819" s="800"/>
      <c r="AC2819" s="800"/>
      <c r="AD2819" s="800"/>
      <c r="AE2819" s="800"/>
      <c r="AF2819" s="800"/>
      <c r="AG2819" s="800"/>
      <c r="AH2819" s="800"/>
      <c r="AI2819" s="800"/>
      <c r="AJ2819" s="800"/>
      <c r="AK2819" s="800"/>
      <c r="AL2819" s="800"/>
      <c r="AM2819" s="800"/>
      <c r="AN2819" s="800"/>
      <c r="AO2819" s="800"/>
      <c r="AP2819" s="800"/>
      <c r="AQ2819" s="800"/>
      <c r="AR2819" s="800"/>
      <c r="AS2819" s="800"/>
      <c r="AT2819" s="800"/>
      <c r="AU2819" s="800"/>
      <c r="AV2819" s="800"/>
      <c r="AW2819" s="800"/>
      <c r="AX2819" s="800"/>
      <c r="AY2819" s="800"/>
      <c r="AZ2819" s="800"/>
      <c r="BA2819" s="800"/>
      <c r="BB2819" s="117"/>
      <c r="BC2819" s="117"/>
      <c r="BD2819" s="117"/>
    </row>
    <row r="2820" spans="1:56" customFormat="1" ht="15">
      <c r="A2820" s="114"/>
      <c r="B2820" s="801" t="s">
        <v>1999</v>
      </c>
      <c r="C2820" s="751" t="s">
        <v>61</v>
      </c>
      <c r="D2820" s="751" t="s">
        <v>82</v>
      </c>
      <c r="E2820" s="751" t="s">
        <v>66</v>
      </c>
      <c r="F2820" s="751" t="s">
        <v>62</v>
      </c>
      <c r="G2820" s="802" t="s">
        <v>99</v>
      </c>
      <c r="H2820" s="802" t="s">
        <v>68</v>
      </c>
      <c r="I2820" s="386"/>
      <c r="J2820" s="114"/>
      <c r="K2820" s="800"/>
      <c r="L2820" s="800"/>
      <c r="M2820" s="800"/>
      <c r="N2820" s="800"/>
      <c r="O2820" s="800"/>
      <c r="P2820" s="800"/>
      <c r="Q2820" s="800"/>
      <c r="R2820" s="800"/>
      <c r="S2820" s="800"/>
      <c r="T2820" s="800"/>
      <c r="U2820" s="800"/>
      <c r="V2820" s="800"/>
      <c r="W2820" s="800"/>
      <c r="X2820" s="800"/>
      <c r="Y2820" s="800"/>
      <c r="Z2820" s="800"/>
      <c r="AA2820" s="800"/>
      <c r="AB2820" s="800"/>
      <c r="AC2820" s="800"/>
      <c r="AD2820" s="800"/>
      <c r="AE2820" s="800"/>
      <c r="AF2820" s="800"/>
      <c r="AG2820" s="800"/>
      <c r="AH2820" s="800"/>
      <c r="AI2820" s="800"/>
      <c r="AJ2820" s="800"/>
      <c r="AK2820" s="800"/>
      <c r="AL2820" s="800"/>
      <c r="AM2820" s="800"/>
      <c r="AN2820" s="800"/>
      <c r="AO2820" s="800"/>
      <c r="AP2820" s="800"/>
      <c r="AQ2820" s="800"/>
      <c r="AR2820" s="800"/>
      <c r="AS2820" s="800"/>
      <c r="AT2820" s="800"/>
      <c r="AU2820" s="800"/>
      <c r="AV2820" s="800"/>
      <c r="AW2820" s="800"/>
      <c r="AX2820" s="800"/>
      <c r="AY2820" s="800"/>
      <c r="AZ2820" s="800"/>
      <c r="BA2820" s="800"/>
      <c r="BB2820" s="117"/>
      <c r="BC2820" s="117"/>
      <c r="BD2820" s="117"/>
    </row>
    <row r="2821" spans="1:56" customFormat="1" ht="15">
      <c r="A2821" s="114"/>
      <c r="B2821" s="803" t="s">
        <v>2000</v>
      </c>
      <c r="C2821" s="754">
        <v>256</v>
      </c>
      <c r="D2821" s="827">
        <v>0.32800000000000001</v>
      </c>
      <c r="E2821" s="756">
        <v>0.08</v>
      </c>
      <c r="F2821" s="832">
        <v>0.52900000000000003</v>
      </c>
      <c r="G2821" s="828">
        <f>C2821*D2821*E2821*F2821</f>
        <v>3.5535257600000008</v>
      </c>
      <c r="H2821" s="828">
        <f>((D2821*2+F2821*2)*E2821)*C2821</f>
        <v>35.102719999999998</v>
      </c>
      <c r="I2821" s="386"/>
      <c r="J2821" s="114"/>
      <c r="K2821" s="800"/>
      <c r="L2821" s="800"/>
      <c r="M2821" s="800"/>
      <c r="N2821" s="800"/>
      <c r="O2821" s="800"/>
      <c r="P2821" s="800"/>
      <c r="Q2821" s="800"/>
      <c r="R2821" s="800"/>
      <c r="S2821" s="800"/>
      <c r="T2821" s="800"/>
      <c r="U2821" s="800"/>
      <c r="V2821" s="800"/>
      <c r="W2821" s="800"/>
      <c r="X2821" s="800"/>
      <c r="Y2821" s="800"/>
      <c r="Z2821" s="800"/>
      <c r="AA2821" s="800"/>
      <c r="AB2821" s="800"/>
      <c r="AC2821" s="800"/>
      <c r="AD2821" s="800"/>
      <c r="AE2821" s="800"/>
      <c r="AF2821" s="800"/>
      <c r="AG2821" s="800"/>
      <c r="AH2821" s="800"/>
      <c r="AI2821" s="800"/>
      <c r="AJ2821" s="800"/>
      <c r="AK2821" s="800"/>
      <c r="AL2821" s="800"/>
      <c r="AM2821" s="800"/>
      <c r="AN2821" s="800"/>
      <c r="AO2821" s="800"/>
      <c r="AP2821" s="800"/>
      <c r="AQ2821" s="800"/>
      <c r="AR2821" s="800"/>
      <c r="AS2821" s="800"/>
      <c r="AT2821" s="800"/>
      <c r="AU2821" s="800"/>
      <c r="AV2821" s="800"/>
      <c r="AW2821" s="800"/>
      <c r="AX2821" s="800"/>
      <c r="AY2821" s="800"/>
      <c r="AZ2821" s="800"/>
      <c r="BA2821" s="800"/>
      <c r="BB2821" s="117"/>
      <c r="BC2821" s="117"/>
      <c r="BD2821" s="117"/>
    </row>
    <row r="2822" spans="1:56" customFormat="1" ht="15">
      <c r="A2822" s="114"/>
      <c r="B2822" s="803" t="s">
        <v>2001</v>
      </c>
      <c r="C2822" s="754">
        <v>512</v>
      </c>
      <c r="D2822" s="827">
        <v>0.32800000000000001</v>
      </c>
      <c r="E2822" s="756">
        <v>0.08</v>
      </c>
      <c r="F2822" s="832">
        <v>0.75600000000000001</v>
      </c>
      <c r="G2822" s="828">
        <f t="shared" ref="G2822:G2824" si="319">C2822*D2822*E2822*F2822</f>
        <v>10.156769280000001</v>
      </c>
      <c r="H2822" s="828">
        <f t="shared" ref="H2822:H2824" si="320">((D2822*2+F2822*2)*E2822)*C2822</f>
        <v>88.801280000000006</v>
      </c>
      <c r="I2822" s="386"/>
      <c r="J2822" s="114"/>
      <c r="K2822" s="800"/>
      <c r="L2822" s="800"/>
      <c r="M2822" s="800"/>
      <c r="N2822" s="800"/>
      <c r="O2822" s="800"/>
      <c r="P2822" s="800"/>
      <c r="Q2822" s="800"/>
      <c r="R2822" s="800"/>
      <c r="S2822" s="800"/>
      <c r="T2822" s="800"/>
      <c r="U2822" s="800"/>
      <c r="V2822" s="800"/>
      <c r="W2822" s="800"/>
      <c r="X2822" s="800"/>
      <c r="Y2822" s="800"/>
      <c r="Z2822" s="800"/>
      <c r="AA2822" s="800"/>
      <c r="AB2822" s="800"/>
      <c r="AC2822" s="800"/>
      <c r="AD2822" s="800"/>
      <c r="AE2822" s="800"/>
      <c r="AF2822" s="800"/>
      <c r="AG2822" s="800"/>
      <c r="AH2822" s="800"/>
      <c r="AI2822" s="800"/>
      <c r="AJ2822" s="800"/>
      <c r="AK2822" s="800"/>
      <c r="AL2822" s="800"/>
      <c r="AM2822" s="800"/>
      <c r="AN2822" s="800"/>
      <c r="AO2822" s="800"/>
      <c r="AP2822" s="800"/>
      <c r="AQ2822" s="800"/>
      <c r="AR2822" s="800"/>
      <c r="AS2822" s="800"/>
      <c r="AT2822" s="800"/>
      <c r="AU2822" s="800"/>
      <c r="AV2822" s="800"/>
      <c r="AW2822" s="800"/>
      <c r="AX2822" s="800"/>
      <c r="AY2822" s="800"/>
      <c r="AZ2822" s="800"/>
      <c r="BA2822" s="800"/>
      <c r="BB2822" s="117"/>
      <c r="BC2822" s="117"/>
      <c r="BD2822" s="117"/>
    </row>
    <row r="2823" spans="1:56" customFormat="1" ht="15">
      <c r="A2823" s="114"/>
      <c r="B2823" s="803" t="s">
        <v>2006</v>
      </c>
      <c r="C2823" s="754">
        <v>16</v>
      </c>
      <c r="D2823" s="827">
        <v>0.30599999999999999</v>
      </c>
      <c r="E2823" s="756">
        <v>0.08</v>
      </c>
      <c r="F2823" s="832">
        <v>0.52900000000000003</v>
      </c>
      <c r="G2823" s="828">
        <f t="shared" si="319"/>
        <v>0.20719872000000003</v>
      </c>
      <c r="H2823" s="828">
        <f t="shared" si="320"/>
        <v>2.1375999999999999</v>
      </c>
      <c r="I2823" s="386"/>
      <c r="J2823" s="114"/>
      <c r="K2823" s="800"/>
      <c r="L2823" s="800"/>
      <c r="M2823" s="800"/>
      <c r="N2823" s="800"/>
      <c r="O2823" s="800"/>
      <c r="P2823" s="800"/>
      <c r="Q2823" s="800"/>
      <c r="R2823" s="800"/>
      <c r="S2823" s="800"/>
      <c r="T2823" s="800"/>
      <c r="U2823" s="800"/>
      <c r="V2823" s="800"/>
      <c r="W2823" s="800"/>
      <c r="X2823" s="800"/>
      <c r="Y2823" s="800"/>
      <c r="Z2823" s="800"/>
      <c r="AA2823" s="800"/>
      <c r="AB2823" s="800"/>
      <c r="AC2823" s="800"/>
      <c r="AD2823" s="800"/>
      <c r="AE2823" s="800"/>
      <c r="AF2823" s="800"/>
      <c r="AG2823" s="800"/>
      <c r="AH2823" s="800"/>
      <c r="AI2823" s="800"/>
      <c r="AJ2823" s="800"/>
      <c r="AK2823" s="800"/>
      <c r="AL2823" s="800"/>
      <c r="AM2823" s="800"/>
      <c r="AN2823" s="800"/>
      <c r="AO2823" s="800"/>
      <c r="AP2823" s="800"/>
      <c r="AQ2823" s="800"/>
      <c r="AR2823" s="800"/>
      <c r="AS2823" s="800"/>
      <c r="AT2823" s="800"/>
      <c r="AU2823" s="800"/>
      <c r="AV2823" s="800"/>
      <c r="AW2823" s="800"/>
      <c r="AX2823" s="800"/>
      <c r="AY2823" s="800"/>
      <c r="AZ2823" s="800"/>
      <c r="BA2823" s="800"/>
      <c r="BB2823" s="117"/>
      <c r="BC2823" s="117"/>
      <c r="BD2823" s="117"/>
    </row>
    <row r="2824" spans="1:56" customFormat="1" ht="15">
      <c r="A2824" s="114"/>
      <c r="B2824" s="803" t="s">
        <v>2007</v>
      </c>
      <c r="C2824" s="754">
        <v>32</v>
      </c>
      <c r="D2824" s="827">
        <v>0.30599999999999999</v>
      </c>
      <c r="E2824" s="756">
        <v>0.08</v>
      </c>
      <c r="F2824" s="832">
        <v>0.75600000000000001</v>
      </c>
      <c r="G2824" s="828">
        <f t="shared" si="319"/>
        <v>0.59222016</v>
      </c>
      <c r="H2824" s="828">
        <f t="shared" si="320"/>
        <v>5.4374400000000005</v>
      </c>
      <c r="I2824" s="386"/>
      <c r="J2824" s="114"/>
      <c r="K2824" s="800"/>
      <c r="L2824" s="800"/>
      <c r="M2824" s="800"/>
      <c r="N2824" s="800"/>
      <c r="O2824" s="800"/>
      <c r="P2824" s="800"/>
      <c r="Q2824" s="800"/>
      <c r="R2824" s="800"/>
      <c r="S2824" s="800"/>
      <c r="T2824" s="800"/>
      <c r="U2824" s="800"/>
      <c r="V2824" s="800"/>
      <c r="W2824" s="800"/>
      <c r="X2824" s="800"/>
      <c r="Y2824" s="800"/>
      <c r="Z2824" s="800"/>
      <c r="AA2824" s="800"/>
      <c r="AB2824" s="800"/>
      <c r="AC2824" s="800"/>
      <c r="AD2824" s="800"/>
      <c r="AE2824" s="800"/>
      <c r="AF2824" s="800"/>
      <c r="AG2824" s="800"/>
      <c r="AH2824" s="800"/>
      <c r="AI2824" s="800"/>
      <c r="AJ2824" s="800"/>
      <c r="AK2824" s="800"/>
      <c r="AL2824" s="800"/>
      <c r="AM2824" s="800"/>
      <c r="AN2824" s="800"/>
      <c r="AO2824" s="800"/>
      <c r="AP2824" s="800"/>
      <c r="AQ2824" s="800"/>
      <c r="AR2824" s="800"/>
      <c r="AS2824" s="800"/>
      <c r="AT2824" s="800"/>
      <c r="AU2824" s="800"/>
      <c r="AV2824" s="800"/>
      <c r="AW2824" s="800"/>
      <c r="AX2824" s="800"/>
      <c r="AY2824" s="800"/>
      <c r="AZ2824" s="800"/>
      <c r="BA2824" s="800"/>
      <c r="BB2824" s="117"/>
      <c r="BC2824" s="117"/>
      <c r="BD2824" s="117"/>
    </row>
    <row r="2825" spans="1:56" customFormat="1" ht="15">
      <c r="A2825" s="114"/>
      <c r="B2825" s="805"/>
      <c r="C2825" s="806"/>
      <c r="D2825" s="807"/>
      <c r="E2825" s="808"/>
      <c r="F2825" s="758" t="s">
        <v>76</v>
      </c>
      <c r="G2825" s="255">
        <f>SUM(G2821:G2824)</f>
        <v>14.509713920000001</v>
      </c>
      <c r="H2825" s="255">
        <f>SUM(H2821:H2824)</f>
        <v>131.47904</v>
      </c>
      <c r="I2825" s="386"/>
      <c r="J2825" s="114"/>
      <c r="K2825" s="800"/>
      <c r="L2825" s="800"/>
      <c r="M2825" s="800"/>
      <c r="N2825" s="800"/>
      <c r="O2825" s="800"/>
      <c r="P2825" s="800"/>
      <c r="Q2825" s="800"/>
      <c r="R2825" s="800"/>
      <c r="S2825" s="800"/>
      <c r="T2825" s="800"/>
      <c r="U2825" s="800"/>
      <c r="V2825" s="800"/>
      <c r="W2825" s="800"/>
      <c r="X2825" s="800"/>
      <c r="Y2825" s="800"/>
      <c r="Z2825" s="800"/>
      <c r="AA2825" s="800"/>
      <c r="AB2825" s="800"/>
      <c r="AC2825" s="800"/>
      <c r="AD2825" s="800"/>
      <c r="AE2825" s="800"/>
      <c r="AF2825" s="800"/>
      <c r="AG2825" s="800"/>
      <c r="AH2825" s="800"/>
      <c r="AI2825" s="800"/>
      <c r="AJ2825" s="800"/>
      <c r="AK2825" s="800"/>
      <c r="AL2825" s="800"/>
      <c r="AM2825" s="800"/>
      <c r="AN2825" s="800"/>
      <c r="AO2825" s="800"/>
      <c r="AP2825" s="800"/>
      <c r="AQ2825" s="800"/>
      <c r="AR2825" s="800"/>
      <c r="AS2825" s="800"/>
      <c r="AT2825" s="800"/>
      <c r="AU2825" s="800"/>
      <c r="AV2825" s="800"/>
      <c r="AW2825" s="800"/>
      <c r="AX2825" s="800"/>
      <c r="AY2825" s="800"/>
      <c r="AZ2825" s="800"/>
      <c r="BA2825" s="800"/>
      <c r="BB2825" s="117"/>
      <c r="BC2825" s="117"/>
      <c r="BD2825" s="117"/>
    </row>
    <row r="2826" spans="1:56" customFormat="1" ht="12.75"/>
    <row r="2827" spans="1:56" ht="16.5" thickBot="1">
      <c r="A2827" s="114"/>
      <c r="B2827" s="309"/>
      <c r="C2827" s="793"/>
      <c r="D2827" s="793"/>
      <c r="E2827" s="793"/>
      <c r="F2827" s="115"/>
      <c r="G2827" s="196"/>
      <c r="H2827" s="257"/>
      <c r="I2827" s="386"/>
      <c r="J2827" s="114"/>
      <c r="BB2827" s="117"/>
      <c r="BC2827" s="117"/>
      <c r="BD2827" s="117"/>
    </row>
    <row r="2828" spans="1:56">
      <c r="A2828" s="114"/>
      <c r="B2828" s="1285" t="s">
        <v>98</v>
      </c>
      <c r="C2828" s="1286"/>
      <c r="D2828" s="1286"/>
      <c r="E2828" s="1286"/>
      <c r="F2828" s="1287"/>
      <c r="G2828" s="115"/>
      <c r="H2828" s="115"/>
      <c r="I2828" s="386"/>
      <c r="J2828" s="114"/>
      <c r="BB2828" s="117"/>
      <c r="BC2828" s="117"/>
      <c r="BD2828" s="117"/>
    </row>
    <row r="2829" spans="1:56">
      <c r="A2829" s="114"/>
      <c r="B2829" s="810"/>
      <c r="C2829" s="115"/>
      <c r="D2829" s="115"/>
      <c r="E2829" s="115"/>
      <c r="F2829" s="182"/>
      <c r="G2829" s="115"/>
      <c r="H2829" s="115"/>
      <c r="I2829" s="386"/>
      <c r="J2829" s="114"/>
      <c r="BB2829" s="117"/>
      <c r="BC2829" s="117"/>
      <c r="BD2829" s="117"/>
    </row>
    <row r="2830" spans="1:56">
      <c r="A2830" s="114"/>
      <c r="B2830" s="811" t="s">
        <v>315</v>
      </c>
      <c r="C2830" s="812"/>
      <c r="D2830" s="813"/>
      <c r="E2830" s="814">
        <f>H2825</f>
        <v>131.47904</v>
      </c>
      <c r="F2830" s="815" t="s">
        <v>13</v>
      </c>
      <c r="G2830" s="115"/>
      <c r="H2830" s="115"/>
      <c r="I2830" s="386"/>
      <c r="J2830" s="114"/>
      <c r="BB2830" s="117"/>
      <c r="BC2830" s="117"/>
      <c r="BD2830" s="117"/>
    </row>
    <row r="2831" spans="1:56" ht="16.5" thickBot="1">
      <c r="A2831" s="114"/>
      <c r="B2831" s="816" t="s">
        <v>316</v>
      </c>
      <c r="C2831" s="817"/>
      <c r="D2831" s="818"/>
      <c r="E2831" s="819">
        <f>G2825</f>
        <v>14.509713920000001</v>
      </c>
      <c r="F2831" s="820" t="s">
        <v>100</v>
      </c>
      <c r="G2831" s="115"/>
      <c r="H2831" s="115"/>
      <c r="I2831" s="386"/>
      <c r="J2831" s="114"/>
      <c r="BB2831" s="117"/>
      <c r="BC2831" s="117"/>
      <c r="BD2831" s="117"/>
    </row>
    <row r="2832" spans="1:56" customFormat="1" ht="12.75"/>
    <row r="2833" spans="1:56" customFormat="1" ht="12.75"/>
    <row r="2834" spans="1:56" s="823" customFormat="1" ht="15">
      <c r="A2834" s="353"/>
      <c r="B2834" s="821" t="s">
        <v>2008</v>
      </c>
      <c r="C2834" s="420"/>
      <c r="D2834" s="420"/>
      <c r="E2834" s="420"/>
      <c r="F2834" s="420"/>
      <c r="G2834" s="420"/>
      <c r="H2834" s="421"/>
      <c r="I2834" s="421"/>
      <c r="J2834" s="353"/>
      <c r="K2834" s="822"/>
      <c r="L2834" s="822"/>
      <c r="M2834" s="822"/>
      <c r="N2834" s="822"/>
      <c r="O2834" s="822"/>
      <c r="P2834" s="822"/>
      <c r="Q2834" s="822"/>
      <c r="R2834" s="822"/>
      <c r="S2834" s="822"/>
      <c r="T2834" s="822"/>
      <c r="U2834" s="822"/>
      <c r="V2834" s="822"/>
      <c r="W2834" s="822"/>
      <c r="X2834" s="822"/>
      <c r="Y2834" s="822"/>
      <c r="Z2834" s="822"/>
      <c r="AA2834" s="822"/>
      <c r="AB2834" s="822"/>
      <c r="AC2834" s="822"/>
      <c r="AD2834" s="822"/>
      <c r="AE2834" s="822"/>
      <c r="AF2834" s="822"/>
      <c r="AG2834" s="822"/>
      <c r="AH2834" s="822"/>
      <c r="AI2834" s="822"/>
      <c r="AJ2834" s="822"/>
      <c r="AK2834" s="822"/>
      <c r="AL2834" s="822"/>
      <c r="AM2834" s="822"/>
      <c r="AN2834" s="822"/>
      <c r="AO2834" s="822"/>
      <c r="AP2834" s="822"/>
      <c r="AQ2834" s="822"/>
      <c r="AR2834" s="822"/>
      <c r="AS2834" s="822"/>
      <c r="AT2834" s="822"/>
      <c r="AU2834" s="822"/>
      <c r="AV2834" s="822"/>
      <c r="AW2834" s="822"/>
      <c r="AX2834" s="822"/>
      <c r="AY2834" s="822"/>
      <c r="AZ2834" s="822"/>
      <c r="BA2834" s="822"/>
      <c r="BB2834" s="356"/>
      <c r="BC2834" s="356"/>
      <c r="BD2834" s="356"/>
    </row>
    <row r="2835" spans="1:56" customFormat="1" ht="12.75"/>
    <row r="2836" spans="1:56" customFormat="1" ht="15">
      <c r="A2836" s="114"/>
      <c r="B2836" s="114"/>
      <c r="C2836" s="114"/>
      <c r="D2836" s="114"/>
      <c r="E2836" s="114"/>
      <c r="F2836" s="114"/>
      <c r="G2836" s="114"/>
      <c r="H2836" s="114"/>
      <c r="I2836" s="386"/>
      <c r="J2836" s="114"/>
      <c r="K2836" s="800"/>
      <c r="L2836" s="800"/>
      <c r="M2836" s="800"/>
      <c r="N2836" s="800"/>
      <c r="O2836" s="800"/>
      <c r="P2836" s="800"/>
      <c r="Q2836" s="800"/>
      <c r="R2836" s="800"/>
      <c r="S2836" s="800"/>
      <c r="T2836" s="800"/>
      <c r="U2836" s="800"/>
      <c r="V2836" s="800"/>
      <c r="W2836" s="800"/>
      <c r="X2836" s="800"/>
      <c r="Y2836" s="800"/>
      <c r="Z2836" s="800"/>
      <c r="AA2836" s="800"/>
      <c r="AB2836" s="800"/>
      <c r="AC2836" s="800"/>
      <c r="AD2836" s="800"/>
      <c r="AE2836" s="800"/>
      <c r="AF2836" s="800"/>
      <c r="AG2836" s="800"/>
      <c r="AH2836" s="800"/>
      <c r="AI2836" s="800"/>
      <c r="AJ2836" s="800"/>
      <c r="AK2836" s="800"/>
      <c r="AL2836" s="800"/>
      <c r="AM2836" s="800"/>
      <c r="AN2836" s="800"/>
      <c r="AO2836" s="800"/>
      <c r="AP2836" s="800"/>
      <c r="AQ2836" s="800"/>
      <c r="AR2836" s="800"/>
      <c r="AS2836" s="800"/>
      <c r="AT2836" s="800"/>
      <c r="AU2836" s="800"/>
      <c r="AV2836" s="800"/>
      <c r="AW2836" s="800"/>
      <c r="AX2836" s="800"/>
      <c r="AY2836" s="800"/>
      <c r="AZ2836" s="800"/>
      <c r="BA2836" s="800"/>
      <c r="BB2836" s="117"/>
      <c r="BC2836" s="117"/>
      <c r="BD2836" s="117"/>
    </row>
    <row r="2837" spans="1:56" customFormat="1" ht="15">
      <c r="A2837" s="114"/>
      <c r="B2837" s="801" t="s">
        <v>1999</v>
      </c>
      <c r="C2837" s="751" t="s">
        <v>61</v>
      </c>
      <c r="D2837" s="751" t="s">
        <v>82</v>
      </c>
      <c r="E2837" s="751" t="s">
        <v>66</v>
      </c>
      <c r="F2837" s="751" t="s">
        <v>62</v>
      </c>
      <c r="G2837" s="802" t="s">
        <v>99</v>
      </c>
      <c r="H2837" s="802" t="s">
        <v>68</v>
      </c>
      <c r="I2837" s="386"/>
      <c r="J2837" s="114"/>
      <c r="K2837" s="800"/>
      <c r="L2837" s="800"/>
      <c r="M2837" s="800"/>
      <c r="N2837" s="800"/>
      <c r="O2837" s="800"/>
      <c r="P2837" s="800"/>
      <c r="Q2837" s="800"/>
      <c r="R2837" s="800"/>
      <c r="S2837" s="800"/>
      <c r="T2837" s="800"/>
      <c r="U2837" s="800"/>
      <c r="V2837" s="800"/>
      <c r="W2837" s="800"/>
      <c r="X2837" s="800"/>
      <c r="Y2837" s="800"/>
      <c r="Z2837" s="800"/>
      <c r="AA2837" s="800"/>
      <c r="AB2837" s="800"/>
      <c r="AC2837" s="800"/>
      <c r="AD2837" s="800"/>
      <c r="AE2837" s="800"/>
      <c r="AF2837" s="800"/>
      <c r="AG2837" s="800"/>
      <c r="AH2837" s="800"/>
      <c r="AI2837" s="800"/>
      <c r="AJ2837" s="800"/>
      <c r="AK2837" s="800"/>
      <c r="AL2837" s="800"/>
      <c r="AM2837" s="800"/>
      <c r="AN2837" s="800"/>
      <c r="AO2837" s="800"/>
      <c r="AP2837" s="800"/>
      <c r="AQ2837" s="800"/>
      <c r="AR2837" s="800"/>
      <c r="AS2837" s="800"/>
      <c r="AT2837" s="800"/>
      <c r="AU2837" s="800"/>
      <c r="AV2837" s="800"/>
      <c r="AW2837" s="800"/>
      <c r="AX2837" s="800"/>
      <c r="AY2837" s="800"/>
      <c r="AZ2837" s="800"/>
      <c r="BA2837" s="800"/>
      <c r="BB2837" s="117"/>
      <c r="BC2837" s="117"/>
      <c r="BD2837" s="117"/>
    </row>
    <row r="2838" spans="1:56" customFormat="1" ht="15">
      <c r="A2838" s="114"/>
      <c r="B2838" s="803" t="s">
        <v>2000</v>
      </c>
      <c r="C2838" s="754">
        <v>512</v>
      </c>
      <c r="D2838" s="827">
        <v>0.32800000000000001</v>
      </c>
      <c r="E2838" s="756">
        <v>0.08</v>
      </c>
      <c r="F2838" s="827">
        <v>0.52900000000000003</v>
      </c>
      <c r="G2838" s="828">
        <f>C2838*D2838*E2838*F2838</f>
        <v>7.1070515200000015</v>
      </c>
      <c r="H2838" s="828">
        <f>((D2838*2+F2838*2)*E2838)*C2838</f>
        <v>70.205439999999996</v>
      </c>
      <c r="I2838" s="386"/>
      <c r="J2838" s="114"/>
      <c r="K2838" s="800"/>
      <c r="L2838" s="800"/>
      <c r="M2838" s="800"/>
      <c r="N2838" s="800"/>
      <c r="O2838" s="800"/>
      <c r="P2838" s="800"/>
      <c r="Q2838" s="800"/>
      <c r="R2838" s="800"/>
      <c r="S2838" s="800"/>
      <c r="T2838" s="800"/>
      <c r="U2838" s="800"/>
      <c r="V2838" s="800"/>
      <c r="W2838" s="800"/>
      <c r="X2838" s="800"/>
      <c r="Y2838" s="800"/>
      <c r="Z2838" s="800"/>
      <c r="AA2838" s="800"/>
      <c r="AB2838" s="800"/>
      <c r="AC2838" s="800"/>
      <c r="AD2838" s="800"/>
      <c r="AE2838" s="800"/>
      <c r="AF2838" s="800"/>
      <c r="AG2838" s="800"/>
      <c r="AH2838" s="800"/>
      <c r="AI2838" s="800"/>
      <c r="AJ2838" s="800"/>
      <c r="AK2838" s="800"/>
      <c r="AL2838" s="800"/>
      <c r="AM2838" s="800"/>
      <c r="AN2838" s="800"/>
      <c r="AO2838" s="800"/>
      <c r="AP2838" s="800"/>
      <c r="AQ2838" s="800"/>
      <c r="AR2838" s="800"/>
      <c r="AS2838" s="800"/>
      <c r="AT2838" s="800"/>
      <c r="AU2838" s="800"/>
      <c r="AV2838" s="800"/>
      <c r="AW2838" s="800"/>
      <c r="AX2838" s="800"/>
      <c r="AY2838" s="800"/>
      <c r="AZ2838" s="800"/>
      <c r="BA2838" s="800"/>
      <c r="BB2838" s="117"/>
      <c r="BC2838" s="117"/>
      <c r="BD2838" s="117"/>
    </row>
    <row r="2839" spans="1:56" customFormat="1" ht="15">
      <c r="A2839" s="114"/>
      <c r="B2839" s="803" t="s">
        <v>2001</v>
      </c>
      <c r="C2839" s="754">
        <v>1054</v>
      </c>
      <c r="D2839" s="827">
        <v>0.32800000000000001</v>
      </c>
      <c r="E2839" s="756">
        <v>0.08</v>
      </c>
      <c r="F2839" s="827">
        <v>0.76900000000000002</v>
      </c>
      <c r="G2839" s="828">
        <f t="shared" ref="G2839:G2843" si="321">C2839*D2839*E2839*F2839</f>
        <v>21.268202239999997</v>
      </c>
      <c r="H2839" s="828">
        <f t="shared" ref="H2839:H2843" si="322">((D2839*2+F2839*2)*E2839)*C2839</f>
        <v>184.99808000000002</v>
      </c>
      <c r="I2839" s="386"/>
      <c r="J2839" s="114"/>
      <c r="K2839" s="800"/>
      <c r="L2839" s="800"/>
      <c r="M2839" s="800"/>
      <c r="N2839" s="800"/>
      <c r="O2839" s="800"/>
      <c r="P2839" s="800"/>
      <c r="Q2839" s="800"/>
      <c r="R2839" s="800"/>
      <c r="S2839" s="800"/>
      <c r="T2839" s="800"/>
      <c r="U2839" s="800"/>
      <c r="V2839" s="800"/>
      <c r="W2839" s="800"/>
      <c r="X2839" s="800"/>
      <c r="Y2839" s="800"/>
      <c r="Z2839" s="800"/>
      <c r="AA2839" s="800"/>
      <c r="AB2839" s="800"/>
      <c r="AC2839" s="800"/>
      <c r="AD2839" s="800"/>
      <c r="AE2839" s="800"/>
      <c r="AF2839" s="800"/>
      <c r="AG2839" s="800"/>
      <c r="AH2839" s="800"/>
      <c r="AI2839" s="800"/>
      <c r="AJ2839" s="800"/>
      <c r="AK2839" s="800"/>
      <c r="AL2839" s="800"/>
      <c r="AM2839" s="800"/>
      <c r="AN2839" s="800"/>
      <c r="AO2839" s="800"/>
      <c r="AP2839" s="800"/>
      <c r="AQ2839" s="800"/>
      <c r="AR2839" s="800"/>
      <c r="AS2839" s="800"/>
      <c r="AT2839" s="800"/>
      <c r="AU2839" s="800"/>
      <c r="AV2839" s="800"/>
      <c r="AW2839" s="800"/>
      <c r="AX2839" s="800"/>
      <c r="AY2839" s="800"/>
      <c r="AZ2839" s="800"/>
      <c r="BA2839" s="800"/>
      <c r="BB2839" s="117"/>
      <c r="BC2839" s="117"/>
      <c r="BD2839" s="117"/>
    </row>
    <row r="2840" spans="1:56" customFormat="1" ht="15">
      <c r="A2840" s="114"/>
      <c r="B2840" s="803" t="s">
        <v>2006</v>
      </c>
      <c r="C2840" s="754">
        <v>12</v>
      </c>
      <c r="D2840" s="827">
        <v>0.253</v>
      </c>
      <c r="E2840" s="756">
        <v>0.08</v>
      </c>
      <c r="F2840" s="827">
        <v>0.52900000000000003</v>
      </c>
      <c r="G2840" s="828">
        <f t="shared" si="321"/>
        <v>0.12848352000000002</v>
      </c>
      <c r="H2840" s="828">
        <f t="shared" si="322"/>
        <v>1.5014400000000001</v>
      </c>
      <c r="I2840" s="386"/>
      <c r="J2840" s="114"/>
      <c r="K2840" s="800"/>
      <c r="L2840" s="800"/>
      <c r="M2840" s="800"/>
      <c r="N2840" s="800"/>
      <c r="O2840" s="800"/>
      <c r="P2840" s="800"/>
      <c r="Q2840" s="800"/>
      <c r="R2840" s="800"/>
      <c r="S2840" s="800"/>
      <c r="T2840" s="800"/>
      <c r="U2840" s="800"/>
      <c r="V2840" s="800"/>
      <c r="W2840" s="800"/>
      <c r="X2840" s="800"/>
      <c r="Y2840" s="800"/>
      <c r="Z2840" s="800"/>
      <c r="AA2840" s="800"/>
      <c r="AB2840" s="800"/>
      <c r="AC2840" s="800"/>
      <c r="AD2840" s="800"/>
      <c r="AE2840" s="800"/>
      <c r="AF2840" s="800"/>
      <c r="AG2840" s="800"/>
      <c r="AH2840" s="800"/>
      <c r="AI2840" s="800"/>
      <c r="AJ2840" s="800"/>
      <c r="AK2840" s="800"/>
      <c r="AL2840" s="800"/>
      <c r="AM2840" s="800"/>
      <c r="AN2840" s="800"/>
      <c r="AO2840" s="800"/>
      <c r="AP2840" s="800"/>
      <c r="AQ2840" s="800"/>
      <c r="AR2840" s="800"/>
      <c r="AS2840" s="800"/>
      <c r="AT2840" s="800"/>
      <c r="AU2840" s="800"/>
      <c r="AV2840" s="800"/>
      <c r="AW2840" s="800"/>
      <c r="AX2840" s="800"/>
      <c r="AY2840" s="800"/>
      <c r="AZ2840" s="800"/>
      <c r="BA2840" s="800"/>
      <c r="BB2840" s="117"/>
      <c r="BC2840" s="117"/>
      <c r="BD2840" s="117"/>
    </row>
    <row r="2841" spans="1:56" customFormat="1" ht="15">
      <c r="A2841" s="114"/>
      <c r="B2841" s="803" t="s">
        <v>2007</v>
      </c>
      <c r="C2841" s="754">
        <v>24</v>
      </c>
      <c r="D2841" s="827">
        <v>0.253</v>
      </c>
      <c r="E2841" s="756">
        <v>0.08</v>
      </c>
      <c r="F2841" s="827">
        <v>0.76900000000000002</v>
      </c>
      <c r="G2841" s="828">
        <f t="shared" si="321"/>
        <v>0.37354944000000001</v>
      </c>
      <c r="H2841" s="828">
        <f t="shared" si="322"/>
        <v>3.92448</v>
      </c>
      <c r="I2841" s="386"/>
      <c r="J2841" s="114"/>
      <c r="K2841" s="800"/>
      <c r="L2841" s="800"/>
      <c r="M2841" s="800"/>
      <c r="N2841" s="800"/>
      <c r="O2841" s="800"/>
      <c r="P2841" s="800"/>
      <c r="Q2841" s="800"/>
      <c r="R2841" s="800"/>
      <c r="S2841" s="800"/>
      <c r="T2841" s="800"/>
      <c r="U2841" s="800"/>
      <c r="V2841" s="800"/>
      <c r="W2841" s="800"/>
      <c r="X2841" s="800"/>
      <c r="Y2841" s="800"/>
      <c r="Z2841" s="800"/>
      <c r="AA2841" s="800"/>
      <c r="AB2841" s="800"/>
      <c r="AC2841" s="800"/>
      <c r="AD2841" s="800"/>
      <c r="AE2841" s="800"/>
      <c r="AF2841" s="800"/>
      <c r="AG2841" s="800"/>
      <c r="AH2841" s="800"/>
      <c r="AI2841" s="800"/>
      <c r="AJ2841" s="800"/>
      <c r="AK2841" s="800"/>
      <c r="AL2841" s="800"/>
      <c r="AM2841" s="800"/>
      <c r="AN2841" s="800"/>
      <c r="AO2841" s="800"/>
      <c r="AP2841" s="800"/>
      <c r="AQ2841" s="800"/>
      <c r="AR2841" s="800"/>
      <c r="AS2841" s="800"/>
      <c r="AT2841" s="800"/>
      <c r="AU2841" s="800"/>
      <c r="AV2841" s="800"/>
      <c r="AW2841" s="800"/>
      <c r="AX2841" s="800"/>
      <c r="AY2841" s="800"/>
      <c r="AZ2841" s="800"/>
      <c r="BA2841" s="800"/>
      <c r="BB2841" s="117"/>
      <c r="BC2841" s="117"/>
      <c r="BD2841" s="117"/>
    </row>
    <row r="2842" spans="1:56" customFormat="1" ht="15">
      <c r="A2842" s="114"/>
      <c r="B2842" s="803" t="s">
        <v>2009</v>
      </c>
      <c r="C2842" s="754">
        <v>10</v>
      </c>
      <c r="D2842" s="827">
        <v>0.28399999999999997</v>
      </c>
      <c r="E2842" s="756">
        <v>0.08</v>
      </c>
      <c r="F2842" s="827">
        <v>0.52900000000000003</v>
      </c>
      <c r="G2842" s="828">
        <f t="shared" si="321"/>
        <v>0.1201888</v>
      </c>
      <c r="H2842" s="828">
        <f t="shared" si="322"/>
        <v>1.3008</v>
      </c>
      <c r="I2842" s="386"/>
      <c r="J2842" s="114"/>
      <c r="K2842" s="800"/>
      <c r="L2842" s="800"/>
      <c r="M2842" s="800"/>
      <c r="N2842" s="800"/>
      <c r="O2842" s="800"/>
      <c r="P2842" s="800"/>
      <c r="Q2842" s="800"/>
      <c r="R2842" s="800"/>
      <c r="S2842" s="800"/>
      <c r="T2842" s="800"/>
      <c r="U2842" s="800"/>
      <c r="V2842" s="800"/>
      <c r="W2842" s="800"/>
      <c r="X2842" s="800"/>
      <c r="Y2842" s="800"/>
      <c r="Z2842" s="800"/>
      <c r="AA2842" s="800"/>
      <c r="AB2842" s="800"/>
      <c r="AC2842" s="800"/>
      <c r="AD2842" s="800"/>
      <c r="AE2842" s="800"/>
      <c r="AF2842" s="800"/>
      <c r="AG2842" s="800"/>
      <c r="AH2842" s="800"/>
      <c r="AI2842" s="800"/>
      <c r="AJ2842" s="800"/>
      <c r="AK2842" s="800"/>
      <c r="AL2842" s="800"/>
      <c r="AM2842" s="800"/>
      <c r="AN2842" s="800"/>
      <c r="AO2842" s="800"/>
      <c r="AP2842" s="800"/>
      <c r="AQ2842" s="800"/>
      <c r="AR2842" s="800"/>
      <c r="AS2842" s="800"/>
      <c r="AT2842" s="800"/>
      <c r="AU2842" s="800"/>
      <c r="AV2842" s="800"/>
      <c r="AW2842" s="800"/>
      <c r="AX2842" s="800"/>
      <c r="AY2842" s="800"/>
      <c r="AZ2842" s="800"/>
      <c r="BA2842" s="800"/>
      <c r="BB2842" s="117"/>
      <c r="BC2842" s="117"/>
      <c r="BD2842" s="117"/>
    </row>
    <row r="2843" spans="1:56" customFormat="1" ht="15">
      <c r="A2843" s="114"/>
      <c r="B2843" s="803" t="s">
        <v>2010</v>
      </c>
      <c r="C2843" s="754">
        <v>20</v>
      </c>
      <c r="D2843" s="827">
        <v>0.28399999999999997</v>
      </c>
      <c r="E2843" s="756">
        <v>0.08</v>
      </c>
      <c r="F2843" s="827">
        <v>0.76900000000000002</v>
      </c>
      <c r="G2843" s="828">
        <f t="shared" si="321"/>
        <v>0.34943360000000001</v>
      </c>
      <c r="H2843" s="828">
        <f t="shared" si="322"/>
        <v>3.3695999999999997</v>
      </c>
      <c r="I2843" s="386"/>
      <c r="J2843" s="114"/>
      <c r="K2843" s="800"/>
      <c r="L2843" s="800"/>
      <c r="M2843" s="800"/>
      <c r="N2843" s="800"/>
      <c r="O2843" s="800"/>
      <c r="P2843" s="800"/>
      <c r="Q2843" s="800"/>
      <c r="R2843" s="800"/>
      <c r="S2843" s="800"/>
      <c r="T2843" s="800"/>
      <c r="U2843" s="800"/>
      <c r="V2843" s="800"/>
      <c r="W2843" s="800"/>
      <c r="X2843" s="800"/>
      <c r="Y2843" s="800"/>
      <c r="Z2843" s="800"/>
      <c r="AA2843" s="800"/>
      <c r="AB2843" s="800"/>
      <c r="AC2843" s="800"/>
      <c r="AD2843" s="800"/>
      <c r="AE2843" s="800"/>
      <c r="AF2843" s="800"/>
      <c r="AG2843" s="800"/>
      <c r="AH2843" s="800"/>
      <c r="AI2843" s="800"/>
      <c r="AJ2843" s="800"/>
      <c r="AK2843" s="800"/>
      <c r="AL2843" s="800"/>
      <c r="AM2843" s="800"/>
      <c r="AN2843" s="800"/>
      <c r="AO2843" s="800"/>
      <c r="AP2843" s="800"/>
      <c r="AQ2843" s="800"/>
      <c r="AR2843" s="800"/>
      <c r="AS2843" s="800"/>
      <c r="AT2843" s="800"/>
      <c r="AU2843" s="800"/>
      <c r="AV2843" s="800"/>
      <c r="AW2843" s="800"/>
      <c r="AX2843" s="800"/>
      <c r="AY2843" s="800"/>
      <c r="AZ2843" s="800"/>
      <c r="BA2843" s="800"/>
      <c r="BB2843" s="117"/>
      <c r="BC2843" s="117"/>
      <c r="BD2843" s="117"/>
    </row>
    <row r="2844" spans="1:56" customFormat="1" ht="15">
      <c r="A2844" s="114"/>
      <c r="B2844" s="805"/>
      <c r="C2844" s="806"/>
      <c r="D2844" s="807"/>
      <c r="E2844" s="808"/>
      <c r="F2844" s="758" t="s">
        <v>76</v>
      </c>
      <c r="G2844" s="255">
        <f>SUM(G2838:G2843)</f>
        <v>29.346909120000003</v>
      </c>
      <c r="H2844" s="255">
        <f>SUM(H2838:H2843)</f>
        <v>265.29984000000002</v>
      </c>
      <c r="I2844" s="386"/>
      <c r="J2844" s="114"/>
      <c r="K2844" s="800"/>
      <c r="L2844" s="800"/>
      <c r="M2844" s="800"/>
      <c r="N2844" s="800"/>
      <c r="O2844" s="800"/>
      <c r="P2844" s="800"/>
      <c r="Q2844" s="800"/>
      <c r="R2844" s="800"/>
      <c r="S2844" s="800"/>
      <c r="T2844" s="800"/>
      <c r="U2844" s="800"/>
      <c r="V2844" s="800"/>
      <c r="W2844" s="800"/>
      <c r="X2844" s="800"/>
      <c r="Y2844" s="800"/>
      <c r="Z2844" s="800"/>
      <c r="AA2844" s="800"/>
      <c r="AB2844" s="800"/>
      <c r="AC2844" s="800"/>
      <c r="AD2844" s="800"/>
      <c r="AE2844" s="800"/>
      <c r="AF2844" s="800"/>
      <c r="AG2844" s="800"/>
      <c r="AH2844" s="800"/>
      <c r="AI2844" s="800"/>
      <c r="AJ2844" s="800"/>
      <c r="AK2844" s="800"/>
      <c r="AL2844" s="800"/>
      <c r="AM2844" s="800"/>
      <c r="AN2844" s="800"/>
      <c r="AO2844" s="800"/>
      <c r="AP2844" s="800"/>
      <c r="AQ2844" s="800"/>
      <c r="AR2844" s="800"/>
      <c r="AS2844" s="800"/>
      <c r="AT2844" s="800"/>
      <c r="AU2844" s="800"/>
      <c r="AV2844" s="800"/>
      <c r="AW2844" s="800"/>
      <c r="AX2844" s="800"/>
      <c r="AY2844" s="800"/>
      <c r="AZ2844" s="800"/>
      <c r="BA2844" s="800"/>
      <c r="BB2844" s="117"/>
      <c r="BC2844" s="117"/>
      <c r="BD2844" s="117"/>
    </row>
    <row r="2845" spans="1:56" customFormat="1" ht="12.75"/>
    <row r="2846" spans="1:56" ht="16.5" thickBot="1">
      <c r="A2846" s="114"/>
      <c r="B2846" s="309"/>
      <c r="C2846" s="793"/>
      <c r="D2846" s="793"/>
      <c r="E2846" s="793"/>
      <c r="F2846" s="115"/>
      <c r="G2846" s="196"/>
      <c r="H2846" s="257"/>
      <c r="I2846" s="386"/>
      <c r="J2846" s="114"/>
      <c r="BB2846" s="117"/>
      <c r="BC2846" s="117"/>
      <c r="BD2846" s="117"/>
    </row>
    <row r="2847" spans="1:56">
      <c r="A2847" s="114"/>
      <c r="B2847" s="1285" t="s">
        <v>98</v>
      </c>
      <c r="C2847" s="1286"/>
      <c r="D2847" s="1286"/>
      <c r="E2847" s="1286"/>
      <c r="F2847" s="1287"/>
      <c r="G2847" s="115"/>
      <c r="H2847" s="115"/>
      <c r="I2847" s="386"/>
      <c r="J2847" s="114"/>
      <c r="BB2847" s="117"/>
      <c r="BC2847" s="117"/>
      <c r="BD2847" s="117"/>
    </row>
    <row r="2848" spans="1:56">
      <c r="A2848" s="114"/>
      <c r="B2848" s="810"/>
      <c r="C2848" s="115"/>
      <c r="D2848" s="115"/>
      <c r="E2848" s="115"/>
      <c r="F2848" s="182"/>
      <c r="G2848" s="115"/>
      <c r="H2848" s="115"/>
      <c r="I2848" s="386"/>
      <c r="J2848" s="114"/>
      <c r="BB2848" s="117"/>
      <c r="BC2848" s="117"/>
      <c r="BD2848" s="117"/>
    </row>
    <row r="2849" spans="1:56">
      <c r="A2849" s="114"/>
      <c r="B2849" s="811" t="s">
        <v>315</v>
      </c>
      <c r="C2849" s="812"/>
      <c r="D2849" s="813"/>
      <c r="E2849" s="814">
        <f>H2844</f>
        <v>265.29984000000002</v>
      </c>
      <c r="F2849" s="815" t="s">
        <v>13</v>
      </c>
      <c r="G2849" s="115"/>
      <c r="H2849" s="115"/>
      <c r="I2849" s="386"/>
      <c r="J2849" s="114"/>
      <c r="BB2849" s="117"/>
      <c r="BC2849" s="117"/>
      <c r="BD2849" s="117"/>
    </row>
    <row r="2850" spans="1:56" ht="16.5" thickBot="1">
      <c r="A2850" s="114"/>
      <c r="B2850" s="816" t="s">
        <v>316</v>
      </c>
      <c r="C2850" s="817"/>
      <c r="D2850" s="818"/>
      <c r="E2850" s="819">
        <f>G2844</f>
        <v>29.346909120000003</v>
      </c>
      <c r="F2850" s="820" t="s">
        <v>100</v>
      </c>
      <c r="G2850" s="115"/>
      <c r="H2850" s="115"/>
      <c r="I2850" s="386"/>
      <c r="J2850" s="114"/>
      <c r="BB2850" s="117"/>
      <c r="BC2850" s="117"/>
      <c r="BD2850" s="117"/>
    </row>
    <row r="2851" spans="1:56">
      <c r="A2851" s="114"/>
      <c r="B2851" s="115"/>
      <c r="C2851" s="115"/>
      <c r="D2851" s="115"/>
      <c r="E2851" s="115"/>
      <c r="F2851" s="115"/>
      <c r="G2851" s="115"/>
      <c r="H2851" s="115"/>
      <c r="I2851" s="82"/>
      <c r="J2851" s="114"/>
      <c r="BB2851" s="117"/>
      <c r="BC2851" s="117"/>
      <c r="BD2851" s="117"/>
    </row>
    <row r="2852" spans="1:56">
      <c r="A2852" s="114"/>
      <c r="B2852" s="1329" t="s">
        <v>1096</v>
      </c>
      <c r="C2852" s="1329"/>
      <c r="D2852" s="1329"/>
      <c r="E2852" s="1329"/>
      <c r="F2852" s="1329"/>
      <c r="G2852" s="639"/>
      <c r="H2852" s="639"/>
      <c r="I2852" s="640"/>
      <c r="J2852" s="353"/>
      <c r="BB2852" s="117"/>
      <c r="BC2852" s="117"/>
      <c r="BD2852" s="117"/>
    </row>
    <row r="2853" spans="1:56" ht="16.5" thickBot="1">
      <c r="A2853" s="114"/>
      <c r="B2853" s="634"/>
      <c r="C2853" s="115"/>
      <c r="D2853" s="115"/>
      <c r="E2853" s="115"/>
      <c r="F2853" s="115"/>
      <c r="G2853" s="115"/>
      <c r="H2853" s="115"/>
      <c r="I2853" s="82"/>
      <c r="J2853" s="114"/>
      <c r="BB2853" s="117"/>
      <c r="BC2853" s="117"/>
      <c r="BD2853" s="117"/>
    </row>
    <row r="2854" spans="1:56">
      <c r="A2854" s="114"/>
      <c r="B2854" s="641" t="s">
        <v>315</v>
      </c>
      <c r="C2854" s="642"/>
      <c r="D2854" s="643"/>
      <c r="E2854" s="644">
        <f>E2606+E2551+E2467+E2441+E2290+E2122+E1839+E2750+E2774+E2813+E2830+E2849</f>
        <v>39455.918980500006</v>
      </c>
      <c r="F2854" s="645" t="s">
        <v>13</v>
      </c>
      <c r="G2854" s="115"/>
      <c r="H2854" s="115"/>
      <c r="I2854" s="82"/>
      <c r="J2854" s="114"/>
      <c r="BB2854" s="117"/>
      <c r="BC2854" s="117"/>
      <c r="BD2854" s="117"/>
    </row>
    <row r="2855" spans="1:56">
      <c r="A2855" s="114"/>
      <c r="B2855" s="635" t="s">
        <v>2366</v>
      </c>
      <c r="C2855" s="203"/>
      <c r="D2855" s="204"/>
      <c r="E2855" s="280">
        <v>105569</v>
      </c>
      <c r="F2855" s="216" t="s">
        <v>100</v>
      </c>
      <c r="G2855" s="115"/>
      <c r="H2855" s="115"/>
      <c r="I2855" s="82"/>
      <c r="J2855" s="114"/>
      <c r="BB2855" s="117"/>
      <c r="BC2855" s="117"/>
      <c r="BD2855" s="117"/>
    </row>
    <row r="2856" spans="1:56">
      <c r="A2856" s="114"/>
      <c r="B2856" s="635" t="s">
        <v>316</v>
      </c>
      <c r="C2856" s="203"/>
      <c r="D2856" s="204"/>
      <c r="E2856" s="205">
        <f>E2607+E2552+E2468+E2442+E2291+E2123+E1840+E2751+E2775+E2814+E2831+E2850</f>
        <v>8383.2608633275013</v>
      </c>
      <c r="F2856" s="216" t="s">
        <v>100</v>
      </c>
      <c r="G2856" s="115"/>
      <c r="H2856" s="115"/>
      <c r="I2856" s="82"/>
      <c r="J2856" s="114"/>
      <c r="BB2856" s="117"/>
      <c r="BC2856" s="117"/>
      <c r="BD2856" s="117"/>
    </row>
    <row r="2857" spans="1:56">
      <c r="A2857" s="114"/>
      <c r="B2857" s="635" t="s">
        <v>1675</v>
      </c>
      <c r="C2857" s="203"/>
      <c r="D2857" s="204"/>
      <c r="E2857" s="205">
        <f>E2124+E1841+E2608</f>
        <v>56.032430000000005</v>
      </c>
      <c r="F2857" s="216" t="s">
        <v>100</v>
      </c>
      <c r="G2857" s="115"/>
      <c r="H2857" s="115"/>
      <c r="I2857" s="82"/>
      <c r="J2857" s="114"/>
      <c r="BB2857" s="117"/>
      <c r="BC2857" s="117"/>
      <c r="BD2857" s="117"/>
    </row>
    <row r="2858" spans="1:56">
      <c r="A2858" s="114"/>
      <c r="B2858" s="635" t="s">
        <v>317</v>
      </c>
      <c r="C2858" s="203"/>
      <c r="D2858" s="204"/>
      <c r="E2858" s="205">
        <f>E2553+E2468+E2776</f>
        <v>234.27771000000001</v>
      </c>
      <c r="F2858" s="216" t="s">
        <v>100</v>
      </c>
      <c r="G2858" s="115"/>
      <c r="H2858" s="115"/>
      <c r="I2858" s="82"/>
      <c r="J2858" s="114"/>
      <c r="BB2858" s="117"/>
      <c r="BC2858" s="117"/>
      <c r="BD2858" s="117"/>
    </row>
    <row r="2859" spans="1:56">
      <c r="A2859" s="114"/>
      <c r="B2859" s="635" t="s">
        <v>771</v>
      </c>
      <c r="C2859" s="684">
        <f>E2292+E2125+E1842</f>
        <v>12057.517037037032</v>
      </c>
      <c r="D2859" s="206" t="s">
        <v>1810</v>
      </c>
      <c r="E2859" s="684">
        <f>C2292+C2125+C1842</f>
        <v>10561.488799999997</v>
      </c>
      <c r="F2859" s="216" t="s">
        <v>13</v>
      </c>
      <c r="G2859" s="115"/>
      <c r="H2859" s="115"/>
      <c r="J2859" s="114"/>
      <c r="BB2859" s="117"/>
      <c r="BC2859" s="117"/>
      <c r="BD2859" s="117"/>
    </row>
    <row r="2860" spans="1:56">
      <c r="A2860" s="114"/>
      <c r="B2860" s="635" t="s">
        <v>1976</v>
      </c>
      <c r="C2860" s="203"/>
      <c r="D2860" s="204"/>
      <c r="E2860" s="205">
        <f>E2798+E2777</f>
        <v>36.402287999999999</v>
      </c>
      <c r="F2860" s="216" t="s">
        <v>3</v>
      </c>
      <c r="G2860" s="115"/>
      <c r="H2860" s="115"/>
      <c r="I2860" s="82"/>
      <c r="J2860" s="114"/>
      <c r="BB2860" s="117"/>
      <c r="BC2860" s="117"/>
      <c r="BD2860" s="117"/>
    </row>
    <row r="2861" spans="1:56">
      <c r="A2861" s="114"/>
      <c r="B2861" s="635" t="s">
        <v>2330</v>
      </c>
      <c r="C2861" s="203"/>
      <c r="D2861" s="204"/>
      <c r="E2861" s="205">
        <f>E2799</f>
        <v>793</v>
      </c>
      <c r="F2861" s="216" t="s">
        <v>13</v>
      </c>
      <c r="G2861" s="115"/>
      <c r="H2861" s="115"/>
      <c r="I2861" s="82"/>
      <c r="J2861" s="114"/>
      <c r="BB2861" s="117"/>
      <c r="BC2861" s="117"/>
      <c r="BD2861" s="117"/>
    </row>
    <row r="2862" spans="1:56">
      <c r="A2862" s="114"/>
      <c r="B2862" s="635" t="s">
        <v>1097</v>
      </c>
      <c r="C2862" s="172"/>
      <c r="D2862" s="173"/>
      <c r="E2862" s="280">
        <f>49.3*6+11.45*6+1.7*5+2.47*2+E2554+E2609</f>
        <v>431.38</v>
      </c>
      <c r="F2862" s="214" t="s">
        <v>10</v>
      </c>
      <c r="G2862" s="115"/>
      <c r="H2862" s="236"/>
      <c r="I2862" s="3"/>
      <c r="J2862" s="114"/>
      <c r="BB2862" s="117"/>
      <c r="BC2862" s="117"/>
      <c r="BD2862" s="117"/>
    </row>
    <row r="2863" spans="1:56">
      <c r="A2863" s="114"/>
      <c r="B2863" s="636" t="s">
        <v>318</v>
      </c>
      <c r="C2863" s="289"/>
      <c r="D2863" s="290"/>
      <c r="E2863" s="280">
        <v>3653.7</v>
      </c>
      <c r="F2863" s="214" t="s">
        <v>10</v>
      </c>
      <c r="G2863" s="115"/>
      <c r="H2863" s="236"/>
      <c r="I2863" s="3"/>
      <c r="J2863" s="114"/>
      <c r="BB2863" s="117"/>
      <c r="BC2863" s="117"/>
      <c r="BD2863" s="117"/>
    </row>
    <row r="2864" spans="1:56">
      <c r="A2864" s="114"/>
      <c r="B2864" s="635" t="s">
        <v>1098</v>
      </c>
      <c r="C2864" s="172"/>
      <c r="D2864" s="173"/>
      <c r="E2864" s="359">
        <v>1096</v>
      </c>
      <c r="F2864" s="214" t="s">
        <v>10</v>
      </c>
      <c r="G2864" s="115"/>
      <c r="H2864" s="236"/>
      <c r="I2864" s="3"/>
      <c r="J2864" s="114"/>
      <c r="BB2864" s="117"/>
      <c r="BC2864" s="117"/>
      <c r="BD2864" s="117"/>
    </row>
    <row r="2865" spans="1:56" ht="16.5" thickBot="1">
      <c r="A2865" s="114"/>
      <c r="B2865" s="637" t="s">
        <v>319</v>
      </c>
      <c r="C2865" s="325"/>
      <c r="D2865" s="326"/>
      <c r="E2865" s="358">
        <v>3356.1</v>
      </c>
      <c r="F2865" s="328" t="s">
        <v>10</v>
      </c>
      <c r="G2865" s="115"/>
      <c r="H2865" s="236"/>
      <c r="I2865" s="3"/>
      <c r="J2865" s="114"/>
      <c r="BB2865" s="117"/>
      <c r="BC2865" s="117"/>
      <c r="BD2865" s="117"/>
    </row>
    <row r="2866" spans="1:56" ht="16.5" thickBot="1">
      <c r="A2866" s="114"/>
      <c r="B2866" s="115"/>
      <c r="C2866" s="115"/>
      <c r="D2866" s="115"/>
      <c r="E2866" s="115"/>
      <c r="F2866" s="115"/>
      <c r="G2866" s="115"/>
      <c r="H2866" s="115"/>
      <c r="I2866" s="115"/>
      <c r="J2866" s="114"/>
      <c r="BB2866" s="117"/>
      <c r="BC2866" s="117"/>
      <c r="BD2866" s="117"/>
    </row>
    <row r="2867" spans="1:56">
      <c r="A2867" s="114"/>
      <c r="B2867" s="1332" t="s">
        <v>1099</v>
      </c>
      <c r="C2867" s="1333"/>
      <c r="D2867" s="1333"/>
      <c r="E2867" s="1333"/>
      <c r="F2867" s="1334"/>
      <c r="G2867" s="115"/>
      <c r="H2867" s="115"/>
      <c r="I2867" s="82"/>
      <c r="J2867" s="114"/>
      <c r="BB2867" s="117"/>
      <c r="BC2867" s="117"/>
      <c r="BD2867" s="117"/>
    </row>
    <row r="2868" spans="1:56">
      <c r="A2868" s="114"/>
      <c r="B2868" s="690"/>
      <c r="C2868" s="115"/>
      <c r="D2868" s="115"/>
      <c r="E2868" s="115"/>
      <c r="F2868" s="182"/>
      <c r="G2868" s="115"/>
      <c r="H2868" s="115"/>
      <c r="I2868" s="774"/>
      <c r="J2868" s="114"/>
      <c r="BB2868" s="117"/>
      <c r="BC2868" s="117"/>
      <c r="BD2868" s="117"/>
    </row>
    <row r="2869" spans="1:56" ht="15">
      <c r="A2869" s="114"/>
      <c r="B2869" s="691" t="s">
        <v>1100</v>
      </c>
      <c r="C2869" s="196"/>
      <c r="D2869" s="196"/>
      <c r="E2869" s="196"/>
      <c r="F2869" s="284"/>
      <c r="G2869" s="196"/>
      <c r="H2869" s="196"/>
      <c r="I2869" s="196"/>
      <c r="J2869" s="114"/>
      <c r="BB2869" s="117"/>
      <c r="BC2869" s="117"/>
      <c r="BD2869" s="117"/>
    </row>
    <row r="2870" spans="1:56" ht="15">
      <c r="A2870" s="114"/>
      <c r="B2870" s="692" t="s">
        <v>352</v>
      </c>
      <c r="C2870" s="712">
        <v>78216</v>
      </c>
      <c r="D2870" s="286" t="s">
        <v>12</v>
      </c>
      <c r="E2870" s="1325" t="s">
        <v>1811</v>
      </c>
      <c r="F2870" s="1326"/>
      <c r="G2870" s="196"/>
      <c r="H2870" s="196"/>
      <c r="I2870" s="196"/>
      <c r="J2870" s="114"/>
      <c r="BB2870" s="117"/>
      <c r="BC2870" s="117"/>
      <c r="BD2870" s="117"/>
    </row>
    <row r="2871" spans="1:56" ht="15">
      <c r="A2871" s="114"/>
      <c r="B2871" s="692"/>
      <c r="C2871" s="712">
        <v>20951</v>
      </c>
      <c r="D2871" s="286" t="s">
        <v>12</v>
      </c>
      <c r="E2871" s="1325" t="s">
        <v>1812</v>
      </c>
      <c r="F2871" s="1326"/>
      <c r="G2871" s="196"/>
      <c r="H2871" s="196"/>
      <c r="I2871" s="196"/>
      <c r="J2871" s="114"/>
      <c r="BB2871" s="117"/>
      <c r="BC2871" s="117"/>
      <c r="BD2871" s="117"/>
    </row>
    <row r="2872" spans="1:56" ht="15">
      <c r="A2872" s="114"/>
      <c r="B2872" s="692"/>
      <c r="C2872" s="712">
        <v>21092</v>
      </c>
      <c r="D2872" s="286" t="s">
        <v>12</v>
      </c>
      <c r="E2872" s="1325" t="s">
        <v>1813</v>
      </c>
      <c r="F2872" s="1326"/>
      <c r="G2872" s="196"/>
      <c r="H2872" s="196"/>
      <c r="I2872" s="196"/>
      <c r="J2872" s="114"/>
      <c r="BB2872" s="117"/>
      <c r="BC2872" s="117"/>
      <c r="BD2872" s="117"/>
    </row>
    <row r="2873" spans="1:56" ht="15">
      <c r="A2873" s="114"/>
      <c r="B2873" s="692"/>
      <c r="C2873" s="712">
        <v>10316</v>
      </c>
      <c r="D2873" s="286" t="s">
        <v>12</v>
      </c>
      <c r="E2873" s="1325" t="s">
        <v>1814</v>
      </c>
      <c r="F2873" s="1326"/>
      <c r="G2873" s="196"/>
      <c r="H2873" s="196"/>
      <c r="I2873" s="773"/>
      <c r="J2873" s="114"/>
      <c r="BB2873" s="117"/>
      <c r="BC2873" s="117"/>
      <c r="BD2873" s="117"/>
    </row>
    <row r="2874" spans="1:56" ht="15">
      <c r="A2874" s="114"/>
      <c r="B2874" s="692"/>
      <c r="C2874" s="712">
        <v>62824</v>
      </c>
      <c r="D2874" s="286" t="s">
        <v>12</v>
      </c>
      <c r="E2874" s="1325" t="s">
        <v>1815</v>
      </c>
      <c r="F2874" s="1326"/>
      <c r="G2874" s="196"/>
      <c r="H2874" s="196"/>
      <c r="I2874" s="196"/>
      <c r="J2874" s="114"/>
      <c r="BB2874" s="117"/>
      <c r="BC2874" s="117"/>
      <c r="BD2874" s="117"/>
    </row>
    <row r="2875" spans="1:56" ht="15">
      <c r="A2875" s="114"/>
      <c r="B2875" s="692"/>
      <c r="C2875" s="712">
        <v>9215</v>
      </c>
      <c r="D2875" s="286" t="s">
        <v>12</v>
      </c>
      <c r="E2875" s="1325" t="s">
        <v>1816</v>
      </c>
      <c r="F2875" s="1326"/>
      <c r="G2875" s="196"/>
      <c r="H2875" s="196"/>
      <c r="I2875" s="196"/>
      <c r="J2875" s="114"/>
      <c r="BB2875" s="117"/>
      <c r="BC2875" s="117"/>
      <c r="BD2875" s="117"/>
    </row>
    <row r="2876" spans="1:56" ht="15">
      <c r="A2876" s="114"/>
      <c r="B2876" s="693"/>
      <c r="C2876" s="196"/>
      <c r="D2876" s="196"/>
      <c r="E2876" s="196"/>
      <c r="F2876" s="284"/>
      <c r="G2876" s="196"/>
      <c r="H2876" s="196"/>
      <c r="I2876" s="196"/>
      <c r="J2876" s="114"/>
      <c r="BB2876" s="117"/>
      <c r="BC2876" s="117"/>
      <c r="BD2876" s="117"/>
    </row>
    <row r="2877" spans="1:56" ht="15">
      <c r="A2877" s="114"/>
      <c r="B2877" s="691" t="s">
        <v>1102</v>
      </c>
      <c r="C2877" s="196"/>
      <c r="D2877" s="196"/>
      <c r="E2877" s="196"/>
      <c r="F2877" s="284"/>
      <c r="G2877" s="196"/>
      <c r="H2877" s="196"/>
      <c r="I2877" s="196"/>
      <c r="J2877" s="114"/>
      <c r="BB2877" s="117"/>
      <c r="BC2877" s="117"/>
      <c r="BD2877" s="117"/>
    </row>
    <row r="2878" spans="1:56" ht="15">
      <c r="A2878" s="114"/>
      <c r="B2878" s="692" t="s">
        <v>352</v>
      </c>
      <c r="C2878" s="712">
        <v>925</v>
      </c>
      <c r="D2878" s="286" t="s">
        <v>12</v>
      </c>
      <c r="E2878" s="1325" t="s">
        <v>1103</v>
      </c>
      <c r="F2878" s="1326"/>
      <c r="G2878" s="196"/>
      <c r="H2878" s="196"/>
      <c r="I2878" s="196"/>
      <c r="J2878" s="114"/>
      <c r="BB2878" s="117"/>
      <c r="BC2878" s="117"/>
      <c r="BD2878" s="117"/>
    </row>
    <row r="2879" spans="1:56" ht="15">
      <c r="A2879" s="114"/>
      <c r="B2879" s="693"/>
      <c r="C2879" s="196"/>
      <c r="D2879" s="196"/>
      <c r="E2879" s="196"/>
      <c r="F2879" s="284"/>
      <c r="G2879" s="196"/>
      <c r="H2879" s="196"/>
      <c r="I2879" s="196"/>
      <c r="J2879" s="114"/>
      <c r="BB2879" s="117"/>
      <c r="BC2879" s="117"/>
      <c r="BD2879" s="117"/>
    </row>
    <row r="2880" spans="1:56" ht="15">
      <c r="A2880" s="114"/>
      <c r="B2880" s="691" t="s">
        <v>1104</v>
      </c>
      <c r="C2880" s="196"/>
      <c r="D2880" s="196"/>
      <c r="E2880" s="196"/>
      <c r="F2880" s="284"/>
      <c r="G2880" s="196"/>
      <c r="H2880" s="196"/>
      <c r="I2880" s="196"/>
      <c r="J2880" s="114"/>
      <c r="BB2880" s="117"/>
      <c r="BC2880" s="117"/>
      <c r="BD2880" s="117"/>
    </row>
    <row r="2881" spans="1:56" ht="15" customHeight="1">
      <c r="A2881" s="114"/>
      <c r="B2881" s="730" t="s">
        <v>353</v>
      </c>
      <c r="C2881" s="712">
        <v>13</v>
      </c>
      <c r="D2881" s="286" t="s">
        <v>12</v>
      </c>
      <c r="E2881" s="1325" t="s">
        <v>1848</v>
      </c>
      <c r="F2881" s="1326"/>
      <c r="G2881" s="196"/>
      <c r="H2881" s="196"/>
      <c r="I2881" s="196"/>
      <c r="J2881" s="114"/>
      <c r="BB2881" s="117"/>
      <c r="BC2881" s="117"/>
      <c r="BD2881" s="117"/>
    </row>
    <row r="2882" spans="1:56" ht="15" customHeight="1">
      <c r="A2882" s="114"/>
      <c r="B2882" s="731"/>
      <c r="C2882" s="712">
        <v>13</v>
      </c>
      <c r="D2882" s="286" t="s">
        <v>12</v>
      </c>
      <c r="E2882" s="1325" t="s">
        <v>1849</v>
      </c>
      <c r="F2882" s="1326"/>
      <c r="G2882" s="196"/>
      <c r="H2882" s="196"/>
      <c r="I2882" s="196"/>
      <c r="J2882" s="114"/>
      <c r="BB2882" s="117"/>
      <c r="BC2882" s="117"/>
      <c r="BD2882" s="117"/>
    </row>
    <row r="2883" spans="1:56" ht="15" customHeight="1">
      <c r="A2883" s="114"/>
      <c r="B2883" s="731"/>
      <c r="C2883" s="712">
        <v>12</v>
      </c>
      <c r="D2883" s="286" t="s">
        <v>12</v>
      </c>
      <c r="E2883" s="1325" t="s">
        <v>1850</v>
      </c>
      <c r="F2883" s="1326"/>
      <c r="G2883" s="196"/>
      <c r="H2883" s="196"/>
      <c r="I2883" s="196"/>
      <c r="J2883" s="114"/>
      <c r="BB2883" s="117"/>
      <c r="BC2883" s="117"/>
      <c r="BD2883" s="117"/>
    </row>
    <row r="2884" spans="1:56" ht="15" customHeight="1">
      <c r="A2884" s="114"/>
      <c r="B2884" s="731"/>
      <c r="C2884" s="712">
        <v>12</v>
      </c>
      <c r="D2884" s="286" t="s">
        <v>12</v>
      </c>
      <c r="E2884" s="1325" t="s">
        <v>1851</v>
      </c>
      <c r="F2884" s="1326"/>
      <c r="G2884" s="196"/>
      <c r="H2884" s="196"/>
      <c r="I2884" s="196"/>
      <c r="J2884" s="114"/>
      <c r="BB2884" s="117"/>
      <c r="BC2884" s="117"/>
      <c r="BD2884" s="117"/>
    </row>
    <row r="2885" spans="1:56" ht="15" customHeight="1">
      <c r="A2885" s="114"/>
      <c r="B2885" s="731"/>
      <c r="C2885" s="712">
        <v>14</v>
      </c>
      <c r="D2885" s="286" t="s">
        <v>12</v>
      </c>
      <c r="E2885" s="1325" t="s">
        <v>1852</v>
      </c>
      <c r="F2885" s="1326"/>
      <c r="G2885" s="196"/>
      <c r="H2885" s="196"/>
      <c r="I2885" s="196"/>
      <c r="J2885" s="114"/>
      <c r="BB2885" s="117"/>
      <c r="BC2885" s="117"/>
      <c r="BD2885" s="117"/>
    </row>
    <row r="2886" spans="1:56" ht="15" customHeight="1">
      <c r="A2886" s="114"/>
      <c r="B2886" s="731"/>
      <c r="C2886" s="712">
        <v>12</v>
      </c>
      <c r="D2886" s="286" t="s">
        <v>12</v>
      </c>
      <c r="E2886" s="1325" t="s">
        <v>1853</v>
      </c>
      <c r="F2886" s="1326"/>
      <c r="G2886" s="196"/>
      <c r="H2886" s="196"/>
      <c r="I2886" s="196"/>
      <c r="J2886" s="114"/>
      <c r="BB2886" s="117"/>
      <c r="BC2886" s="117"/>
      <c r="BD2886" s="117"/>
    </row>
    <row r="2887" spans="1:56" ht="15" customHeight="1">
      <c r="A2887" s="114"/>
      <c r="B2887" s="731"/>
      <c r="C2887" s="712">
        <v>12</v>
      </c>
      <c r="D2887" s="286" t="s">
        <v>12</v>
      </c>
      <c r="E2887" s="1325" t="s">
        <v>1854</v>
      </c>
      <c r="F2887" s="1326"/>
      <c r="G2887" s="196"/>
      <c r="H2887" s="733"/>
      <c r="I2887" s="196"/>
      <c r="J2887" s="114"/>
      <c r="BB2887" s="117"/>
      <c r="BC2887" s="117"/>
      <c r="BD2887" s="117"/>
    </row>
    <row r="2888" spans="1:56" ht="15" customHeight="1">
      <c r="A2888" s="114"/>
      <c r="B2888" s="731"/>
      <c r="C2888" s="712">
        <v>14</v>
      </c>
      <c r="D2888" s="286" t="s">
        <v>12</v>
      </c>
      <c r="E2888" s="1325" t="s">
        <v>1855</v>
      </c>
      <c r="F2888" s="1326"/>
      <c r="G2888" s="196"/>
      <c r="H2888" s="196"/>
      <c r="I2888" s="196"/>
      <c r="J2888" s="114"/>
      <c r="BB2888" s="117"/>
      <c r="BC2888" s="117"/>
      <c r="BD2888" s="117"/>
    </row>
    <row r="2889" spans="1:56" ht="15" customHeight="1">
      <c r="A2889" s="114"/>
      <c r="B2889" s="731"/>
      <c r="C2889" s="712">
        <v>12</v>
      </c>
      <c r="D2889" s="286" t="s">
        <v>12</v>
      </c>
      <c r="E2889" s="1325" t="s">
        <v>1856</v>
      </c>
      <c r="F2889" s="1326"/>
      <c r="G2889" s="196"/>
      <c r="H2889" s="196"/>
      <c r="I2889" s="196"/>
      <c r="J2889" s="114"/>
      <c r="BB2889" s="117"/>
      <c r="BC2889" s="117"/>
      <c r="BD2889" s="117"/>
    </row>
    <row r="2890" spans="1:56" ht="15" customHeight="1">
      <c r="A2890" s="114"/>
      <c r="B2890" s="731"/>
      <c r="C2890" s="712">
        <v>14</v>
      </c>
      <c r="D2890" s="286" t="s">
        <v>12</v>
      </c>
      <c r="E2890" s="1325" t="s">
        <v>1857</v>
      </c>
      <c r="F2890" s="1326"/>
      <c r="G2890" s="196"/>
      <c r="H2890" s="196"/>
      <c r="I2890" s="196"/>
      <c r="J2890" s="114"/>
      <c r="BB2890" s="117"/>
      <c r="BC2890" s="117"/>
      <c r="BD2890" s="117"/>
    </row>
    <row r="2891" spans="1:56" ht="15" customHeight="1">
      <c r="A2891" s="114"/>
      <c r="B2891" s="731"/>
      <c r="C2891" s="712">
        <v>12</v>
      </c>
      <c r="D2891" s="286" t="s">
        <v>12</v>
      </c>
      <c r="E2891" s="1325" t="s">
        <v>1858</v>
      </c>
      <c r="F2891" s="1326"/>
      <c r="G2891" s="196"/>
      <c r="H2891" s="196"/>
      <c r="I2891" s="196"/>
      <c r="J2891" s="114"/>
      <c r="BB2891" s="117"/>
      <c r="BC2891" s="117"/>
      <c r="BD2891" s="117"/>
    </row>
    <row r="2892" spans="1:56" ht="15" customHeight="1">
      <c r="A2892" s="114"/>
      <c r="B2892" s="731"/>
      <c r="C2892" s="712">
        <v>12</v>
      </c>
      <c r="D2892" s="286" t="s">
        <v>12</v>
      </c>
      <c r="E2892" s="1325" t="s">
        <v>1859</v>
      </c>
      <c r="F2892" s="1326"/>
      <c r="G2892" s="196"/>
      <c r="H2892" s="196"/>
      <c r="I2892" s="196"/>
      <c r="J2892" s="114"/>
      <c r="BB2892" s="117"/>
      <c r="BC2892" s="117"/>
      <c r="BD2892" s="117"/>
    </row>
    <row r="2893" spans="1:56" ht="15" customHeight="1">
      <c r="A2893" s="114"/>
      <c r="B2893" s="731"/>
      <c r="C2893" s="712">
        <v>14</v>
      </c>
      <c r="D2893" s="286" t="s">
        <v>12</v>
      </c>
      <c r="E2893" s="1325" t="s">
        <v>1860</v>
      </c>
      <c r="F2893" s="1326"/>
      <c r="G2893" s="196"/>
      <c r="H2893" s="196"/>
      <c r="I2893" s="196"/>
      <c r="J2893" s="114"/>
      <c r="BB2893" s="117"/>
      <c r="BC2893" s="117"/>
      <c r="BD2893" s="117"/>
    </row>
    <row r="2894" spans="1:56" ht="15" customHeight="1">
      <c r="A2894" s="114"/>
      <c r="B2894" s="731"/>
      <c r="C2894" s="712">
        <v>13</v>
      </c>
      <c r="D2894" s="286" t="s">
        <v>12</v>
      </c>
      <c r="E2894" s="1325" t="s">
        <v>1861</v>
      </c>
      <c r="F2894" s="1326"/>
      <c r="G2894" s="196"/>
      <c r="H2894" s="196"/>
      <c r="I2894" s="196"/>
      <c r="J2894" s="114"/>
      <c r="BB2894" s="117"/>
      <c r="BC2894" s="117"/>
      <c r="BD2894" s="117"/>
    </row>
    <row r="2895" spans="1:56" ht="15" customHeight="1">
      <c r="A2895" s="114"/>
      <c r="B2895" s="732"/>
      <c r="C2895" s="712">
        <v>13</v>
      </c>
      <c r="D2895" s="286" t="s">
        <v>12</v>
      </c>
      <c r="E2895" s="1325" t="s">
        <v>1862</v>
      </c>
      <c r="F2895" s="1326"/>
      <c r="G2895" s="196"/>
      <c r="H2895" s="196"/>
      <c r="I2895" s="196"/>
      <c r="J2895" s="114"/>
      <c r="BB2895" s="117"/>
      <c r="BC2895" s="117"/>
      <c r="BD2895" s="117"/>
    </row>
    <row r="2896" spans="1:56" ht="15">
      <c r="A2896" s="114"/>
      <c r="B2896" s="730" t="s">
        <v>352</v>
      </c>
      <c r="C2896" s="712">
        <v>2134</v>
      </c>
      <c r="D2896" s="286" t="s">
        <v>12</v>
      </c>
      <c r="E2896" s="1325" t="s">
        <v>1848</v>
      </c>
      <c r="F2896" s="1326"/>
      <c r="G2896" s="196"/>
      <c r="H2896" s="196"/>
      <c r="I2896" s="196"/>
      <c r="J2896" s="114"/>
      <c r="BB2896" s="117"/>
      <c r="BC2896" s="117"/>
      <c r="BD2896" s="117"/>
    </row>
    <row r="2897" spans="1:56" ht="15" customHeight="1">
      <c r="A2897" s="114"/>
      <c r="B2897" s="731"/>
      <c r="C2897" s="712">
        <v>2120</v>
      </c>
      <c r="D2897" s="286" t="s">
        <v>12</v>
      </c>
      <c r="E2897" s="1325" t="s">
        <v>1849</v>
      </c>
      <c r="F2897" s="1326"/>
      <c r="G2897" s="196"/>
      <c r="H2897" s="196"/>
      <c r="I2897" s="196"/>
      <c r="J2897" s="114"/>
      <c r="BB2897" s="117"/>
      <c r="BC2897" s="117"/>
      <c r="BD2897" s="117"/>
    </row>
    <row r="2898" spans="1:56" ht="15" customHeight="1">
      <c r="A2898" s="114"/>
      <c r="B2898" s="731"/>
      <c r="C2898" s="712">
        <v>1562</v>
      </c>
      <c r="D2898" s="286" t="s">
        <v>12</v>
      </c>
      <c r="E2898" s="1325" t="s">
        <v>1850</v>
      </c>
      <c r="F2898" s="1326"/>
      <c r="G2898" s="196"/>
      <c r="H2898" s="196"/>
      <c r="I2898" s="196"/>
      <c r="J2898" s="114"/>
      <c r="BB2898" s="117"/>
      <c r="BC2898" s="117"/>
      <c r="BD2898" s="117"/>
    </row>
    <row r="2899" spans="1:56" ht="15" customHeight="1">
      <c r="A2899" s="114"/>
      <c r="B2899" s="731"/>
      <c r="C2899" s="712">
        <v>982</v>
      </c>
      <c r="D2899" s="286" t="s">
        <v>12</v>
      </c>
      <c r="E2899" s="1325" t="s">
        <v>1851</v>
      </c>
      <c r="F2899" s="1326"/>
      <c r="G2899" s="196"/>
      <c r="H2899" s="196"/>
      <c r="I2899" s="196"/>
      <c r="J2899" s="114"/>
      <c r="BB2899" s="117"/>
      <c r="BC2899" s="117"/>
      <c r="BD2899" s="117"/>
    </row>
    <row r="2900" spans="1:56" ht="15" customHeight="1">
      <c r="A2900" s="114"/>
      <c r="B2900" s="731"/>
      <c r="C2900" s="712">
        <v>886</v>
      </c>
      <c r="D2900" s="286" t="s">
        <v>12</v>
      </c>
      <c r="E2900" s="1325" t="s">
        <v>1852</v>
      </c>
      <c r="F2900" s="1326"/>
      <c r="G2900" s="196"/>
      <c r="H2900" s="196"/>
      <c r="I2900" s="196"/>
      <c r="J2900" s="114"/>
      <c r="BB2900" s="117"/>
      <c r="BC2900" s="117"/>
      <c r="BD2900" s="117"/>
    </row>
    <row r="2901" spans="1:56" ht="15" customHeight="1">
      <c r="A2901" s="114"/>
      <c r="B2901" s="731"/>
      <c r="C2901" s="712">
        <v>988</v>
      </c>
      <c r="D2901" s="286" t="s">
        <v>12</v>
      </c>
      <c r="E2901" s="1325" t="s">
        <v>1853</v>
      </c>
      <c r="F2901" s="1326"/>
      <c r="G2901" s="196"/>
      <c r="H2901" s="196"/>
      <c r="I2901" s="196"/>
      <c r="J2901" s="114"/>
      <c r="BB2901" s="117"/>
      <c r="BC2901" s="117"/>
      <c r="BD2901" s="117"/>
    </row>
    <row r="2902" spans="1:56" ht="15" customHeight="1">
      <c r="A2902" s="114"/>
      <c r="B2902" s="731"/>
      <c r="C2902" s="712">
        <v>982</v>
      </c>
      <c r="D2902" s="286" t="s">
        <v>12</v>
      </c>
      <c r="E2902" s="1325" t="s">
        <v>1854</v>
      </c>
      <c r="F2902" s="1326"/>
      <c r="G2902" s="196"/>
      <c r="H2902" s="733"/>
      <c r="I2902" s="196"/>
      <c r="J2902" s="114"/>
      <c r="BB2902" s="117"/>
      <c r="BC2902" s="117"/>
      <c r="BD2902" s="117"/>
    </row>
    <row r="2903" spans="1:56" ht="15" customHeight="1">
      <c r="A2903" s="114"/>
      <c r="B2903" s="731"/>
      <c r="C2903" s="712">
        <v>892</v>
      </c>
      <c r="D2903" s="286" t="s">
        <v>12</v>
      </c>
      <c r="E2903" s="1325" t="s">
        <v>1855</v>
      </c>
      <c r="F2903" s="1326"/>
      <c r="G2903" s="196"/>
      <c r="H2903" s="196"/>
      <c r="I2903" s="196"/>
      <c r="J2903" s="114"/>
      <c r="BB2903" s="117"/>
      <c r="BC2903" s="117"/>
      <c r="BD2903" s="117"/>
    </row>
    <row r="2904" spans="1:56" ht="15" customHeight="1">
      <c r="A2904" s="114"/>
      <c r="B2904" s="731"/>
      <c r="C2904" s="712">
        <v>982</v>
      </c>
      <c r="D2904" s="286" t="s">
        <v>12</v>
      </c>
      <c r="E2904" s="1325" t="s">
        <v>1856</v>
      </c>
      <c r="F2904" s="1326"/>
      <c r="G2904" s="196"/>
      <c r="H2904" s="196"/>
      <c r="I2904" s="196"/>
      <c r="J2904" s="114"/>
      <c r="BB2904" s="117"/>
      <c r="BC2904" s="117"/>
      <c r="BD2904" s="117"/>
    </row>
    <row r="2905" spans="1:56" ht="15" customHeight="1">
      <c r="A2905" s="114"/>
      <c r="B2905" s="731"/>
      <c r="C2905" s="712">
        <v>886</v>
      </c>
      <c r="D2905" s="286" t="s">
        <v>12</v>
      </c>
      <c r="E2905" s="1325" t="s">
        <v>1857</v>
      </c>
      <c r="F2905" s="1326"/>
      <c r="G2905" s="196"/>
      <c r="H2905" s="196"/>
      <c r="I2905" s="196"/>
      <c r="J2905" s="114"/>
      <c r="BB2905" s="117"/>
      <c r="BC2905" s="117"/>
      <c r="BD2905" s="117"/>
    </row>
    <row r="2906" spans="1:56" ht="15" customHeight="1">
      <c r="A2906" s="114"/>
      <c r="B2906" s="731"/>
      <c r="C2906" s="712">
        <v>984</v>
      </c>
      <c r="D2906" s="286" t="s">
        <v>12</v>
      </c>
      <c r="E2906" s="1325" t="s">
        <v>1858</v>
      </c>
      <c r="F2906" s="1326"/>
      <c r="G2906" s="196"/>
      <c r="H2906" s="196"/>
      <c r="I2906" s="196"/>
      <c r="J2906" s="114"/>
      <c r="BB2906" s="117"/>
      <c r="BC2906" s="117"/>
      <c r="BD2906" s="117"/>
    </row>
    <row r="2907" spans="1:56" ht="15" customHeight="1">
      <c r="A2907" s="114"/>
      <c r="B2907" s="731"/>
      <c r="C2907" s="712">
        <v>982</v>
      </c>
      <c r="D2907" s="286" t="s">
        <v>12</v>
      </c>
      <c r="E2907" s="1325" t="s">
        <v>1859</v>
      </c>
      <c r="F2907" s="1326"/>
      <c r="G2907" s="196"/>
      <c r="H2907" s="196"/>
      <c r="I2907" s="196"/>
      <c r="J2907" s="114"/>
      <c r="BB2907" s="117"/>
      <c r="BC2907" s="117"/>
      <c r="BD2907" s="117"/>
    </row>
    <row r="2908" spans="1:56" ht="15" customHeight="1">
      <c r="A2908" s="114"/>
      <c r="B2908" s="731"/>
      <c r="C2908" s="712">
        <v>1115</v>
      </c>
      <c r="D2908" s="286" t="s">
        <v>12</v>
      </c>
      <c r="E2908" s="1325" t="s">
        <v>1860</v>
      </c>
      <c r="F2908" s="1326"/>
      <c r="G2908" s="196"/>
      <c r="H2908" s="196"/>
      <c r="I2908" s="196"/>
      <c r="J2908" s="114"/>
      <c r="BB2908" s="117"/>
      <c r="BC2908" s="117"/>
      <c r="BD2908" s="117"/>
    </row>
    <row r="2909" spans="1:56" ht="15" customHeight="1">
      <c r="A2909" s="114"/>
      <c r="B2909" s="731"/>
      <c r="C2909" s="712">
        <v>1434</v>
      </c>
      <c r="D2909" s="286" t="s">
        <v>12</v>
      </c>
      <c r="E2909" s="1325" t="s">
        <v>1861</v>
      </c>
      <c r="F2909" s="1326"/>
      <c r="G2909" s="196"/>
      <c r="H2909" s="196"/>
      <c r="I2909" s="196"/>
      <c r="J2909" s="114"/>
      <c r="BB2909" s="117"/>
      <c r="BC2909" s="117"/>
      <c r="BD2909" s="117"/>
    </row>
    <row r="2910" spans="1:56" ht="15" customHeight="1">
      <c r="A2910" s="114"/>
      <c r="B2910" s="732"/>
      <c r="C2910" s="712">
        <v>1432</v>
      </c>
      <c r="D2910" s="286" t="s">
        <v>12</v>
      </c>
      <c r="E2910" s="1325" t="s">
        <v>1862</v>
      </c>
      <c r="F2910" s="1326"/>
      <c r="G2910" s="196"/>
      <c r="H2910" s="196"/>
      <c r="I2910" s="196"/>
      <c r="J2910" s="114"/>
      <c r="BB2910" s="117"/>
      <c r="BC2910" s="117"/>
      <c r="BD2910" s="117"/>
    </row>
    <row r="2911" spans="1:56" ht="15">
      <c r="A2911" s="114"/>
      <c r="B2911" s="694"/>
      <c r="C2911" s="211"/>
      <c r="D2911" s="196"/>
      <c r="E2911" s="288"/>
      <c r="F2911" s="284"/>
      <c r="G2911" s="196"/>
      <c r="H2911" s="196"/>
      <c r="I2911" s="196"/>
      <c r="J2911" s="114"/>
      <c r="BB2911" s="117"/>
      <c r="BC2911" s="117"/>
      <c r="BD2911" s="117"/>
    </row>
    <row r="2912" spans="1:56" ht="15">
      <c r="A2912" s="114"/>
      <c r="B2912" s="691" t="s">
        <v>1684</v>
      </c>
      <c r="C2912" s="196"/>
      <c r="D2912" s="196"/>
      <c r="E2912" s="196"/>
      <c r="F2912" s="284"/>
      <c r="G2912" s="196"/>
      <c r="H2912" s="196"/>
      <c r="I2912" s="196"/>
      <c r="J2912" s="114"/>
      <c r="BB2912" s="117"/>
      <c r="BC2912" s="117"/>
      <c r="BD2912" s="117"/>
    </row>
    <row r="2913" spans="1:56" ht="15" customHeight="1">
      <c r="A2913" s="114"/>
      <c r="B2913" s="730" t="s">
        <v>353</v>
      </c>
      <c r="C2913" s="712">
        <v>431</v>
      </c>
      <c r="D2913" s="286" t="s">
        <v>12</v>
      </c>
      <c r="E2913" s="1325" t="s">
        <v>1863</v>
      </c>
      <c r="F2913" s="1326"/>
      <c r="G2913" s="196"/>
      <c r="H2913" s="196"/>
      <c r="I2913" s="196"/>
      <c r="J2913" s="114"/>
      <c r="BB2913" s="117"/>
      <c r="BC2913" s="117"/>
      <c r="BD2913" s="117"/>
    </row>
    <row r="2914" spans="1:56" ht="15" customHeight="1">
      <c r="A2914" s="114"/>
      <c r="B2914" s="731"/>
      <c r="C2914" s="712">
        <v>425</v>
      </c>
      <c r="D2914" s="286" t="s">
        <v>12</v>
      </c>
      <c r="E2914" s="1325" t="s">
        <v>1864</v>
      </c>
      <c r="F2914" s="1326"/>
      <c r="G2914" s="196"/>
      <c r="H2914" s="196"/>
      <c r="I2914" s="196"/>
      <c r="J2914" s="114"/>
      <c r="BB2914" s="117"/>
      <c r="BC2914" s="117"/>
      <c r="BD2914" s="117"/>
    </row>
    <row r="2915" spans="1:56" ht="15" customHeight="1">
      <c r="A2915" s="114"/>
      <c r="B2915" s="731"/>
      <c r="C2915" s="712">
        <v>425</v>
      </c>
      <c r="D2915" s="286" t="s">
        <v>12</v>
      </c>
      <c r="E2915" s="1325" t="s">
        <v>1865</v>
      </c>
      <c r="F2915" s="1326"/>
      <c r="G2915" s="196"/>
      <c r="H2915" s="196"/>
      <c r="I2915" s="196"/>
      <c r="J2915" s="114"/>
      <c r="BB2915" s="117"/>
      <c r="BC2915" s="117"/>
      <c r="BD2915" s="117"/>
    </row>
    <row r="2916" spans="1:56" ht="15" customHeight="1">
      <c r="A2916" s="114"/>
      <c r="B2916" s="731"/>
      <c r="C2916" s="712">
        <v>425</v>
      </c>
      <c r="D2916" s="286" t="s">
        <v>12</v>
      </c>
      <c r="E2916" s="1325" t="s">
        <v>1866</v>
      </c>
      <c r="F2916" s="1326"/>
      <c r="G2916" s="196"/>
      <c r="H2916" s="196"/>
      <c r="I2916" s="196"/>
      <c r="J2916" s="114"/>
      <c r="BB2916" s="117"/>
      <c r="BC2916" s="117"/>
      <c r="BD2916" s="117"/>
    </row>
    <row r="2917" spans="1:56" ht="15" customHeight="1">
      <c r="A2917" s="114"/>
      <c r="B2917" s="731"/>
      <c r="C2917" s="712">
        <v>431</v>
      </c>
      <c r="D2917" s="286" t="s">
        <v>12</v>
      </c>
      <c r="E2917" s="1325" t="s">
        <v>1867</v>
      </c>
      <c r="F2917" s="1326"/>
      <c r="G2917" s="196"/>
      <c r="H2917" s="196"/>
      <c r="I2917" s="196"/>
      <c r="J2917" s="114"/>
      <c r="BB2917" s="117"/>
      <c r="BC2917" s="117"/>
      <c r="BD2917" s="117"/>
    </row>
    <row r="2918" spans="1:56" ht="15">
      <c r="A2918" s="114"/>
      <c r="B2918" s="730" t="s">
        <v>352</v>
      </c>
      <c r="C2918" s="712">
        <v>3246</v>
      </c>
      <c r="D2918" s="1043" t="s">
        <v>12</v>
      </c>
      <c r="E2918" s="1291" t="s">
        <v>1863</v>
      </c>
      <c r="F2918" s="1292"/>
      <c r="G2918" s="196"/>
      <c r="H2918" s="196"/>
      <c r="I2918" s="196"/>
      <c r="J2918" s="114"/>
      <c r="BB2918" s="117"/>
      <c r="BC2918" s="117"/>
      <c r="BD2918" s="117"/>
    </row>
    <row r="2919" spans="1:56" ht="15" customHeight="1">
      <c r="A2919" s="114"/>
      <c r="B2919" s="731"/>
      <c r="C2919" s="712">
        <v>3021</v>
      </c>
      <c r="D2919" s="286" t="s">
        <v>12</v>
      </c>
      <c r="E2919" s="1325" t="s">
        <v>1864</v>
      </c>
      <c r="F2919" s="1326"/>
      <c r="G2919" s="196"/>
      <c r="H2919" s="196"/>
      <c r="I2919" s="196"/>
      <c r="J2919" s="114"/>
      <c r="BB2919" s="117"/>
      <c r="BC2919" s="117"/>
      <c r="BD2919" s="117"/>
    </row>
    <row r="2920" spans="1:56" ht="15" customHeight="1">
      <c r="A2920" s="114"/>
      <c r="B2920" s="731"/>
      <c r="C2920" s="712">
        <v>3021</v>
      </c>
      <c r="D2920" s="286" t="s">
        <v>12</v>
      </c>
      <c r="E2920" s="1325" t="s">
        <v>1865</v>
      </c>
      <c r="F2920" s="1326"/>
      <c r="G2920" s="196"/>
      <c r="H2920" s="196"/>
      <c r="I2920" s="196"/>
      <c r="J2920" s="114"/>
      <c r="BB2920" s="117"/>
      <c r="BC2920" s="117"/>
      <c r="BD2920" s="117"/>
    </row>
    <row r="2921" spans="1:56" ht="15" customHeight="1">
      <c r="A2921" s="114"/>
      <c r="B2921" s="731"/>
      <c r="C2921" s="712">
        <v>3021</v>
      </c>
      <c r="D2921" s="286" t="s">
        <v>12</v>
      </c>
      <c r="E2921" s="1325" t="s">
        <v>1866</v>
      </c>
      <c r="F2921" s="1326"/>
      <c r="G2921" s="196"/>
      <c r="H2921" s="196"/>
      <c r="I2921" s="196"/>
      <c r="J2921" s="114"/>
      <c r="BB2921" s="117"/>
      <c r="BC2921" s="117"/>
      <c r="BD2921" s="117"/>
    </row>
    <row r="2922" spans="1:56" ht="15" customHeight="1">
      <c r="A2922" s="114"/>
      <c r="B2922" s="732"/>
      <c r="C2922" s="712">
        <v>3170</v>
      </c>
      <c r="D2922" s="286" t="s">
        <v>12</v>
      </c>
      <c r="E2922" s="1325" t="s">
        <v>1867</v>
      </c>
      <c r="F2922" s="1326"/>
      <c r="G2922" s="196"/>
      <c r="H2922" s="196"/>
      <c r="I2922" s="196"/>
      <c r="J2922" s="114"/>
      <c r="BB2922" s="117"/>
      <c r="BC2922" s="117"/>
      <c r="BD2922" s="117"/>
    </row>
    <row r="2923" spans="1:56" ht="15">
      <c r="A2923" s="114"/>
      <c r="B2923" s="694"/>
      <c r="C2923" s="211"/>
      <c r="D2923" s="196"/>
      <c r="E2923" s="288"/>
      <c r="F2923" s="284"/>
      <c r="G2923" s="196"/>
      <c r="H2923" s="196"/>
      <c r="I2923" s="196"/>
      <c r="J2923" s="114"/>
      <c r="BB2923" s="117"/>
      <c r="BC2923" s="117"/>
      <c r="BD2923" s="117"/>
    </row>
    <row r="2924" spans="1:56" ht="15">
      <c r="A2924" s="360" t="s">
        <v>1105</v>
      </c>
      <c r="B2924" s="691" t="s">
        <v>1106</v>
      </c>
      <c r="C2924" s="196"/>
      <c r="D2924" s="196"/>
      <c r="E2924" s="196"/>
      <c r="F2924" s="284"/>
      <c r="G2924" s="196"/>
      <c r="H2924" s="196"/>
      <c r="I2924" s="196"/>
      <c r="J2924" s="114"/>
      <c r="BB2924" s="117"/>
      <c r="BC2924" s="117"/>
      <c r="BD2924" s="117"/>
    </row>
    <row r="2925" spans="1:56" ht="15" customHeight="1">
      <c r="A2925" s="114"/>
      <c r="B2925" s="730" t="s">
        <v>353</v>
      </c>
      <c r="C2925" s="712">
        <v>2</v>
      </c>
      <c r="D2925" s="286" t="s">
        <v>12</v>
      </c>
      <c r="E2925" s="1325" t="s">
        <v>1868</v>
      </c>
      <c r="F2925" s="1326"/>
      <c r="G2925" s="196"/>
      <c r="H2925" s="196"/>
      <c r="I2925" s="196"/>
      <c r="J2925" s="114"/>
      <c r="BB2925" s="117"/>
      <c r="BC2925" s="117"/>
      <c r="BD2925" s="117"/>
    </row>
    <row r="2926" spans="1:56" ht="15" customHeight="1">
      <c r="A2926" s="114"/>
      <c r="B2926" s="731"/>
      <c r="C2926" s="712">
        <v>5</v>
      </c>
      <c r="D2926" s="286" t="s">
        <v>12</v>
      </c>
      <c r="E2926" s="1325" t="s">
        <v>1869</v>
      </c>
      <c r="F2926" s="1326"/>
      <c r="G2926" s="196"/>
      <c r="H2926" s="196"/>
      <c r="I2926" s="196"/>
      <c r="J2926" s="114"/>
      <c r="BB2926" s="117"/>
      <c r="BC2926" s="117"/>
      <c r="BD2926" s="117"/>
    </row>
    <row r="2927" spans="1:56" ht="15" customHeight="1">
      <c r="A2927" s="114"/>
      <c r="B2927" s="731"/>
      <c r="C2927" s="712">
        <v>3</v>
      </c>
      <c r="D2927" s="286" t="s">
        <v>12</v>
      </c>
      <c r="E2927" s="1325" t="s">
        <v>1872</v>
      </c>
      <c r="F2927" s="1326"/>
      <c r="G2927" s="196"/>
      <c r="H2927" s="196"/>
      <c r="I2927" s="196"/>
      <c r="J2927" s="114"/>
      <c r="BB2927" s="117"/>
      <c r="BC2927" s="117"/>
      <c r="BD2927" s="117"/>
    </row>
    <row r="2928" spans="1:56" ht="15" customHeight="1">
      <c r="A2928" s="114"/>
      <c r="B2928" s="731"/>
      <c r="C2928" s="712">
        <v>2</v>
      </c>
      <c r="D2928" s="286" t="s">
        <v>12</v>
      </c>
      <c r="E2928" s="1325" t="s">
        <v>1874</v>
      </c>
      <c r="F2928" s="1326"/>
      <c r="G2928" s="196"/>
      <c r="H2928" s="733"/>
      <c r="I2928" s="196"/>
      <c r="J2928" s="114"/>
      <c r="BB2928" s="117"/>
      <c r="BC2928" s="117"/>
      <c r="BD2928" s="117"/>
    </row>
    <row r="2929" spans="1:56" ht="15" customHeight="1">
      <c r="A2929" s="114"/>
      <c r="B2929" s="731"/>
      <c r="C2929" s="712">
        <v>25</v>
      </c>
      <c r="D2929" s="286" t="s">
        <v>12</v>
      </c>
      <c r="E2929" s="1325" t="s">
        <v>1875</v>
      </c>
      <c r="F2929" s="1326"/>
      <c r="G2929" s="196"/>
      <c r="H2929" s="196"/>
      <c r="I2929" s="196"/>
      <c r="J2929" s="114"/>
      <c r="BB2929" s="117"/>
      <c r="BC2929" s="117"/>
      <c r="BD2929" s="117"/>
    </row>
    <row r="2930" spans="1:56" ht="15" customHeight="1">
      <c r="A2930" s="114"/>
      <c r="B2930" s="731"/>
      <c r="C2930" s="712">
        <v>75</v>
      </c>
      <c r="D2930" s="286" t="s">
        <v>12</v>
      </c>
      <c r="E2930" s="1325" t="s">
        <v>1880</v>
      </c>
      <c r="F2930" s="1326"/>
      <c r="G2930" s="196"/>
      <c r="H2930" s="196"/>
      <c r="I2930" s="196"/>
      <c r="J2930" s="114"/>
      <c r="BB2930" s="117"/>
      <c r="BC2930" s="117"/>
      <c r="BD2930" s="117"/>
    </row>
    <row r="2931" spans="1:56" ht="15" customHeight="1">
      <c r="A2931" s="114"/>
      <c r="B2931" s="731"/>
      <c r="C2931" s="712">
        <v>2</v>
      </c>
      <c r="D2931" s="286" t="s">
        <v>12</v>
      </c>
      <c r="E2931" s="1325" t="s">
        <v>1881</v>
      </c>
      <c r="F2931" s="1326"/>
      <c r="G2931" s="196"/>
      <c r="H2931" s="733"/>
      <c r="I2931" s="196"/>
      <c r="J2931" s="114"/>
      <c r="BB2931" s="117"/>
      <c r="BC2931" s="117"/>
      <c r="BD2931" s="117"/>
    </row>
    <row r="2932" spans="1:56" ht="15" customHeight="1">
      <c r="A2932" s="114"/>
      <c r="B2932" s="731"/>
      <c r="C2932" s="712">
        <v>9</v>
      </c>
      <c r="D2932" s="286" t="s">
        <v>12</v>
      </c>
      <c r="E2932" s="1325" t="s">
        <v>1882</v>
      </c>
      <c r="F2932" s="1326"/>
      <c r="G2932" s="196"/>
      <c r="H2932" s="196"/>
      <c r="I2932" s="196"/>
      <c r="J2932" s="114"/>
      <c r="BB2932" s="117"/>
      <c r="BC2932" s="117"/>
      <c r="BD2932" s="117"/>
    </row>
    <row r="2933" spans="1:56" ht="15" customHeight="1">
      <c r="A2933" s="114"/>
      <c r="B2933" s="731"/>
      <c r="C2933" s="712">
        <v>155</v>
      </c>
      <c r="D2933" s="286" t="s">
        <v>12</v>
      </c>
      <c r="E2933" s="1325" t="s">
        <v>1883</v>
      </c>
      <c r="F2933" s="1326"/>
      <c r="G2933" s="196"/>
      <c r="H2933" s="196"/>
      <c r="I2933" s="196"/>
      <c r="J2933" s="114"/>
      <c r="BB2933" s="117"/>
      <c r="BC2933" s="117"/>
      <c r="BD2933" s="117"/>
    </row>
    <row r="2934" spans="1:56" ht="15" customHeight="1">
      <c r="A2934" s="114"/>
      <c r="B2934" s="731"/>
      <c r="C2934" s="712">
        <v>143</v>
      </c>
      <c r="D2934" s="286" t="s">
        <v>12</v>
      </c>
      <c r="E2934" s="1325" t="s">
        <v>1884</v>
      </c>
      <c r="F2934" s="1326"/>
      <c r="G2934" s="196"/>
      <c r="H2934" s="196"/>
      <c r="I2934" s="196"/>
      <c r="J2934" s="114"/>
      <c r="BB2934" s="117"/>
      <c r="BC2934" s="117"/>
      <c r="BD2934" s="117"/>
    </row>
    <row r="2935" spans="1:56" ht="15" customHeight="1">
      <c r="A2935" s="114"/>
      <c r="B2935" s="731"/>
      <c r="C2935" s="712">
        <v>55</v>
      </c>
      <c r="D2935" s="286" t="s">
        <v>12</v>
      </c>
      <c r="E2935" s="1325" t="s">
        <v>1885</v>
      </c>
      <c r="F2935" s="1326"/>
      <c r="G2935" s="196"/>
      <c r="H2935" s="196"/>
      <c r="I2935" s="196"/>
      <c r="J2935" s="114"/>
      <c r="BB2935" s="117"/>
      <c r="BC2935" s="117"/>
      <c r="BD2935" s="117"/>
    </row>
    <row r="2936" spans="1:56" ht="15" customHeight="1">
      <c r="A2936" s="114"/>
      <c r="B2936" s="731"/>
      <c r="C2936" s="712">
        <v>173</v>
      </c>
      <c r="D2936" s="286" t="s">
        <v>12</v>
      </c>
      <c r="E2936" s="1325" t="s">
        <v>1886</v>
      </c>
      <c r="F2936" s="1326"/>
      <c r="G2936" s="196"/>
      <c r="H2936" s="196"/>
      <c r="I2936" s="196"/>
      <c r="J2936" s="114"/>
      <c r="BB2936" s="117"/>
      <c r="BC2936" s="117"/>
      <c r="BD2936" s="117"/>
    </row>
    <row r="2937" spans="1:56" ht="15" customHeight="1">
      <c r="A2937" s="114"/>
      <c r="B2937" s="731"/>
      <c r="C2937" s="712">
        <v>20</v>
      </c>
      <c r="D2937" s="286" t="s">
        <v>12</v>
      </c>
      <c r="E2937" s="1325" t="s">
        <v>1887</v>
      </c>
      <c r="F2937" s="1326"/>
      <c r="G2937" s="196"/>
      <c r="H2937" s="196"/>
      <c r="I2937" s="196"/>
      <c r="J2937" s="114"/>
      <c r="BB2937" s="117"/>
      <c r="BC2937" s="117"/>
      <c r="BD2937" s="117"/>
    </row>
    <row r="2938" spans="1:56" ht="15" customHeight="1">
      <c r="A2938" s="114"/>
      <c r="B2938" s="731"/>
      <c r="C2938" s="712">
        <v>184</v>
      </c>
      <c r="D2938" s="286" t="s">
        <v>12</v>
      </c>
      <c r="E2938" s="1325" t="s">
        <v>1888</v>
      </c>
      <c r="F2938" s="1326"/>
      <c r="G2938" s="196"/>
      <c r="H2938" s="733"/>
      <c r="I2938" s="196"/>
      <c r="J2938" s="114"/>
      <c r="BB2938" s="117"/>
      <c r="BC2938" s="117"/>
      <c r="BD2938" s="117"/>
    </row>
    <row r="2939" spans="1:56" ht="15" customHeight="1">
      <c r="A2939" s="114"/>
      <c r="B2939" s="731"/>
      <c r="C2939" s="712">
        <v>6</v>
      </c>
      <c r="D2939" s="286" t="s">
        <v>12</v>
      </c>
      <c r="E2939" s="1325" t="s">
        <v>1889</v>
      </c>
      <c r="F2939" s="1326"/>
      <c r="G2939" s="196"/>
      <c r="H2939" s="196"/>
      <c r="I2939" s="196"/>
      <c r="J2939" s="114"/>
      <c r="BB2939" s="117"/>
      <c r="BC2939" s="117"/>
      <c r="BD2939" s="117"/>
    </row>
    <row r="2940" spans="1:56" ht="15" customHeight="1">
      <c r="A2940" s="114"/>
      <c r="B2940" s="731"/>
      <c r="C2940" s="712">
        <v>160</v>
      </c>
      <c r="D2940" s="286" t="s">
        <v>12</v>
      </c>
      <c r="E2940" s="1325" t="s">
        <v>1890</v>
      </c>
      <c r="F2940" s="1326"/>
      <c r="G2940" s="196"/>
      <c r="H2940" s="196"/>
      <c r="I2940" s="196"/>
      <c r="J2940" s="114"/>
      <c r="BB2940" s="117"/>
      <c r="BC2940" s="117"/>
      <c r="BD2940" s="117"/>
    </row>
    <row r="2941" spans="1:56" ht="15" customHeight="1">
      <c r="A2941" s="114"/>
      <c r="B2941" s="731"/>
      <c r="C2941" s="712">
        <v>121</v>
      </c>
      <c r="D2941" s="286" t="s">
        <v>12</v>
      </c>
      <c r="E2941" s="1325" t="s">
        <v>1891</v>
      </c>
      <c r="F2941" s="1326"/>
      <c r="G2941" s="196"/>
      <c r="H2941" s="196"/>
      <c r="I2941" s="196"/>
      <c r="J2941" s="114"/>
      <c r="BB2941" s="117"/>
      <c r="BC2941" s="117"/>
      <c r="BD2941" s="117"/>
    </row>
    <row r="2942" spans="1:56" ht="15" customHeight="1">
      <c r="A2942" s="114"/>
      <c r="B2942" s="731"/>
      <c r="C2942" s="712">
        <v>43</v>
      </c>
      <c r="D2942" s="286" t="s">
        <v>12</v>
      </c>
      <c r="E2942" s="1325" t="s">
        <v>1894</v>
      </c>
      <c r="F2942" s="1326"/>
      <c r="G2942" s="196"/>
      <c r="H2942" s="196"/>
      <c r="I2942" s="196"/>
      <c r="J2942" s="114"/>
      <c r="BB2942" s="117"/>
      <c r="BC2942" s="117"/>
      <c r="BD2942" s="117"/>
    </row>
    <row r="2943" spans="1:56" ht="15" customHeight="1">
      <c r="A2943" s="114"/>
      <c r="B2943" s="731"/>
      <c r="C2943" s="712">
        <v>13</v>
      </c>
      <c r="D2943" s="286" t="s">
        <v>12</v>
      </c>
      <c r="E2943" s="1325" t="s">
        <v>1895</v>
      </c>
      <c r="F2943" s="1326"/>
      <c r="G2943" s="196"/>
      <c r="H2943" s="733"/>
      <c r="I2943" s="196"/>
      <c r="J2943" s="114"/>
      <c r="BB2943" s="117"/>
      <c r="BC2943" s="117"/>
      <c r="BD2943" s="117"/>
    </row>
    <row r="2944" spans="1:56" ht="15" customHeight="1">
      <c r="A2944" s="114"/>
      <c r="B2944" s="731"/>
      <c r="C2944" s="712">
        <v>8</v>
      </c>
      <c r="D2944" s="286" t="s">
        <v>12</v>
      </c>
      <c r="E2944" s="1325" t="s">
        <v>1896</v>
      </c>
      <c r="F2944" s="1326"/>
      <c r="G2944" s="196"/>
      <c r="H2944" s="196"/>
      <c r="I2944" s="196"/>
      <c r="J2944" s="114"/>
      <c r="BB2944" s="117"/>
      <c r="BC2944" s="117"/>
      <c r="BD2944" s="117"/>
    </row>
    <row r="2945" spans="1:56" ht="15">
      <c r="A2945" s="114"/>
      <c r="B2945" s="730" t="s">
        <v>352</v>
      </c>
      <c r="C2945" s="712">
        <v>2395</v>
      </c>
      <c r="D2945" s="286" t="s">
        <v>12</v>
      </c>
      <c r="E2945" s="1325" t="s">
        <v>1868</v>
      </c>
      <c r="F2945" s="1326"/>
      <c r="G2945" s="196"/>
      <c r="H2945" s="196"/>
      <c r="I2945" s="196"/>
      <c r="J2945" s="114"/>
      <c r="BB2945" s="117"/>
      <c r="BC2945" s="117"/>
      <c r="BD2945" s="117"/>
    </row>
    <row r="2946" spans="1:56" ht="15" customHeight="1">
      <c r="A2946" s="114"/>
      <c r="B2946" s="731"/>
      <c r="C2946" s="712">
        <v>5674</v>
      </c>
      <c r="D2946" s="286" t="s">
        <v>12</v>
      </c>
      <c r="E2946" s="1325" t="s">
        <v>1869</v>
      </c>
      <c r="F2946" s="1326"/>
      <c r="G2946" s="196"/>
      <c r="H2946" s="196"/>
      <c r="I2946" s="196"/>
      <c r="J2946" s="114"/>
      <c r="BB2946" s="117"/>
      <c r="BC2946" s="117"/>
      <c r="BD2946" s="117"/>
    </row>
    <row r="2947" spans="1:56" ht="15" customHeight="1">
      <c r="A2947" s="114"/>
      <c r="B2947" s="731"/>
      <c r="C2947" s="712">
        <v>14008</v>
      </c>
      <c r="D2947" s="286" t="s">
        <v>12</v>
      </c>
      <c r="E2947" s="1325" t="s">
        <v>1870</v>
      </c>
      <c r="F2947" s="1326"/>
      <c r="G2947" s="196"/>
      <c r="H2947" s="196"/>
      <c r="I2947" s="196"/>
      <c r="J2947" s="114"/>
      <c r="BB2947" s="117"/>
      <c r="BC2947" s="117"/>
      <c r="BD2947" s="117"/>
    </row>
    <row r="2948" spans="1:56" ht="15" customHeight="1">
      <c r="A2948" s="114"/>
      <c r="B2948" s="731"/>
      <c r="C2948" s="712">
        <v>9852</v>
      </c>
      <c r="D2948" s="286" t="s">
        <v>12</v>
      </c>
      <c r="E2948" s="1325" t="s">
        <v>1871</v>
      </c>
      <c r="F2948" s="1326"/>
      <c r="G2948" s="196"/>
      <c r="H2948" s="196"/>
      <c r="I2948" s="196"/>
      <c r="J2948" s="114"/>
      <c r="BB2948" s="117"/>
      <c r="BC2948" s="117"/>
      <c r="BD2948" s="117"/>
    </row>
    <row r="2949" spans="1:56" ht="15" customHeight="1">
      <c r="A2949" s="114"/>
      <c r="B2949" s="731"/>
      <c r="C2949" s="712">
        <v>6954</v>
      </c>
      <c r="D2949" s="286" t="s">
        <v>12</v>
      </c>
      <c r="E2949" s="1325" t="s">
        <v>1872</v>
      </c>
      <c r="F2949" s="1326"/>
      <c r="G2949" s="196"/>
      <c r="H2949" s="196"/>
      <c r="I2949" s="196"/>
      <c r="J2949" s="734"/>
      <c r="BB2949" s="117"/>
      <c r="BC2949" s="117"/>
      <c r="BD2949" s="117"/>
    </row>
    <row r="2950" spans="1:56" ht="15" customHeight="1">
      <c r="A2950" s="114"/>
      <c r="B2950" s="731"/>
      <c r="C2950" s="712">
        <v>9845</v>
      </c>
      <c r="D2950" s="286" t="s">
        <v>12</v>
      </c>
      <c r="E2950" s="1325" t="s">
        <v>1873</v>
      </c>
      <c r="F2950" s="1326"/>
      <c r="G2950" s="196"/>
      <c r="H2950" s="196"/>
      <c r="I2950" s="196"/>
      <c r="J2950" s="114"/>
      <c r="BB2950" s="117"/>
      <c r="BC2950" s="117"/>
      <c r="BD2950" s="117"/>
    </row>
    <row r="2951" spans="1:56" ht="15" customHeight="1">
      <c r="A2951" s="114"/>
      <c r="B2951" s="731"/>
      <c r="C2951" s="712">
        <v>5629</v>
      </c>
      <c r="D2951" s="286" t="s">
        <v>12</v>
      </c>
      <c r="E2951" s="1325" t="s">
        <v>1874</v>
      </c>
      <c r="F2951" s="1326"/>
      <c r="G2951" s="196"/>
      <c r="H2951" s="733"/>
      <c r="I2951" s="196"/>
      <c r="J2951" s="114"/>
      <c r="BB2951" s="117"/>
      <c r="BC2951" s="117"/>
      <c r="BD2951" s="117"/>
    </row>
    <row r="2952" spans="1:56" ht="15" customHeight="1">
      <c r="A2952" s="114"/>
      <c r="B2952" s="731"/>
      <c r="C2952" s="712">
        <v>4667</v>
      </c>
      <c r="D2952" s="286" t="s">
        <v>12</v>
      </c>
      <c r="E2952" s="1325" t="s">
        <v>1875</v>
      </c>
      <c r="F2952" s="1326"/>
      <c r="G2952" s="196"/>
      <c r="H2952" s="196"/>
      <c r="I2952" s="196"/>
      <c r="J2952" s="114"/>
      <c r="BB2952" s="117"/>
      <c r="BC2952" s="117"/>
      <c r="BD2952" s="117"/>
    </row>
    <row r="2953" spans="1:56" ht="15" customHeight="1">
      <c r="A2953" s="114"/>
      <c r="B2953" s="731"/>
      <c r="C2953" s="712">
        <v>8483</v>
      </c>
      <c r="D2953" s="286" t="s">
        <v>12</v>
      </c>
      <c r="E2953" s="1325" t="s">
        <v>1876</v>
      </c>
      <c r="F2953" s="1326"/>
      <c r="G2953" s="196"/>
      <c r="H2953" s="196"/>
      <c r="I2953" s="196"/>
      <c r="J2953" s="114"/>
      <c r="BB2953" s="117"/>
      <c r="BC2953" s="117"/>
      <c r="BD2953" s="117"/>
    </row>
    <row r="2954" spans="1:56" ht="15" customHeight="1">
      <c r="A2954" s="114"/>
      <c r="B2954" s="731"/>
      <c r="C2954" s="712">
        <v>5744</v>
      </c>
      <c r="D2954" s="286" t="s">
        <v>12</v>
      </c>
      <c r="E2954" s="1325" t="s">
        <v>1877</v>
      </c>
      <c r="F2954" s="1326"/>
      <c r="G2954" s="196"/>
      <c r="H2954" s="196"/>
      <c r="I2954" s="196"/>
      <c r="J2954" s="114"/>
      <c r="BB2954" s="117"/>
      <c r="BC2954" s="117"/>
      <c r="BD2954" s="117"/>
    </row>
    <row r="2955" spans="1:56" ht="15" customHeight="1">
      <c r="A2955" s="114"/>
      <c r="B2955" s="731"/>
      <c r="C2955" s="712">
        <v>8714</v>
      </c>
      <c r="D2955" s="286" t="s">
        <v>12</v>
      </c>
      <c r="E2955" s="1325" t="s">
        <v>1878</v>
      </c>
      <c r="F2955" s="1326"/>
      <c r="G2955" s="196"/>
      <c r="H2955" s="196"/>
      <c r="I2955" s="196"/>
      <c r="J2955" s="114"/>
      <c r="BB2955" s="117"/>
      <c r="BC2955" s="117"/>
      <c r="BD2955" s="117"/>
    </row>
    <row r="2956" spans="1:56" ht="15" customHeight="1">
      <c r="A2956" s="114"/>
      <c r="B2956" s="731"/>
      <c r="C2956" s="712">
        <v>6627</v>
      </c>
      <c r="D2956" s="286" t="s">
        <v>12</v>
      </c>
      <c r="E2956" s="1325" t="s">
        <v>1879</v>
      </c>
      <c r="F2956" s="1326"/>
      <c r="G2956" s="196"/>
      <c r="H2956" s="196"/>
      <c r="I2956" s="196"/>
      <c r="J2956" s="114"/>
      <c r="BB2956" s="117"/>
      <c r="BC2956" s="117"/>
      <c r="BD2956" s="117"/>
    </row>
    <row r="2957" spans="1:56" ht="15" customHeight="1">
      <c r="A2957" s="114"/>
      <c r="B2957" s="731"/>
      <c r="C2957" s="712">
        <v>3551</v>
      </c>
      <c r="D2957" s="286" t="s">
        <v>12</v>
      </c>
      <c r="E2957" s="1325" t="s">
        <v>1880</v>
      </c>
      <c r="F2957" s="1326"/>
      <c r="G2957" s="196"/>
      <c r="H2957" s="196"/>
      <c r="I2957" s="196"/>
      <c r="J2957" s="114"/>
      <c r="BB2957" s="117"/>
      <c r="BC2957" s="117"/>
      <c r="BD2957" s="117"/>
    </row>
    <row r="2958" spans="1:56" ht="15" customHeight="1">
      <c r="A2958" s="114"/>
      <c r="B2958" s="731"/>
      <c r="C2958" s="712">
        <v>3562</v>
      </c>
      <c r="D2958" s="286" t="s">
        <v>12</v>
      </c>
      <c r="E2958" s="1325" t="s">
        <v>1881</v>
      </c>
      <c r="F2958" s="1326"/>
      <c r="G2958" s="196"/>
      <c r="H2958" s="733"/>
      <c r="I2958" s="196"/>
      <c r="J2958" s="114"/>
      <c r="BB2958" s="117"/>
      <c r="BC2958" s="117"/>
      <c r="BD2958" s="117"/>
    </row>
    <row r="2959" spans="1:56" ht="15" customHeight="1">
      <c r="A2959" s="114"/>
      <c r="B2959" s="731"/>
      <c r="C2959" s="712">
        <v>6998</v>
      </c>
      <c r="D2959" s="286" t="s">
        <v>12</v>
      </c>
      <c r="E2959" s="1325" t="s">
        <v>1882</v>
      </c>
      <c r="F2959" s="1326"/>
      <c r="G2959" s="196"/>
      <c r="H2959" s="196"/>
      <c r="I2959" s="196"/>
      <c r="J2959" s="114"/>
      <c r="BB2959" s="117"/>
      <c r="BC2959" s="117"/>
      <c r="BD2959" s="117"/>
    </row>
    <row r="2960" spans="1:56" ht="15" customHeight="1">
      <c r="A2960" s="114"/>
      <c r="B2960" s="731"/>
      <c r="C2960" s="712">
        <v>11775</v>
      </c>
      <c r="D2960" s="286" t="s">
        <v>12</v>
      </c>
      <c r="E2960" s="1325" t="s">
        <v>1883</v>
      </c>
      <c r="F2960" s="1326"/>
      <c r="G2960" s="196"/>
      <c r="H2960" s="196"/>
      <c r="I2960" s="196"/>
      <c r="J2960" s="114"/>
      <c r="BB2960" s="117"/>
      <c r="BC2960" s="117"/>
      <c r="BD2960" s="117"/>
    </row>
    <row r="2961" spans="1:56" ht="15" customHeight="1">
      <c r="A2961" s="114"/>
      <c r="B2961" s="731"/>
      <c r="C2961" s="712">
        <v>13061</v>
      </c>
      <c r="D2961" s="286" t="s">
        <v>12</v>
      </c>
      <c r="E2961" s="1325" t="s">
        <v>1884</v>
      </c>
      <c r="F2961" s="1326"/>
      <c r="G2961" s="196"/>
      <c r="H2961" s="196"/>
      <c r="I2961" s="196"/>
      <c r="J2961" s="114"/>
      <c r="BB2961" s="117"/>
      <c r="BC2961" s="117"/>
      <c r="BD2961" s="117"/>
    </row>
    <row r="2962" spans="1:56" ht="15" customHeight="1">
      <c r="A2962" s="114"/>
      <c r="B2962" s="731"/>
      <c r="C2962" s="712">
        <v>14982</v>
      </c>
      <c r="D2962" s="286" t="s">
        <v>12</v>
      </c>
      <c r="E2962" s="1325" t="s">
        <v>1885</v>
      </c>
      <c r="F2962" s="1326"/>
      <c r="G2962" s="196"/>
      <c r="H2962" s="196"/>
      <c r="I2962" s="196"/>
      <c r="J2962" s="114"/>
      <c r="BB2962" s="117"/>
      <c r="BC2962" s="117"/>
      <c r="BD2962" s="117"/>
    </row>
    <row r="2963" spans="1:56" ht="15" customHeight="1">
      <c r="A2963" s="114"/>
      <c r="B2963" s="731"/>
      <c r="C2963" s="712">
        <v>7309</v>
      </c>
      <c r="D2963" s="286" t="s">
        <v>12</v>
      </c>
      <c r="E2963" s="1325" t="s">
        <v>1886</v>
      </c>
      <c r="F2963" s="1326"/>
      <c r="G2963" s="196"/>
      <c r="H2963" s="196"/>
      <c r="I2963" s="196"/>
      <c r="J2963" s="114"/>
      <c r="BB2963" s="117"/>
      <c r="BC2963" s="117"/>
      <c r="BD2963" s="117"/>
    </row>
    <row r="2964" spans="1:56" ht="15" customHeight="1">
      <c r="A2964" s="114"/>
      <c r="B2964" s="731"/>
      <c r="C2964" s="712">
        <v>11880</v>
      </c>
      <c r="D2964" s="286" t="s">
        <v>12</v>
      </c>
      <c r="E2964" s="1325" t="s">
        <v>1887</v>
      </c>
      <c r="F2964" s="1326"/>
      <c r="G2964" s="196"/>
      <c r="H2964" s="196"/>
      <c r="I2964" s="196"/>
      <c r="J2964" s="114"/>
      <c r="BB2964" s="117"/>
      <c r="BC2964" s="117"/>
      <c r="BD2964" s="117"/>
    </row>
    <row r="2965" spans="1:56" ht="15" customHeight="1">
      <c r="A2965" s="114"/>
      <c r="B2965" s="731"/>
      <c r="C2965" s="712">
        <v>7477</v>
      </c>
      <c r="D2965" s="286" t="s">
        <v>12</v>
      </c>
      <c r="E2965" s="1325" t="s">
        <v>1888</v>
      </c>
      <c r="F2965" s="1326"/>
      <c r="G2965" s="196"/>
      <c r="H2965" s="733"/>
      <c r="I2965" s="196"/>
      <c r="J2965" s="114"/>
      <c r="BB2965" s="117"/>
      <c r="BC2965" s="117"/>
      <c r="BD2965" s="117"/>
    </row>
    <row r="2966" spans="1:56" ht="15" customHeight="1">
      <c r="A2966" s="114"/>
      <c r="B2966" s="731"/>
      <c r="C2966" s="712">
        <v>11209</v>
      </c>
      <c r="D2966" s="286" t="s">
        <v>12</v>
      </c>
      <c r="E2966" s="1325" t="s">
        <v>1889</v>
      </c>
      <c r="F2966" s="1326"/>
      <c r="G2966" s="196"/>
      <c r="H2966" s="196"/>
      <c r="I2966" s="196"/>
      <c r="J2966" s="114"/>
      <c r="BB2966" s="117"/>
      <c r="BC2966" s="117"/>
      <c r="BD2966" s="117"/>
    </row>
    <row r="2967" spans="1:56" ht="15" customHeight="1">
      <c r="A2967" s="114"/>
      <c r="B2967" s="731"/>
      <c r="C2967" s="712">
        <v>10634</v>
      </c>
      <c r="D2967" s="286" t="s">
        <v>12</v>
      </c>
      <c r="E2967" s="1325" t="s">
        <v>1890</v>
      </c>
      <c r="F2967" s="1326"/>
      <c r="G2967" s="196"/>
      <c r="H2967" s="196"/>
      <c r="I2967" s="196"/>
      <c r="J2967" s="114"/>
      <c r="BB2967" s="117"/>
      <c r="BC2967" s="117"/>
      <c r="BD2967" s="117"/>
    </row>
    <row r="2968" spans="1:56" ht="15" customHeight="1">
      <c r="A2968" s="114"/>
      <c r="B2968" s="731"/>
      <c r="C2968" s="712">
        <v>11380</v>
      </c>
      <c r="D2968" s="286" t="s">
        <v>12</v>
      </c>
      <c r="E2968" s="1325" t="s">
        <v>1891</v>
      </c>
      <c r="F2968" s="1326"/>
      <c r="G2968" s="196"/>
      <c r="H2968" s="196"/>
      <c r="I2968" s="196"/>
      <c r="J2968" s="114"/>
      <c r="BB2968" s="117"/>
      <c r="BC2968" s="117"/>
      <c r="BD2968" s="117"/>
    </row>
    <row r="2969" spans="1:56" ht="15" customHeight="1">
      <c r="A2969" s="114"/>
      <c r="B2969" s="731"/>
      <c r="C2969" s="712">
        <v>8176</v>
      </c>
      <c r="D2969" s="286" t="s">
        <v>12</v>
      </c>
      <c r="E2969" s="1325" t="s">
        <v>1892</v>
      </c>
      <c r="F2969" s="1326"/>
      <c r="G2969" s="196"/>
      <c r="H2969" s="196"/>
      <c r="I2969" s="196"/>
      <c r="J2969" s="114"/>
      <c r="BB2969" s="117"/>
      <c r="BC2969" s="117"/>
      <c r="BD2969" s="117"/>
    </row>
    <row r="2970" spans="1:56" ht="15" customHeight="1">
      <c r="A2970" s="114"/>
      <c r="B2970" s="731"/>
      <c r="C2970" s="712">
        <v>7368</v>
      </c>
      <c r="D2970" s="286" t="s">
        <v>12</v>
      </c>
      <c r="E2970" s="1325" t="s">
        <v>1893</v>
      </c>
      <c r="F2970" s="1326"/>
      <c r="G2970" s="196"/>
      <c r="H2970" s="196"/>
      <c r="I2970" s="196"/>
      <c r="J2970" s="114"/>
      <c r="BB2970" s="117"/>
      <c r="BC2970" s="117"/>
      <c r="BD2970" s="117"/>
    </row>
    <row r="2971" spans="1:56" ht="15" customHeight="1">
      <c r="A2971" s="114"/>
      <c r="B2971" s="731"/>
      <c r="C2971" s="712">
        <v>4892</v>
      </c>
      <c r="D2971" s="286" t="s">
        <v>12</v>
      </c>
      <c r="E2971" s="1325" t="s">
        <v>1894</v>
      </c>
      <c r="F2971" s="1326"/>
      <c r="G2971" s="196"/>
      <c r="H2971" s="196"/>
      <c r="I2971" s="196"/>
      <c r="J2971" s="114"/>
      <c r="BB2971" s="117"/>
      <c r="BC2971" s="117"/>
      <c r="BD2971" s="117"/>
    </row>
    <row r="2972" spans="1:56" ht="15" customHeight="1">
      <c r="A2972" s="114"/>
      <c r="B2972" s="731"/>
      <c r="C2972" s="712">
        <v>2174</v>
      </c>
      <c r="D2972" s="286" t="s">
        <v>12</v>
      </c>
      <c r="E2972" s="1325" t="s">
        <v>1895</v>
      </c>
      <c r="F2972" s="1326"/>
      <c r="G2972" s="196"/>
      <c r="H2972" s="733"/>
      <c r="I2972" s="196"/>
      <c r="J2972" s="114"/>
      <c r="BB2972" s="117"/>
      <c r="BC2972" s="117"/>
      <c r="BD2972" s="117"/>
    </row>
    <row r="2973" spans="1:56" ht="15" customHeight="1">
      <c r="A2973" s="114"/>
      <c r="B2973" s="732"/>
      <c r="C2973" s="712">
        <v>14402</v>
      </c>
      <c r="D2973" s="286" t="s">
        <v>12</v>
      </c>
      <c r="E2973" s="1325" t="s">
        <v>1896</v>
      </c>
      <c r="F2973" s="1326"/>
      <c r="G2973" s="196"/>
      <c r="H2973" s="196"/>
      <c r="I2973" s="196"/>
      <c r="J2973" s="114"/>
      <c r="BB2973" s="117"/>
      <c r="BC2973" s="117"/>
      <c r="BD2973" s="117"/>
    </row>
    <row r="2974" spans="1:56" ht="15">
      <c r="A2974" s="114"/>
      <c r="B2974" s="694"/>
      <c r="C2974" s="211"/>
      <c r="D2974" s="196"/>
      <c r="E2974" s="288"/>
      <c r="F2974" s="284"/>
      <c r="G2974" s="196"/>
      <c r="H2974" s="196"/>
      <c r="I2974" s="196"/>
      <c r="J2974" s="114"/>
      <c r="BB2974" s="117"/>
      <c r="BC2974" s="117"/>
      <c r="BD2974" s="117"/>
    </row>
    <row r="2975" spans="1:56" ht="15">
      <c r="A2975" s="360" t="s">
        <v>1105</v>
      </c>
      <c r="B2975" s="691" t="s">
        <v>1841</v>
      </c>
      <c r="C2975" s="196"/>
      <c r="D2975" s="196"/>
      <c r="E2975" s="196"/>
      <c r="F2975" s="284"/>
      <c r="G2975" s="196"/>
      <c r="H2975" s="196"/>
      <c r="I2975" s="196"/>
      <c r="J2975" s="114"/>
      <c r="BB2975" s="117"/>
      <c r="BC2975" s="117"/>
      <c r="BD2975" s="117"/>
    </row>
    <row r="2976" spans="1:56" ht="15">
      <c r="A2976" s="114"/>
      <c r="B2976" s="692" t="s">
        <v>352</v>
      </c>
      <c r="C2976" s="712">
        <v>3029</v>
      </c>
      <c r="D2976" s="286" t="s">
        <v>12</v>
      </c>
      <c r="E2976" s="1197" t="s">
        <v>1785</v>
      </c>
      <c r="F2976" s="1198"/>
      <c r="G2976" s="196"/>
      <c r="H2976" s="196"/>
      <c r="I2976" s="196"/>
      <c r="J2976" s="114"/>
      <c r="BB2976" s="117"/>
      <c r="BC2976" s="117"/>
      <c r="BD2976" s="117"/>
    </row>
    <row r="2977" spans="1:56" ht="15">
      <c r="A2977" s="114"/>
      <c r="B2977" s="728"/>
      <c r="C2977" s="729"/>
      <c r="D2977" s="196"/>
      <c r="E2977" s="725"/>
      <c r="F2977" s="767"/>
      <c r="G2977" s="196"/>
      <c r="H2977" s="196"/>
      <c r="I2977" s="196"/>
      <c r="J2977" s="114"/>
      <c r="BB2977" s="117"/>
      <c r="BC2977" s="117"/>
      <c r="BD2977" s="117"/>
    </row>
    <row r="2978" spans="1:56" ht="15">
      <c r="A2978" s="114"/>
      <c r="B2978" s="728"/>
      <c r="C2978" s="729"/>
      <c r="D2978" s="196"/>
      <c r="E2978" s="725"/>
      <c r="F2978" s="767"/>
      <c r="G2978" s="196"/>
      <c r="H2978" s="196"/>
      <c r="I2978" s="196"/>
      <c r="J2978" s="114"/>
      <c r="BB2978" s="117"/>
      <c r="BC2978" s="117"/>
      <c r="BD2978" s="117"/>
    </row>
    <row r="2979" spans="1:56" ht="15">
      <c r="A2979" s="360" t="s">
        <v>1105</v>
      </c>
      <c r="B2979" s="691" t="s">
        <v>1844</v>
      </c>
      <c r="C2979" s="196"/>
      <c r="D2979" s="196"/>
      <c r="E2979" s="196"/>
      <c r="F2979" s="284"/>
      <c r="G2979" s="196"/>
      <c r="H2979" s="196"/>
      <c r="I2979" s="196"/>
      <c r="J2979" s="114"/>
      <c r="BB2979" s="117"/>
      <c r="BC2979" s="117"/>
      <c r="BD2979" s="117"/>
    </row>
    <row r="2980" spans="1:56" ht="15" customHeight="1">
      <c r="A2980" s="114"/>
      <c r="B2980" s="730" t="s">
        <v>353</v>
      </c>
      <c r="C2980" s="712">
        <f>6</f>
        <v>6</v>
      </c>
      <c r="D2980" s="689" t="s">
        <v>12</v>
      </c>
      <c r="E2980" s="1197" t="s">
        <v>1904</v>
      </c>
      <c r="F2980" s="1198"/>
      <c r="G2980" s="196"/>
      <c r="H2980" s="196"/>
      <c r="I2980" s="196"/>
      <c r="J2980" s="114"/>
      <c r="BB2980" s="117"/>
      <c r="BC2980" s="117"/>
      <c r="BD2980" s="117"/>
    </row>
    <row r="2981" spans="1:56" ht="16.5" customHeight="1">
      <c r="A2981" s="114"/>
      <c r="B2981" s="730" t="s">
        <v>352</v>
      </c>
      <c r="C2981" s="712">
        <v>29104</v>
      </c>
      <c r="D2981" s="689" t="s">
        <v>12</v>
      </c>
      <c r="E2981" s="1197" t="s">
        <v>1897</v>
      </c>
      <c r="F2981" s="1198"/>
      <c r="G2981" s="196"/>
      <c r="H2981" s="196"/>
      <c r="I2981" s="196"/>
      <c r="J2981" s="114"/>
      <c r="BB2981" s="117"/>
      <c r="BC2981" s="117"/>
      <c r="BD2981" s="117"/>
    </row>
    <row r="2982" spans="1:56" ht="15" customHeight="1">
      <c r="A2982" s="114"/>
      <c r="B2982" s="731"/>
      <c r="C2982" s="712">
        <v>31205</v>
      </c>
      <c r="D2982" s="286" t="s">
        <v>12</v>
      </c>
      <c r="E2982" s="1197" t="s">
        <v>1898</v>
      </c>
      <c r="F2982" s="1198"/>
      <c r="G2982" s="196"/>
      <c r="H2982" s="196"/>
      <c r="I2982" s="196"/>
      <c r="J2982" s="114"/>
      <c r="BB2982" s="117"/>
      <c r="BC2982" s="117"/>
      <c r="BD2982" s="117"/>
    </row>
    <row r="2983" spans="1:56" ht="15" customHeight="1">
      <c r="A2983" s="114"/>
      <c r="B2983" s="731"/>
      <c r="C2983" s="712">
        <v>29785</v>
      </c>
      <c r="D2983" s="286" t="s">
        <v>12</v>
      </c>
      <c r="E2983" s="1197" t="s">
        <v>1899</v>
      </c>
      <c r="F2983" s="1198"/>
      <c r="G2983" s="196"/>
      <c r="H2983" s="733"/>
      <c r="I2983" s="196"/>
      <c r="J2983" s="114"/>
      <c r="BB2983" s="117"/>
      <c r="BC2983" s="117"/>
      <c r="BD2983" s="117"/>
    </row>
    <row r="2984" spans="1:56" ht="15" customHeight="1">
      <c r="A2984" s="114"/>
      <c r="B2984" s="731"/>
      <c r="C2984" s="712">
        <v>13210</v>
      </c>
      <c r="D2984" s="286" t="s">
        <v>12</v>
      </c>
      <c r="E2984" s="1197" t="s">
        <v>1900</v>
      </c>
      <c r="F2984" s="1198"/>
      <c r="G2984" s="196"/>
      <c r="H2984" s="196"/>
      <c r="I2984" s="196"/>
      <c r="J2984" s="114"/>
      <c r="BB2984" s="117"/>
      <c r="BC2984" s="117"/>
      <c r="BD2984" s="117"/>
    </row>
    <row r="2985" spans="1:56" ht="15" customHeight="1">
      <c r="A2985" s="114"/>
      <c r="B2985" s="731"/>
      <c r="C2985" s="712">
        <v>33422</v>
      </c>
      <c r="D2985" s="286" t="s">
        <v>12</v>
      </c>
      <c r="E2985" s="1197" t="s">
        <v>1901</v>
      </c>
      <c r="F2985" s="1198"/>
      <c r="G2985" s="196"/>
      <c r="H2985" s="196"/>
      <c r="I2985" s="196"/>
      <c r="J2985" s="114"/>
      <c r="BB2985" s="117"/>
      <c r="BC2985" s="117"/>
      <c r="BD2985" s="117"/>
    </row>
    <row r="2986" spans="1:56" ht="15" customHeight="1">
      <c r="A2986" s="114"/>
      <c r="B2986" s="731"/>
      <c r="C2986" s="712">
        <v>36687</v>
      </c>
      <c r="D2986" s="286" t="s">
        <v>12</v>
      </c>
      <c r="E2986" s="1197" t="s">
        <v>1902</v>
      </c>
      <c r="F2986" s="1198"/>
      <c r="G2986" s="196"/>
      <c r="H2986" s="196"/>
      <c r="I2986" s="196"/>
      <c r="J2986" s="114"/>
      <c r="BB2986" s="117"/>
      <c r="BC2986" s="117"/>
      <c r="BD2986" s="117"/>
    </row>
    <row r="2987" spans="1:56" ht="15" customHeight="1">
      <c r="A2987" s="114"/>
      <c r="B2987" s="731"/>
      <c r="C2987" s="712">
        <v>32641</v>
      </c>
      <c r="D2987" s="286" t="s">
        <v>12</v>
      </c>
      <c r="E2987" s="1197" t="s">
        <v>1903</v>
      </c>
      <c r="F2987" s="1198"/>
      <c r="G2987" s="196"/>
      <c r="H2987" s="196"/>
      <c r="I2987" s="196"/>
      <c r="J2987" s="114"/>
      <c r="BB2987" s="117"/>
      <c r="BC2987" s="117"/>
      <c r="BD2987" s="117"/>
    </row>
    <row r="2988" spans="1:56" ht="15" customHeight="1">
      <c r="A2988" s="114"/>
      <c r="B2988" s="732"/>
      <c r="C2988" s="712">
        <v>17659</v>
      </c>
      <c r="D2988" s="286" t="s">
        <v>12</v>
      </c>
      <c r="E2988" s="1197" t="s">
        <v>1904</v>
      </c>
      <c r="F2988" s="1198"/>
      <c r="G2988" s="196"/>
      <c r="H2988" s="196"/>
      <c r="I2988" s="196"/>
      <c r="J2988" s="114"/>
      <c r="BB2988" s="117"/>
      <c r="BC2988" s="117"/>
      <c r="BD2988" s="117"/>
    </row>
    <row r="2989" spans="1:56" ht="15">
      <c r="A2989" s="114"/>
      <c r="B2989" s="694"/>
      <c r="C2989" s="211"/>
      <c r="D2989" s="196"/>
      <c r="E2989" s="288"/>
      <c r="F2989" s="284"/>
      <c r="G2989" s="196"/>
      <c r="H2989" s="196"/>
      <c r="I2989" s="196"/>
      <c r="J2989" s="114"/>
      <c r="BB2989" s="117"/>
      <c r="BC2989" s="117"/>
      <c r="BD2989" s="117"/>
    </row>
    <row r="2990" spans="1:56" ht="15">
      <c r="A2990" s="360" t="s">
        <v>1105</v>
      </c>
      <c r="B2990" s="691" t="s">
        <v>1842</v>
      </c>
      <c r="C2990" s="196"/>
      <c r="D2990" s="196"/>
      <c r="E2990" s="196"/>
      <c r="F2990" s="284"/>
      <c r="G2990" s="196"/>
      <c r="H2990" s="196"/>
      <c r="I2990" s="196"/>
      <c r="J2990" s="114"/>
      <c r="BB2990" s="117"/>
      <c r="BC2990" s="117"/>
      <c r="BD2990" s="117"/>
    </row>
    <row r="2991" spans="1:56" ht="15">
      <c r="A2991" s="114"/>
      <c r="B2991" s="730" t="s">
        <v>352</v>
      </c>
      <c r="C2991" s="712">
        <v>7071</v>
      </c>
      <c r="D2991" s="286" t="s">
        <v>12</v>
      </c>
      <c r="E2991" s="1335" t="s">
        <v>1778</v>
      </c>
      <c r="F2991" s="1336"/>
      <c r="G2991" s="196"/>
      <c r="H2991" s="196"/>
      <c r="I2991" s="196"/>
      <c r="J2991" s="114"/>
      <c r="BB2991" s="117"/>
      <c r="BC2991" s="117"/>
      <c r="BD2991" s="117"/>
    </row>
    <row r="2992" spans="1:56" ht="15">
      <c r="A2992" s="114"/>
      <c r="B2992" s="731"/>
      <c r="C2992" s="712">
        <v>6964</v>
      </c>
      <c r="D2992" s="286" t="s">
        <v>12</v>
      </c>
      <c r="E2992" s="1330" t="s">
        <v>1779</v>
      </c>
      <c r="F2992" s="1331"/>
      <c r="G2992" s="196"/>
      <c r="H2992" s="196"/>
      <c r="I2992" s="196"/>
      <c r="J2992" s="114"/>
      <c r="BB2992" s="117"/>
      <c r="BC2992" s="117"/>
      <c r="BD2992" s="117"/>
    </row>
    <row r="2993" spans="1:56" ht="15">
      <c r="A2993" s="114"/>
      <c r="B2993" s="732"/>
      <c r="C2993" s="712">
        <v>2794</v>
      </c>
      <c r="D2993" s="286" t="s">
        <v>12</v>
      </c>
      <c r="E2993" s="1330" t="s">
        <v>1780</v>
      </c>
      <c r="F2993" s="1331"/>
      <c r="G2993" s="196"/>
      <c r="H2993" s="196"/>
      <c r="I2993" s="196"/>
      <c r="J2993" s="114"/>
      <c r="BB2993" s="117"/>
      <c r="BC2993" s="117"/>
      <c r="BD2993" s="117"/>
    </row>
    <row r="2994" spans="1:56" ht="15">
      <c r="A2994" s="114"/>
      <c r="B2994" s="728"/>
      <c r="C2994" s="729"/>
      <c r="D2994" s="196"/>
      <c r="E2994" s="725"/>
      <c r="F2994" s="767"/>
      <c r="G2994" s="196"/>
      <c r="H2994" s="196"/>
      <c r="I2994" s="196"/>
      <c r="J2994" s="114"/>
      <c r="BB2994" s="117"/>
      <c r="BC2994" s="117"/>
      <c r="BD2994" s="117"/>
    </row>
    <row r="2995" spans="1:56" ht="15">
      <c r="A2995" s="360" t="s">
        <v>1105</v>
      </c>
      <c r="B2995" s="691" t="s">
        <v>1682</v>
      </c>
      <c r="C2995" s="196"/>
      <c r="D2995" s="196"/>
      <c r="E2995" s="196"/>
      <c r="F2995" s="284"/>
      <c r="G2995" s="196"/>
      <c r="H2995" s="196"/>
      <c r="I2995" s="196"/>
      <c r="J2995" s="114"/>
      <c r="BB2995" s="117"/>
      <c r="BC2995" s="117"/>
      <c r="BD2995" s="117"/>
    </row>
    <row r="2996" spans="1:56" ht="15" customHeight="1">
      <c r="A2996" s="114"/>
      <c r="B2996" s="692" t="s">
        <v>353</v>
      </c>
      <c r="C2996" s="712">
        <v>6</v>
      </c>
      <c r="D2996" s="286" t="s">
        <v>12</v>
      </c>
      <c r="E2996" s="1330" t="s">
        <v>1905</v>
      </c>
      <c r="F2996" s="1331"/>
      <c r="G2996" s="196"/>
      <c r="H2996" s="196"/>
      <c r="I2996" s="196"/>
      <c r="J2996" s="114"/>
      <c r="BB2996" s="117"/>
      <c r="BC2996" s="117"/>
      <c r="BD2996" s="117"/>
    </row>
    <row r="2997" spans="1:56" ht="15">
      <c r="A2997" s="114"/>
      <c r="B2997" s="730" t="s">
        <v>352</v>
      </c>
      <c r="C2997" s="712">
        <v>31259</v>
      </c>
      <c r="D2997" s="286" t="s">
        <v>12</v>
      </c>
      <c r="E2997" s="1330" t="s">
        <v>1906</v>
      </c>
      <c r="F2997" s="1331"/>
      <c r="G2997" s="196"/>
      <c r="H2997" s="196"/>
      <c r="I2997" s="196"/>
      <c r="J2997" s="114"/>
      <c r="BB2997" s="117"/>
      <c r="BC2997" s="117"/>
      <c r="BD2997" s="117"/>
    </row>
    <row r="2998" spans="1:56" ht="15" customHeight="1">
      <c r="A2998" s="114"/>
      <c r="B2998" s="731"/>
      <c r="C2998" s="712">
        <v>32677</v>
      </c>
      <c r="D2998" s="286" t="s">
        <v>12</v>
      </c>
      <c r="E2998" s="1330" t="s">
        <v>1907</v>
      </c>
      <c r="F2998" s="1331"/>
      <c r="G2998" s="196"/>
      <c r="H2998" s="196"/>
      <c r="I2998" s="196"/>
      <c r="J2998" s="114"/>
      <c r="BB2998" s="117"/>
      <c r="BC2998" s="117"/>
      <c r="BD2998" s="117"/>
    </row>
    <row r="2999" spans="1:56" ht="15" customHeight="1">
      <c r="A2999" s="114"/>
      <c r="B2999" s="731"/>
      <c r="C2999" s="712">
        <v>17404</v>
      </c>
      <c r="D2999" s="286" t="s">
        <v>12</v>
      </c>
      <c r="E2999" s="1330" t="s">
        <v>1908</v>
      </c>
      <c r="F2999" s="1331"/>
      <c r="G2999" s="196"/>
      <c r="H2999" s="196"/>
      <c r="I2999" s="196"/>
      <c r="J2999" s="114"/>
      <c r="BB2999" s="117"/>
      <c r="BC2999" s="117"/>
      <c r="BD2999" s="117"/>
    </row>
    <row r="3000" spans="1:56" ht="15" customHeight="1">
      <c r="A3000" s="114"/>
      <c r="B3000" s="731"/>
      <c r="C3000" s="712">
        <v>31843</v>
      </c>
      <c r="D3000" s="286" t="s">
        <v>12</v>
      </c>
      <c r="E3000" s="1330" t="s">
        <v>1909</v>
      </c>
      <c r="F3000" s="1331"/>
      <c r="G3000" s="196"/>
      <c r="H3000" s="196"/>
      <c r="I3000" s="196"/>
      <c r="J3000" s="114"/>
      <c r="BB3000" s="117"/>
      <c r="BC3000" s="117"/>
      <c r="BD3000" s="117"/>
    </row>
    <row r="3001" spans="1:56" ht="15" customHeight="1">
      <c r="A3001" s="114"/>
      <c r="B3001" s="731"/>
      <c r="C3001" s="712">
        <v>33378</v>
      </c>
      <c r="D3001" s="286" t="s">
        <v>12</v>
      </c>
      <c r="E3001" s="1330" t="s">
        <v>1910</v>
      </c>
      <c r="F3001" s="1331"/>
      <c r="G3001" s="196"/>
      <c r="H3001" s="196"/>
      <c r="I3001" s="196"/>
      <c r="J3001" s="114"/>
      <c r="BB3001" s="117"/>
      <c r="BC3001" s="117"/>
      <c r="BD3001" s="117"/>
    </row>
    <row r="3002" spans="1:56" ht="15" customHeight="1">
      <c r="A3002" s="114"/>
      <c r="B3002" s="732"/>
      <c r="C3002" s="712">
        <v>17798</v>
      </c>
      <c r="D3002" s="286" t="s">
        <v>12</v>
      </c>
      <c r="E3002" s="1330" t="s">
        <v>1905</v>
      </c>
      <c r="F3002" s="1331"/>
      <c r="G3002" s="196"/>
      <c r="H3002" s="196"/>
      <c r="I3002" s="196"/>
      <c r="J3002" s="114"/>
      <c r="BB3002" s="117"/>
      <c r="BC3002" s="117"/>
      <c r="BD3002" s="117"/>
    </row>
    <row r="3003" spans="1:56" ht="15">
      <c r="A3003" s="114"/>
      <c r="B3003" s="728"/>
      <c r="C3003" s="729"/>
      <c r="D3003" s="196"/>
      <c r="E3003" s="725"/>
      <c r="F3003" s="767"/>
      <c r="G3003" s="196"/>
      <c r="H3003" s="196"/>
      <c r="I3003" s="196"/>
      <c r="J3003" s="114"/>
      <c r="BB3003" s="117"/>
      <c r="BC3003" s="117"/>
      <c r="BD3003" s="117"/>
    </row>
    <row r="3004" spans="1:56" ht="15">
      <c r="A3004" s="114"/>
      <c r="B3004" s="691" t="s">
        <v>1843</v>
      </c>
      <c r="C3004" s="729"/>
      <c r="D3004" s="196"/>
      <c r="E3004" s="725"/>
      <c r="F3004" s="767"/>
      <c r="G3004" s="196"/>
      <c r="H3004" s="196"/>
      <c r="I3004" s="196"/>
      <c r="J3004" s="114"/>
      <c r="BB3004" s="117"/>
      <c r="BC3004" s="117"/>
      <c r="BD3004" s="117"/>
    </row>
    <row r="3005" spans="1:56" ht="15">
      <c r="A3005" s="114"/>
      <c r="B3005" s="692" t="s">
        <v>352</v>
      </c>
      <c r="C3005" s="712">
        <v>1830</v>
      </c>
      <c r="D3005" s="286" t="s">
        <v>12</v>
      </c>
      <c r="E3005" s="1330" t="s">
        <v>1781</v>
      </c>
      <c r="F3005" s="1331"/>
      <c r="G3005" s="196"/>
      <c r="H3005" s="196"/>
      <c r="I3005" s="196"/>
      <c r="J3005" s="114"/>
      <c r="BB3005" s="117"/>
      <c r="BC3005" s="117"/>
      <c r="BD3005" s="117"/>
    </row>
    <row r="3006" spans="1:56" ht="15">
      <c r="A3006" s="114"/>
      <c r="B3006" s="692"/>
      <c r="C3006" s="712">
        <v>1863</v>
      </c>
      <c r="D3006" s="286" t="s">
        <v>12</v>
      </c>
      <c r="E3006" s="1330" t="s">
        <v>1782</v>
      </c>
      <c r="F3006" s="1331"/>
      <c r="G3006" s="196"/>
      <c r="H3006" s="196"/>
      <c r="I3006" s="196"/>
      <c r="J3006" s="114"/>
      <c r="BB3006" s="117"/>
      <c r="BC3006" s="117"/>
      <c r="BD3006" s="117"/>
    </row>
    <row r="3007" spans="1:56" ht="15">
      <c r="A3007" s="114"/>
      <c r="B3007" s="728"/>
      <c r="C3007" s="729"/>
      <c r="D3007" s="196"/>
      <c r="E3007" s="725"/>
      <c r="F3007" s="767"/>
      <c r="G3007" s="196"/>
      <c r="H3007" s="196"/>
      <c r="I3007" s="196"/>
      <c r="J3007" s="114"/>
      <c r="BB3007" s="117"/>
      <c r="BC3007" s="117"/>
      <c r="BD3007" s="117"/>
    </row>
    <row r="3008" spans="1:56" ht="15">
      <c r="A3008" s="360" t="s">
        <v>1105</v>
      </c>
      <c r="B3008" s="691" t="s">
        <v>1845</v>
      </c>
      <c r="C3008" s="196"/>
      <c r="D3008" s="196"/>
      <c r="E3008" s="196"/>
      <c r="F3008" s="284"/>
      <c r="G3008" s="196"/>
      <c r="H3008" s="196"/>
      <c r="I3008" s="196"/>
      <c r="J3008" s="114"/>
      <c r="BB3008" s="117"/>
      <c r="BC3008" s="117"/>
      <c r="BD3008" s="117"/>
    </row>
    <row r="3009" spans="1:56" ht="15" customHeight="1">
      <c r="A3009" s="114"/>
      <c r="B3009" s="730" t="s">
        <v>352</v>
      </c>
      <c r="C3009" s="712">
        <v>21235</v>
      </c>
      <c r="D3009" s="689" t="s">
        <v>12</v>
      </c>
      <c r="E3009" s="1330" t="s">
        <v>1911</v>
      </c>
      <c r="F3009" s="1331"/>
      <c r="G3009" s="196"/>
      <c r="H3009" s="196"/>
      <c r="I3009" s="196"/>
      <c r="J3009" s="114"/>
      <c r="BB3009" s="117"/>
      <c r="BC3009" s="117"/>
      <c r="BD3009" s="117"/>
    </row>
    <row r="3010" spans="1:56" ht="15" customHeight="1">
      <c r="A3010" s="114"/>
      <c r="B3010" s="732"/>
      <c r="C3010" s="712">
        <v>31705</v>
      </c>
      <c r="D3010" s="286" t="s">
        <v>12</v>
      </c>
      <c r="E3010" s="1330" t="s">
        <v>1912</v>
      </c>
      <c r="F3010" s="1331"/>
      <c r="G3010" s="196"/>
      <c r="H3010" s="196"/>
      <c r="I3010" s="196"/>
      <c r="J3010" s="114"/>
      <c r="BB3010" s="117"/>
      <c r="BC3010" s="117"/>
      <c r="BD3010" s="117"/>
    </row>
    <row r="3011" spans="1:56" ht="19.5" customHeight="1">
      <c r="A3011" s="114"/>
      <c r="B3011" s="728"/>
      <c r="C3011" s="729"/>
      <c r="D3011" s="196"/>
      <c r="E3011" s="725"/>
      <c r="F3011" s="767"/>
      <c r="G3011" s="196"/>
      <c r="H3011" s="196"/>
      <c r="I3011" s="196"/>
      <c r="J3011" s="114"/>
      <c r="BB3011" s="117"/>
      <c r="BC3011" s="117"/>
      <c r="BD3011" s="117"/>
    </row>
    <row r="3012" spans="1:56" ht="19.5" customHeight="1">
      <c r="A3012" s="114"/>
      <c r="B3012" s="691" t="s">
        <v>1846</v>
      </c>
      <c r="C3012" s="729"/>
      <c r="D3012" s="196"/>
      <c r="E3012" s="725"/>
      <c r="F3012" s="767"/>
      <c r="G3012" s="196"/>
      <c r="H3012" s="196"/>
      <c r="I3012" s="196"/>
      <c r="J3012" s="114"/>
      <c r="BB3012" s="117"/>
      <c r="BC3012" s="117"/>
      <c r="BD3012" s="117"/>
    </row>
    <row r="3013" spans="1:56" ht="15">
      <c r="A3013" s="114"/>
      <c r="B3013" s="692" t="s">
        <v>352</v>
      </c>
      <c r="C3013" s="712">
        <v>2860</v>
      </c>
      <c r="D3013" s="286" t="s">
        <v>12</v>
      </c>
      <c r="E3013" s="1330" t="s">
        <v>1783</v>
      </c>
      <c r="F3013" s="1331"/>
      <c r="G3013" s="196"/>
      <c r="H3013" s="196"/>
      <c r="I3013" s="196"/>
      <c r="J3013" s="114"/>
      <c r="BB3013" s="117"/>
      <c r="BC3013" s="117"/>
      <c r="BD3013" s="117"/>
    </row>
    <row r="3014" spans="1:56" ht="15">
      <c r="A3014" s="114"/>
      <c r="B3014" s="728"/>
      <c r="C3014" s="729"/>
      <c r="D3014" s="196"/>
      <c r="E3014" s="725"/>
      <c r="F3014" s="767"/>
      <c r="G3014" s="196"/>
      <c r="H3014" s="196"/>
      <c r="I3014" s="196"/>
      <c r="J3014" s="114"/>
      <c r="BB3014" s="117"/>
      <c r="BC3014" s="117"/>
      <c r="BD3014" s="117"/>
    </row>
    <row r="3015" spans="1:56" ht="15">
      <c r="A3015" s="360" t="s">
        <v>1105</v>
      </c>
      <c r="B3015" s="691" t="s">
        <v>1681</v>
      </c>
      <c r="C3015" s="196"/>
      <c r="D3015" s="196"/>
      <c r="E3015" s="196"/>
      <c r="F3015" s="284"/>
      <c r="G3015" s="196"/>
      <c r="H3015" s="196"/>
      <c r="I3015" s="196"/>
      <c r="J3015" s="114"/>
      <c r="BB3015" s="117"/>
      <c r="BC3015" s="117"/>
      <c r="BD3015" s="117"/>
    </row>
    <row r="3016" spans="1:56" ht="15" customHeight="1">
      <c r="A3016" s="114"/>
      <c r="B3016" s="730" t="s">
        <v>353</v>
      </c>
      <c r="C3016" s="712">
        <v>4</v>
      </c>
      <c r="D3016" s="286" t="s">
        <v>12</v>
      </c>
      <c r="E3016" s="1330" t="s">
        <v>1913</v>
      </c>
      <c r="F3016" s="1331"/>
      <c r="G3016" s="196"/>
      <c r="H3016" s="196"/>
      <c r="I3016" s="196"/>
      <c r="J3016" s="114"/>
      <c r="BB3016" s="117"/>
      <c r="BC3016" s="117"/>
      <c r="BD3016" s="117"/>
    </row>
    <row r="3017" spans="1:56" ht="15" customHeight="1">
      <c r="A3017" s="114"/>
      <c r="B3017" s="731"/>
      <c r="C3017" s="712">
        <v>7</v>
      </c>
      <c r="D3017" s="286" t="s">
        <v>12</v>
      </c>
      <c r="E3017" s="1330" t="s">
        <v>1916</v>
      </c>
      <c r="F3017" s="1331"/>
      <c r="G3017" s="196"/>
      <c r="H3017" s="196"/>
      <c r="I3017" s="196"/>
      <c r="J3017" s="114"/>
      <c r="BB3017" s="117"/>
      <c r="BC3017" s="117"/>
      <c r="BD3017" s="117"/>
    </row>
    <row r="3018" spans="1:56" ht="15" customHeight="1">
      <c r="A3018" s="114"/>
      <c r="B3018" s="731"/>
      <c r="C3018" s="712">
        <v>6</v>
      </c>
      <c r="D3018" s="286" t="s">
        <v>12</v>
      </c>
      <c r="E3018" s="1330" t="s">
        <v>1919</v>
      </c>
      <c r="F3018" s="1331"/>
      <c r="G3018" s="196"/>
      <c r="H3018" s="196"/>
      <c r="I3018" s="196"/>
      <c r="J3018" s="114"/>
      <c r="BB3018" s="117"/>
      <c r="BC3018" s="117"/>
      <c r="BD3018" s="117"/>
    </row>
    <row r="3019" spans="1:56" ht="15" customHeight="1">
      <c r="A3019" s="114"/>
      <c r="B3019" s="732"/>
      <c r="C3019" s="712">
        <v>6</v>
      </c>
      <c r="D3019" s="286" t="s">
        <v>12</v>
      </c>
      <c r="E3019" s="1330" t="s">
        <v>1921</v>
      </c>
      <c r="F3019" s="1331"/>
      <c r="G3019" s="196"/>
      <c r="H3019" s="196"/>
      <c r="I3019" s="196"/>
      <c r="J3019" s="114"/>
      <c r="BB3019" s="117"/>
      <c r="BC3019" s="117"/>
      <c r="BD3019" s="117"/>
    </row>
    <row r="3020" spans="1:56" ht="15">
      <c r="A3020" s="114"/>
      <c r="B3020" s="730" t="s">
        <v>352</v>
      </c>
      <c r="C3020" s="712">
        <v>9693</v>
      </c>
      <c r="D3020" s="286" t="s">
        <v>12</v>
      </c>
      <c r="E3020" s="1330" t="s">
        <v>1913</v>
      </c>
      <c r="F3020" s="1331"/>
      <c r="G3020" s="196"/>
      <c r="H3020" s="196"/>
      <c r="I3020" s="196"/>
      <c r="J3020" s="114"/>
      <c r="BB3020" s="117"/>
      <c r="BC3020" s="117"/>
      <c r="BD3020" s="117"/>
    </row>
    <row r="3021" spans="1:56" ht="15" customHeight="1">
      <c r="A3021" s="114"/>
      <c r="B3021" s="731"/>
      <c r="C3021" s="712">
        <v>10326</v>
      </c>
      <c r="D3021" s="286" t="s">
        <v>12</v>
      </c>
      <c r="E3021" s="1330" t="s">
        <v>1914</v>
      </c>
      <c r="F3021" s="1331"/>
      <c r="G3021" s="196"/>
      <c r="H3021" s="196"/>
      <c r="I3021" s="196"/>
      <c r="J3021" s="114"/>
      <c r="BB3021" s="117"/>
      <c r="BC3021" s="117"/>
      <c r="BD3021" s="117"/>
    </row>
    <row r="3022" spans="1:56" ht="15" customHeight="1">
      <c r="A3022" s="114"/>
      <c r="B3022" s="731"/>
      <c r="C3022" s="712">
        <v>12775</v>
      </c>
      <c r="D3022" s="286" t="s">
        <v>12</v>
      </c>
      <c r="E3022" s="1330" t="s">
        <v>1915</v>
      </c>
      <c r="F3022" s="1331"/>
      <c r="G3022" s="196"/>
      <c r="H3022" s="196"/>
      <c r="I3022" s="196"/>
      <c r="J3022" s="114"/>
      <c r="BB3022" s="117"/>
      <c r="BC3022" s="117"/>
      <c r="BD3022" s="117"/>
    </row>
    <row r="3023" spans="1:56" ht="15" customHeight="1">
      <c r="A3023" s="114"/>
      <c r="B3023" s="731"/>
      <c r="C3023" s="712">
        <v>5402</v>
      </c>
      <c r="D3023" s="286" t="s">
        <v>12</v>
      </c>
      <c r="E3023" s="1330" t="s">
        <v>1916</v>
      </c>
      <c r="F3023" s="1331"/>
      <c r="G3023" s="196"/>
      <c r="H3023" s="196"/>
      <c r="I3023" s="196"/>
      <c r="J3023" s="114"/>
      <c r="BB3023" s="117"/>
      <c r="BC3023" s="117"/>
      <c r="BD3023" s="117"/>
    </row>
    <row r="3024" spans="1:56" ht="15" customHeight="1">
      <c r="A3024" s="114"/>
      <c r="B3024" s="731"/>
      <c r="C3024" s="712">
        <v>8301</v>
      </c>
      <c r="D3024" s="286" t="s">
        <v>12</v>
      </c>
      <c r="E3024" s="1330" t="s">
        <v>1917</v>
      </c>
      <c r="F3024" s="1331"/>
      <c r="G3024" s="196"/>
      <c r="H3024" s="196"/>
      <c r="I3024" s="196"/>
      <c r="J3024" s="114"/>
      <c r="BB3024" s="117"/>
      <c r="BC3024" s="117"/>
      <c r="BD3024" s="117"/>
    </row>
    <row r="3025" spans="1:56" ht="15" customHeight="1">
      <c r="A3025" s="114"/>
      <c r="B3025" s="731"/>
      <c r="C3025" s="712">
        <v>15854</v>
      </c>
      <c r="D3025" s="286" t="s">
        <v>12</v>
      </c>
      <c r="E3025" s="1330" t="s">
        <v>1918</v>
      </c>
      <c r="F3025" s="1331"/>
      <c r="G3025" s="196"/>
      <c r="H3025" s="196"/>
      <c r="I3025" s="196"/>
      <c r="J3025" s="114"/>
      <c r="BB3025" s="117"/>
      <c r="BC3025" s="117"/>
      <c r="BD3025" s="117"/>
    </row>
    <row r="3026" spans="1:56" ht="15" customHeight="1">
      <c r="A3026" s="114"/>
      <c r="B3026" s="731"/>
      <c r="C3026" s="712">
        <v>5620</v>
      </c>
      <c r="D3026" s="286" t="s">
        <v>12</v>
      </c>
      <c r="E3026" s="1330" t="s">
        <v>1919</v>
      </c>
      <c r="F3026" s="1331"/>
      <c r="G3026" s="196"/>
      <c r="H3026" s="196"/>
      <c r="I3026" s="196"/>
      <c r="J3026" s="114"/>
      <c r="BB3026" s="117"/>
      <c r="BC3026" s="117"/>
      <c r="BD3026" s="117"/>
    </row>
    <row r="3027" spans="1:56" ht="15" customHeight="1">
      <c r="A3027" s="114"/>
      <c r="B3027" s="731"/>
      <c r="C3027" s="712">
        <v>7753</v>
      </c>
      <c r="D3027" s="286" t="s">
        <v>12</v>
      </c>
      <c r="E3027" s="1330" t="s">
        <v>1920</v>
      </c>
      <c r="F3027" s="1331"/>
      <c r="G3027" s="196"/>
      <c r="H3027" s="196"/>
      <c r="I3027" s="196"/>
      <c r="J3027" s="114"/>
      <c r="BB3027" s="117"/>
      <c r="BC3027" s="117"/>
      <c r="BD3027" s="117"/>
    </row>
    <row r="3028" spans="1:56" ht="15" customHeight="1">
      <c r="A3028" s="114"/>
      <c r="B3028" s="732"/>
      <c r="C3028" s="712">
        <v>4365</v>
      </c>
      <c r="D3028" s="286" t="s">
        <v>12</v>
      </c>
      <c r="E3028" s="1330" t="s">
        <v>1921</v>
      </c>
      <c r="F3028" s="1331"/>
      <c r="G3028" s="196"/>
      <c r="H3028" s="196"/>
      <c r="I3028" s="196"/>
      <c r="J3028" s="114"/>
      <c r="BB3028" s="117"/>
      <c r="BC3028" s="117"/>
      <c r="BD3028" s="117"/>
    </row>
    <row r="3029" spans="1:56" ht="15">
      <c r="A3029" s="114"/>
      <c r="B3029" s="694"/>
      <c r="C3029" s="211"/>
      <c r="D3029" s="196"/>
      <c r="E3029" s="288"/>
      <c r="F3029" s="284"/>
      <c r="G3029" s="196"/>
      <c r="H3029" s="196"/>
      <c r="I3029" s="196"/>
      <c r="J3029" s="114"/>
      <c r="BB3029" s="117"/>
      <c r="BC3029" s="117"/>
      <c r="BD3029" s="117"/>
    </row>
    <row r="3030" spans="1:56" ht="15">
      <c r="A3030" s="360" t="s">
        <v>1105</v>
      </c>
      <c r="B3030" s="691" t="s">
        <v>1686</v>
      </c>
      <c r="C3030" s="196"/>
      <c r="D3030" s="196"/>
      <c r="E3030" s="196"/>
      <c r="F3030" s="284"/>
      <c r="G3030" s="196"/>
      <c r="H3030" s="196"/>
      <c r="I3030" s="196"/>
      <c r="J3030" s="114"/>
      <c r="BB3030" s="117"/>
      <c r="BC3030" s="117"/>
      <c r="BD3030" s="117"/>
    </row>
    <row r="3031" spans="1:56" ht="15">
      <c r="A3031" s="114"/>
      <c r="B3031" s="692" t="s">
        <v>352</v>
      </c>
      <c r="C3031" s="712">
        <v>15129</v>
      </c>
      <c r="D3031" s="286" t="s">
        <v>12</v>
      </c>
      <c r="E3031" s="1197" t="s">
        <v>1687</v>
      </c>
      <c r="F3031" s="1198"/>
      <c r="G3031" s="196"/>
      <c r="H3031" s="196"/>
      <c r="I3031" s="196"/>
      <c r="J3031" s="114"/>
      <c r="BB3031" s="117"/>
      <c r="BC3031" s="117"/>
      <c r="BD3031" s="117"/>
    </row>
    <row r="3032" spans="1:56" ht="15">
      <c r="A3032" s="114"/>
      <c r="B3032" s="694"/>
      <c r="C3032" s="211"/>
      <c r="D3032" s="196"/>
      <c r="E3032" s="288"/>
      <c r="F3032" s="284"/>
      <c r="G3032" s="196"/>
      <c r="H3032" s="196"/>
      <c r="I3032" s="196"/>
      <c r="J3032" s="114"/>
      <c r="BB3032" s="117"/>
      <c r="BC3032" s="117"/>
      <c r="BD3032" s="117"/>
    </row>
    <row r="3033" spans="1:56" ht="15">
      <c r="A3033" s="360" t="s">
        <v>1105</v>
      </c>
      <c r="B3033" s="691" t="s">
        <v>1688</v>
      </c>
      <c r="C3033" s="196"/>
      <c r="D3033" s="196"/>
      <c r="E3033" s="196"/>
      <c r="F3033" s="284"/>
      <c r="G3033" s="196"/>
      <c r="H3033" s="196"/>
      <c r="I3033" s="196"/>
      <c r="J3033" s="114"/>
      <c r="BB3033" s="117"/>
      <c r="BC3033" s="117"/>
      <c r="BD3033" s="117"/>
    </row>
    <row r="3034" spans="1:56" ht="15" customHeight="1">
      <c r="A3034" s="114"/>
      <c r="B3034" s="730" t="s">
        <v>353</v>
      </c>
      <c r="C3034" s="712">
        <v>27</v>
      </c>
      <c r="D3034" s="286" t="s">
        <v>12</v>
      </c>
      <c r="E3034" s="1335" t="s">
        <v>1922</v>
      </c>
      <c r="F3034" s="1336"/>
      <c r="G3034" s="196"/>
      <c r="H3034" s="196"/>
      <c r="I3034" s="196"/>
      <c r="J3034" s="114"/>
      <c r="BB3034" s="117"/>
      <c r="BC3034" s="117"/>
      <c r="BD3034" s="117"/>
    </row>
    <row r="3035" spans="1:56" ht="15" customHeight="1">
      <c r="A3035" s="970"/>
      <c r="B3035" s="140"/>
      <c r="C3035" s="712">
        <v>4151</v>
      </c>
      <c r="D3035" s="286" t="s">
        <v>12</v>
      </c>
      <c r="E3035" s="1337"/>
      <c r="F3035" s="1338"/>
      <c r="G3035" s="196"/>
      <c r="H3035" s="196"/>
      <c r="I3035" s="196"/>
      <c r="J3035" s="114"/>
      <c r="BB3035" s="117"/>
      <c r="BC3035" s="117"/>
      <c r="BD3035" s="117"/>
    </row>
    <row r="3036" spans="1:56" ht="15" customHeight="1">
      <c r="A3036" s="114"/>
      <c r="B3036" s="731"/>
      <c r="C3036" s="712">
        <v>4</v>
      </c>
      <c r="D3036" s="286" t="s">
        <v>12</v>
      </c>
      <c r="E3036" s="1335" t="s">
        <v>1923</v>
      </c>
      <c r="F3036" s="1336"/>
      <c r="G3036" s="196"/>
      <c r="H3036" s="196"/>
      <c r="I3036" s="196"/>
      <c r="J3036" s="114"/>
      <c r="BB3036" s="117"/>
      <c r="BC3036" s="117"/>
      <c r="BD3036" s="117"/>
    </row>
    <row r="3037" spans="1:56" ht="15" customHeight="1">
      <c r="A3037" s="114"/>
      <c r="B3037" s="731"/>
      <c r="C3037" s="712">
        <v>4383</v>
      </c>
      <c r="D3037" s="286" t="s">
        <v>12</v>
      </c>
      <c r="E3037" s="1337"/>
      <c r="F3037" s="1338"/>
      <c r="G3037" s="196"/>
      <c r="H3037" s="196"/>
      <c r="I3037" s="196"/>
      <c r="J3037" s="114"/>
      <c r="BB3037" s="117"/>
      <c r="BC3037" s="117"/>
      <c r="BD3037" s="117"/>
    </row>
    <row r="3038" spans="1:56" ht="15" customHeight="1">
      <c r="A3038" s="114"/>
      <c r="B3038" s="731"/>
      <c r="C3038" s="712">
        <v>28</v>
      </c>
      <c r="D3038" s="286" t="s">
        <v>12</v>
      </c>
      <c r="E3038" s="1335" t="s">
        <v>1924</v>
      </c>
      <c r="F3038" s="1336"/>
      <c r="G3038" s="196"/>
      <c r="H3038" s="196"/>
      <c r="I3038" s="196"/>
      <c r="J3038" s="114"/>
      <c r="BB3038" s="117"/>
      <c r="BC3038" s="117"/>
      <c r="BD3038" s="117"/>
    </row>
    <row r="3039" spans="1:56" ht="15" customHeight="1">
      <c r="A3039" s="114"/>
      <c r="B3039" s="731"/>
      <c r="C3039" s="712">
        <v>3993</v>
      </c>
      <c r="D3039" s="286" t="s">
        <v>12</v>
      </c>
      <c r="E3039" s="1337"/>
      <c r="F3039" s="1338"/>
      <c r="G3039" s="196"/>
      <c r="H3039" s="196"/>
      <c r="I3039" s="196"/>
      <c r="J3039" s="114"/>
      <c r="BB3039" s="117"/>
      <c r="BC3039" s="117"/>
      <c r="BD3039" s="117"/>
    </row>
    <row r="3040" spans="1:56" ht="15" customHeight="1">
      <c r="A3040" s="114"/>
      <c r="B3040" s="731"/>
      <c r="C3040" s="712">
        <v>9</v>
      </c>
      <c r="D3040" s="286" t="s">
        <v>12</v>
      </c>
      <c r="E3040" s="1335" t="s">
        <v>1925</v>
      </c>
      <c r="F3040" s="1336"/>
      <c r="G3040" s="196"/>
      <c r="H3040" s="196"/>
      <c r="I3040" s="196"/>
      <c r="J3040" s="114"/>
      <c r="BB3040" s="117"/>
      <c r="BC3040" s="117"/>
      <c r="BD3040" s="117"/>
    </row>
    <row r="3041" spans="1:56" ht="15" customHeight="1">
      <c r="A3041" s="114"/>
      <c r="B3041" s="731"/>
      <c r="C3041" s="712">
        <v>1633</v>
      </c>
      <c r="D3041" s="286" t="s">
        <v>12</v>
      </c>
      <c r="E3041" s="1337"/>
      <c r="F3041" s="1338"/>
      <c r="G3041" s="196"/>
      <c r="H3041" s="196"/>
      <c r="I3041" s="196"/>
      <c r="J3041" s="114"/>
      <c r="BB3041" s="117"/>
      <c r="BC3041" s="117"/>
      <c r="BD3041" s="117"/>
    </row>
    <row r="3042" spans="1:56" ht="15">
      <c r="A3042" s="114"/>
      <c r="B3042" s="730" t="s">
        <v>352</v>
      </c>
      <c r="C3042" s="712">
        <v>38207</v>
      </c>
      <c r="D3042" s="286" t="s">
        <v>12</v>
      </c>
      <c r="E3042" s="1197" t="s">
        <v>1922</v>
      </c>
      <c r="F3042" s="1198"/>
      <c r="G3042" s="196"/>
      <c r="H3042" s="196"/>
      <c r="I3042" s="196"/>
      <c r="J3042" s="114"/>
      <c r="BB3042" s="117"/>
      <c r="BC3042" s="117"/>
      <c r="BD3042" s="117"/>
    </row>
    <row r="3043" spans="1:56" ht="15" customHeight="1">
      <c r="A3043" s="114"/>
      <c r="B3043" s="731"/>
      <c r="C3043" s="712">
        <v>35353</v>
      </c>
      <c r="D3043" s="286" t="s">
        <v>12</v>
      </c>
      <c r="E3043" s="1197" t="s">
        <v>1923</v>
      </c>
      <c r="F3043" s="1198"/>
      <c r="G3043" s="196"/>
      <c r="H3043" s="196"/>
      <c r="I3043" s="196"/>
      <c r="J3043" s="114"/>
      <c r="BB3043" s="117"/>
      <c r="BC3043" s="117"/>
      <c r="BD3043" s="117"/>
    </row>
    <row r="3044" spans="1:56" ht="15" customHeight="1">
      <c r="A3044" s="114"/>
      <c r="B3044" s="731"/>
      <c r="C3044" s="712">
        <v>35209</v>
      </c>
      <c r="D3044" s="286" t="s">
        <v>12</v>
      </c>
      <c r="E3044" s="1197" t="s">
        <v>1924</v>
      </c>
      <c r="F3044" s="1198"/>
      <c r="G3044" s="196"/>
      <c r="H3044" s="196"/>
      <c r="I3044" s="196"/>
      <c r="J3044" s="114"/>
      <c r="BB3044" s="117"/>
      <c r="BC3044" s="117"/>
      <c r="BD3044" s="117"/>
    </row>
    <row r="3045" spans="1:56" ht="15" customHeight="1">
      <c r="A3045" s="114"/>
      <c r="B3045" s="731"/>
      <c r="C3045" s="712">
        <v>380</v>
      </c>
      <c r="D3045" s="286" t="s">
        <v>12</v>
      </c>
      <c r="E3045" s="1197" t="s">
        <v>1924</v>
      </c>
      <c r="F3045" s="1198"/>
      <c r="G3045" s="196"/>
      <c r="H3045" s="196"/>
      <c r="I3045" s="196"/>
      <c r="J3045" s="114"/>
      <c r="BB3045" s="117"/>
      <c r="BC3045" s="117"/>
      <c r="BD3045" s="117"/>
    </row>
    <row r="3046" spans="1:56" ht="15" customHeight="1">
      <c r="A3046" s="114"/>
      <c r="B3046" s="731"/>
      <c r="C3046" s="712">
        <v>13305</v>
      </c>
      <c r="D3046" s="286" t="s">
        <v>12</v>
      </c>
      <c r="E3046" s="1197" t="s">
        <v>1925</v>
      </c>
      <c r="F3046" s="1198"/>
      <c r="G3046" s="196"/>
      <c r="H3046" s="196"/>
      <c r="I3046" s="196"/>
      <c r="J3046" s="114"/>
      <c r="BB3046" s="117"/>
      <c r="BC3046" s="117"/>
      <c r="BD3046" s="117"/>
    </row>
    <row r="3047" spans="1:56" ht="15" customHeight="1">
      <c r="A3047" s="114"/>
      <c r="B3047" s="731"/>
      <c r="C3047" s="712">
        <v>15692</v>
      </c>
      <c r="D3047" s="286" t="s">
        <v>12</v>
      </c>
      <c r="E3047" s="1197" t="s">
        <v>1926</v>
      </c>
      <c r="F3047" s="1198"/>
      <c r="G3047" s="196"/>
      <c r="H3047" s="196"/>
      <c r="I3047" s="196"/>
      <c r="J3047" s="114"/>
      <c r="BB3047" s="117"/>
      <c r="BC3047" s="117"/>
      <c r="BD3047" s="117"/>
    </row>
    <row r="3048" spans="1:56" ht="15" customHeight="1">
      <c r="A3048" s="114"/>
      <c r="B3048" s="732"/>
      <c r="C3048" s="712">
        <v>13330</v>
      </c>
      <c r="D3048" s="286" t="s">
        <v>12</v>
      </c>
      <c r="E3048" s="1197" t="s">
        <v>1927</v>
      </c>
      <c r="F3048" s="1198"/>
      <c r="G3048" s="196"/>
      <c r="H3048" s="196"/>
      <c r="I3048" s="196"/>
      <c r="J3048" s="114"/>
      <c r="BB3048" s="117"/>
      <c r="BC3048" s="117"/>
      <c r="BD3048" s="117"/>
    </row>
    <row r="3049" spans="1:56" ht="15">
      <c r="A3049" s="114"/>
      <c r="B3049" s="728"/>
      <c r="C3049" s="729"/>
      <c r="D3049" s="196"/>
      <c r="E3049" s="725"/>
      <c r="F3049" s="767"/>
      <c r="G3049" s="196"/>
      <c r="H3049" s="196"/>
      <c r="I3049" s="196"/>
      <c r="J3049" s="114"/>
      <c r="BB3049" s="117"/>
      <c r="BC3049" s="117"/>
      <c r="BD3049" s="117"/>
    </row>
    <row r="3050" spans="1:56" ht="15">
      <c r="A3050" s="360" t="s">
        <v>1105</v>
      </c>
      <c r="B3050" s="691" t="s">
        <v>1689</v>
      </c>
      <c r="C3050" s="196"/>
      <c r="D3050" s="196"/>
      <c r="E3050" s="196"/>
      <c r="F3050" s="284"/>
      <c r="G3050" s="196"/>
      <c r="H3050" s="196"/>
      <c r="I3050" s="196"/>
      <c r="J3050" s="114"/>
      <c r="BB3050" s="117"/>
      <c r="BC3050" s="117"/>
      <c r="BD3050" s="117"/>
    </row>
    <row r="3051" spans="1:56" ht="15" customHeight="1">
      <c r="A3051" s="114"/>
      <c r="B3051" s="730" t="s">
        <v>353</v>
      </c>
      <c r="C3051" s="712">
        <v>14</v>
      </c>
      <c r="D3051" s="286" t="s">
        <v>12</v>
      </c>
      <c r="E3051" s="1197" t="s">
        <v>1928</v>
      </c>
      <c r="F3051" s="1198"/>
      <c r="G3051" s="196"/>
      <c r="H3051" s="196"/>
      <c r="I3051" s="196"/>
      <c r="J3051" s="114"/>
      <c r="BB3051" s="117"/>
      <c r="BC3051" s="117"/>
      <c r="BD3051" s="117"/>
    </row>
    <row r="3052" spans="1:56" ht="15" customHeight="1">
      <c r="A3052" s="114"/>
      <c r="B3052" s="731"/>
      <c r="C3052" s="712">
        <v>20</v>
      </c>
      <c r="D3052" s="286" t="s">
        <v>12</v>
      </c>
      <c r="E3052" s="1197" t="s">
        <v>1929</v>
      </c>
      <c r="F3052" s="1198"/>
      <c r="G3052" s="196"/>
      <c r="H3052" s="196"/>
      <c r="I3052" s="196"/>
      <c r="J3052" s="114"/>
      <c r="BB3052" s="117"/>
      <c r="BC3052" s="117"/>
      <c r="BD3052" s="117"/>
    </row>
    <row r="3053" spans="1:56" ht="15">
      <c r="A3053" s="114"/>
      <c r="B3053" s="730" t="s">
        <v>352</v>
      </c>
      <c r="C3053" s="712">
        <v>5765</v>
      </c>
      <c r="D3053" s="286" t="s">
        <v>12</v>
      </c>
      <c r="E3053" s="1197" t="s">
        <v>1928</v>
      </c>
      <c r="F3053" s="1198"/>
      <c r="G3053" s="196"/>
      <c r="H3053" s="196"/>
      <c r="I3053" s="196"/>
      <c r="J3053" s="114"/>
      <c r="BB3053" s="117"/>
      <c r="BC3053" s="117"/>
      <c r="BD3053" s="117"/>
    </row>
    <row r="3054" spans="1:56" ht="15" customHeight="1">
      <c r="A3054" s="114"/>
      <c r="B3054" s="731"/>
      <c r="C3054" s="712">
        <v>4932</v>
      </c>
      <c r="D3054" s="286" t="s">
        <v>12</v>
      </c>
      <c r="E3054" s="1197" t="s">
        <v>1929</v>
      </c>
      <c r="F3054" s="1198"/>
      <c r="G3054" s="196"/>
      <c r="H3054" s="196"/>
      <c r="I3054" s="196"/>
      <c r="J3054" s="114"/>
      <c r="BB3054" s="117"/>
      <c r="BC3054" s="117"/>
      <c r="BD3054" s="117"/>
    </row>
    <row r="3055" spans="1:56" ht="15" customHeight="1">
      <c r="A3055" s="114"/>
      <c r="B3055" s="731"/>
      <c r="C3055" s="712">
        <v>2496</v>
      </c>
      <c r="D3055" s="286" t="s">
        <v>12</v>
      </c>
      <c r="E3055" s="1197" t="s">
        <v>1930</v>
      </c>
      <c r="F3055" s="1198"/>
      <c r="G3055" s="196"/>
      <c r="H3055" s="196"/>
      <c r="I3055" s="196"/>
      <c r="J3055" s="114"/>
      <c r="BB3055" s="117"/>
      <c r="BC3055" s="117"/>
      <c r="BD3055" s="117"/>
    </row>
    <row r="3056" spans="1:56" ht="15" customHeight="1">
      <c r="A3056" s="114"/>
      <c r="B3056" s="732"/>
      <c r="C3056" s="712">
        <v>1390</v>
      </c>
      <c r="D3056" s="286" t="s">
        <v>12</v>
      </c>
      <c r="E3056" s="1197" t="s">
        <v>1931</v>
      </c>
      <c r="F3056" s="1198"/>
      <c r="G3056" s="196"/>
      <c r="H3056" s="196"/>
      <c r="I3056" s="196"/>
      <c r="J3056" s="114"/>
      <c r="BB3056" s="117"/>
      <c r="BC3056" s="117"/>
      <c r="BD3056" s="117"/>
    </row>
    <row r="3057" spans="1:56" ht="15">
      <c r="A3057" s="114"/>
      <c r="B3057" s="694"/>
      <c r="C3057" s="211"/>
      <c r="D3057" s="196"/>
      <c r="E3057" s="288"/>
      <c r="F3057" s="284"/>
      <c r="G3057" s="196"/>
      <c r="H3057" s="196"/>
      <c r="I3057" s="196"/>
      <c r="J3057" s="114"/>
      <c r="BB3057" s="117"/>
      <c r="BC3057" s="117"/>
      <c r="BD3057" s="117"/>
    </row>
    <row r="3058" spans="1:56" ht="15">
      <c r="A3058" s="360" t="s">
        <v>1105</v>
      </c>
      <c r="B3058" s="691" t="s">
        <v>1690</v>
      </c>
      <c r="C3058" s="196"/>
      <c r="D3058" s="196"/>
      <c r="E3058" s="196"/>
      <c r="F3058" s="284"/>
      <c r="G3058" s="196"/>
      <c r="H3058" s="196"/>
      <c r="I3058" s="196"/>
      <c r="J3058" s="114"/>
      <c r="BB3058" s="117"/>
      <c r="BC3058" s="117"/>
      <c r="BD3058" s="117"/>
    </row>
    <row r="3059" spans="1:56" ht="15" customHeight="1">
      <c r="A3059" s="114"/>
      <c r="B3059" s="730" t="s">
        <v>353</v>
      </c>
      <c r="C3059" s="712">
        <v>276</v>
      </c>
      <c r="D3059" s="286" t="s">
        <v>12</v>
      </c>
      <c r="E3059" s="1197" t="s">
        <v>1933</v>
      </c>
      <c r="F3059" s="1198"/>
      <c r="G3059" s="196"/>
      <c r="H3059" s="196"/>
      <c r="I3059" s="196"/>
      <c r="J3059" s="114"/>
      <c r="BB3059" s="117"/>
      <c r="BC3059" s="117"/>
      <c r="BD3059" s="117"/>
    </row>
    <row r="3060" spans="1:56" ht="15">
      <c r="A3060" s="114"/>
      <c r="B3060" s="730" t="s">
        <v>352</v>
      </c>
      <c r="C3060" s="712">
        <v>4240</v>
      </c>
      <c r="D3060" s="286" t="s">
        <v>12</v>
      </c>
      <c r="E3060" s="1197" t="s">
        <v>1932</v>
      </c>
      <c r="F3060" s="1198"/>
      <c r="G3060" s="196"/>
      <c r="H3060" s="196"/>
      <c r="I3060" s="196"/>
      <c r="J3060" s="114"/>
      <c r="BB3060" s="117"/>
      <c r="BC3060" s="117"/>
      <c r="BD3060" s="117"/>
    </row>
    <row r="3061" spans="1:56" ht="15" customHeight="1">
      <c r="A3061" s="114"/>
      <c r="B3061" s="731"/>
      <c r="C3061" s="712">
        <v>5220</v>
      </c>
      <c r="D3061" s="286" t="s">
        <v>12</v>
      </c>
      <c r="E3061" s="1197" t="s">
        <v>1933</v>
      </c>
      <c r="F3061" s="1198"/>
      <c r="G3061" s="196"/>
      <c r="H3061" s="196"/>
      <c r="I3061" s="196"/>
      <c r="J3061" s="114"/>
      <c r="BB3061" s="117"/>
      <c r="BC3061" s="117"/>
      <c r="BD3061" s="117"/>
    </row>
    <row r="3062" spans="1:56" ht="15" customHeight="1">
      <c r="A3062" s="114"/>
      <c r="B3062" s="732"/>
      <c r="C3062" s="712">
        <v>21411</v>
      </c>
      <c r="D3062" s="286" t="s">
        <v>12</v>
      </c>
      <c r="E3062" s="1197" t="s">
        <v>1934</v>
      </c>
      <c r="F3062" s="1198"/>
      <c r="G3062" s="196"/>
      <c r="H3062" s="196"/>
      <c r="I3062" s="196"/>
      <c r="J3062" s="114"/>
      <c r="BB3062" s="117"/>
      <c r="BC3062" s="117"/>
      <c r="BD3062" s="117"/>
    </row>
    <row r="3063" spans="1:56" ht="15">
      <c r="A3063" s="114"/>
      <c r="B3063" s="728"/>
      <c r="C3063" s="729"/>
      <c r="D3063" s="196"/>
      <c r="E3063" s="725"/>
      <c r="F3063" s="767"/>
      <c r="G3063" s="196"/>
      <c r="H3063" s="196"/>
      <c r="I3063" s="196"/>
      <c r="J3063" s="114"/>
      <c r="BB3063" s="117"/>
      <c r="BC3063" s="117"/>
      <c r="BD3063" s="117"/>
    </row>
    <row r="3064" spans="1:56" ht="15">
      <c r="A3064" s="360" t="s">
        <v>1105</v>
      </c>
      <c r="B3064" s="691" t="s">
        <v>1710</v>
      </c>
      <c r="C3064" s="196"/>
      <c r="D3064" s="196"/>
      <c r="E3064" s="196"/>
      <c r="F3064" s="284"/>
      <c r="G3064" s="196"/>
      <c r="H3064" s="196"/>
      <c r="I3064" s="196"/>
      <c r="J3064" s="114"/>
      <c r="BB3064" s="117"/>
      <c r="BC3064" s="117"/>
      <c r="BD3064" s="117"/>
    </row>
    <row r="3065" spans="1:56" ht="15" customHeight="1">
      <c r="A3065" s="114"/>
      <c r="B3065" s="730" t="s">
        <v>353</v>
      </c>
      <c r="C3065" s="280">
        <v>3432</v>
      </c>
      <c r="D3065" s="286" t="s">
        <v>12</v>
      </c>
      <c r="E3065" s="1197" t="s">
        <v>1935</v>
      </c>
      <c r="F3065" s="1198"/>
      <c r="G3065" s="196"/>
      <c r="H3065" s="196"/>
      <c r="I3065" s="196"/>
      <c r="J3065" s="114"/>
      <c r="BB3065" s="117"/>
      <c r="BC3065" s="117"/>
      <c r="BD3065" s="117"/>
    </row>
    <row r="3066" spans="1:56" ht="15" customHeight="1">
      <c r="A3066" s="114"/>
      <c r="B3066" s="731"/>
      <c r="C3066" s="280">
        <v>3985</v>
      </c>
      <c r="D3066" s="286" t="s">
        <v>12</v>
      </c>
      <c r="E3066" s="1197" t="s">
        <v>1936</v>
      </c>
      <c r="F3066" s="1198"/>
      <c r="G3066" s="196"/>
      <c r="H3066" s="196"/>
      <c r="I3066" s="196"/>
      <c r="J3066" s="114"/>
      <c r="BB3066" s="117"/>
      <c r="BC3066" s="117"/>
      <c r="BD3066" s="117"/>
    </row>
    <row r="3067" spans="1:56" ht="15" customHeight="1">
      <c r="A3067" s="114"/>
      <c r="B3067" s="731"/>
      <c r="C3067" s="280">
        <v>3995</v>
      </c>
      <c r="D3067" s="286" t="s">
        <v>12</v>
      </c>
      <c r="E3067" s="1335" t="s">
        <v>1937</v>
      </c>
      <c r="F3067" s="1336"/>
      <c r="G3067" s="196"/>
      <c r="H3067" s="196"/>
      <c r="I3067" s="196"/>
      <c r="J3067" s="114"/>
      <c r="BB3067" s="117"/>
      <c r="BC3067" s="117"/>
      <c r="BD3067" s="117"/>
    </row>
    <row r="3068" spans="1:56" ht="15" customHeight="1">
      <c r="A3068" s="114"/>
      <c r="B3068" s="732"/>
      <c r="C3068" s="280">
        <v>16</v>
      </c>
      <c r="D3068" s="286" t="s">
        <v>12</v>
      </c>
      <c r="E3068" s="1335" t="s">
        <v>1937</v>
      </c>
      <c r="F3068" s="1336"/>
      <c r="G3068" s="196"/>
      <c r="H3068" s="196"/>
      <c r="I3068" s="196"/>
      <c r="J3068" s="114"/>
      <c r="BB3068" s="117"/>
      <c r="BC3068" s="117"/>
      <c r="BD3068" s="117"/>
    </row>
    <row r="3069" spans="1:56" ht="15">
      <c r="A3069" s="114"/>
      <c r="B3069" s="730" t="s">
        <v>352</v>
      </c>
      <c r="C3069" s="712">
        <v>24151</v>
      </c>
      <c r="D3069" s="286" t="s">
        <v>12</v>
      </c>
      <c r="E3069" s="1197" t="s">
        <v>1935</v>
      </c>
      <c r="F3069" s="1198"/>
      <c r="G3069" s="196"/>
      <c r="H3069" s="196"/>
      <c r="I3069" s="196"/>
      <c r="J3069" s="114"/>
      <c r="BB3069" s="117"/>
      <c r="BC3069" s="117"/>
      <c r="BD3069" s="117"/>
    </row>
    <row r="3070" spans="1:56" ht="15" customHeight="1">
      <c r="A3070" s="114"/>
      <c r="B3070" s="731"/>
      <c r="C3070" s="712">
        <v>29883</v>
      </c>
      <c r="D3070" s="286" t="s">
        <v>12</v>
      </c>
      <c r="E3070" s="1197" t="s">
        <v>1936</v>
      </c>
      <c r="F3070" s="1198"/>
      <c r="G3070" s="196"/>
      <c r="H3070" s="196"/>
      <c r="I3070" s="196"/>
      <c r="J3070" s="114"/>
      <c r="BB3070" s="117"/>
      <c r="BC3070" s="117"/>
      <c r="BD3070" s="117"/>
    </row>
    <row r="3071" spans="1:56" ht="15" customHeight="1">
      <c r="A3071" s="114"/>
      <c r="B3071" s="732"/>
      <c r="C3071" s="712">
        <v>29576</v>
      </c>
      <c r="D3071" s="286" t="s">
        <v>12</v>
      </c>
      <c r="E3071" s="1197" t="s">
        <v>1937</v>
      </c>
      <c r="F3071" s="1198"/>
      <c r="G3071" s="196"/>
      <c r="H3071" s="196"/>
      <c r="I3071" s="196"/>
      <c r="J3071" s="114"/>
      <c r="BB3071" s="117"/>
      <c r="BC3071" s="117"/>
      <c r="BD3071" s="117"/>
    </row>
    <row r="3072" spans="1:56" ht="15">
      <c r="A3072" s="114"/>
      <c r="B3072" s="728"/>
      <c r="C3072" s="729"/>
      <c r="D3072" s="196"/>
      <c r="E3072" s="725"/>
      <c r="F3072" s="767"/>
      <c r="G3072" s="196"/>
      <c r="H3072" s="196"/>
      <c r="I3072" s="196"/>
      <c r="J3072" s="114"/>
      <c r="BB3072" s="117"/>
      <c r="BC3072" s="117"/>
      <c r="BD3072" s="117"/>
    </row>
    <row r="3073" spans="1:56" ht="15">
      <c r="A3073" s="360" t="s">
        <v>1105</v>
      </c>
      <c r="B3073" s="691" t="s">
        <v>1683</v>
      </c>
      <c r="C3073" s="196"/>
      <c r="D3073" s="196"/>
      <c r="E3073" s="196"/>
      <c r="F3073" s="284"/>
      <c r="G3073" s="196"/>
      <c r="H3073" s="196"/>
      <c r="I3073" s="196"/>
      <c r="J3073" s="114"/>
      <c r="BB3073" s="117"/>
      <c r="BC3073" s="117"/>
      <c r="BD3073" s="117"/>
    </row>
    <row r="3074" spans="1:56" ht="15" customHeight="1">
      <c r="A3074" s="114"/>
      <c r="B3074" s="730" t="s">
        <v>353</v>
      </c>
      <c r="C3074" s="712">
        <v>3</v>
      </c>
      <c r="D3074" s="286" t="s">
        <v>12</v>
      </c>
      <c r="E3074" s="1197" t="s">
        <v>1938</v>
      </c>
      <c r="F3074" s="1198"/>
      <c r="G3074" s="196"/>
      <c r="H3074" s="196"/>
      <c r="I3074" s="196"/>
      <c r="J3074" s="114"/>
      <c r="BB3074" s="117"/>
      <c r="BC3074" s="117"/>
      <c r="BD3074" s="117"/>
    </row>
    <row r="3075" spans="1:56" ht="15" customHeight="1">
      <c r="A3075" s="114"/>
      <c r="B3075" s="731"/>
      <c r="C3075" s="712">
        <v>3</v>
      </c>
      <c r="D3075" s="286" t="s">
        <v>12</v>
      </c>
      <c r="E3075" s="1197" t="s">
        <v>1939</v>
      </c>
      <c r="F3075" s="1198"/>
      <c r="G3075" s="196"/>
      <c r="H3075" s="196"/>
      <c r="I3075" s="196"/>
      <c r="J3075" s="114"/>
      <c r="BB3075" s="117"/>
      <c r="BC3075" s="117"/>
      <c r="BD3075" s="117"/>
    </row>
    <row r="3076" spans="1:56" ht="15" customHeight="1">
      <c r="A3076" s="114"/>
      <c r="B3076" s="732"/>
      <c r="C3076" s="712">
        <v>2</v>
      </c>
      <c r="D3076" s="286" t="s">
        <v>12</v>
      </c>
      <c r="E3076" s="1197" t="s">
        <v>1940</v>
      </c>
      <c r="F3076" s="1198"/>
      <c r="G3076" s="196"/>
      <c r="H3076" s="196"/>
      <c r="I3076" s="196"/>
      <c r="J3076" s="114"/>
      <c r="BB3076" s="117"/>
      <c r="BC3076" s="117"/>
      <c r="BD3076" s="117"/>
    </row>
    <row r="3077" spans="1:56" ht="15">
      <c r="A3077" s="114"/>
      <c r="B3077" s="730" t="s">
        <v>352</v>
      </c>
      <c r="C3077" s="712">
        <v>17770</v>
      </c>
      <c r="D3077" s="286" t="s">
        <v>12</v>
      </c>
      <c r="E3077" s="1197" t="s">
        <v>1941</v>
      </c>
      <c r="F3077" s="1198"/>
      <c r="G3077" s="196"/>
      <c r="H3077" s="196"/>
      <c r="I3077" s="196"/>
      <c r="J3077" s="114"/>
      <c r="BB3077" s="117"/>
      <c r="BC3077" s="117"/>
      <c r="BD3077" s="117"/>
    </row>
    <row r="3078" spans="1:56" ht="15" customHeight="1">
      <c r="A3078" s="114"/>
      <c r="B3078" s="731"/>
      <c r="C3078" s="712">
        <v>1050</v>
      </c>
      <c r="D3078" s="286" t="s">
        <v>12</v>
      </c>
      <c r="E3078" s="1197" t="s">
        <v>1938</v>
      </c>
      <c r="F3078" s="1198"/>
      <c r="G3078" s="196"/>
      <c r="H3078" s="196"/>
      <c r="I3078" s="196"/>
      <c r="J3078" s="114"/>
      <c r="BB3078" s="117"/>
      <c r="BC3078" s="117"/>
      <c r="BD3078" s="117"/>
    </row>
    <row r="3079" spans="1:56" ht="15" customHeight="1">
      <c r="A3079" s="114"/>
      <c r="B3079" s="731"/>
      <c r="C3079" s="712">
        <v>8842</v>
      </c>
      <c r="D3079" s="286" t="s">
        <v>12</v>
      </c>
      <c r="E3079" s="1197" t="s">
        <v>1942</v>
      </c>
      <c r="F3079" s="1198"/>
      <c r="G3079" s="196"/>
      <c r="H3079" s="196"/>
      <c r="I3079" s="196"/>
      <c r="J3079" s="114"/>
      <c r="BB3079" s="117"/>
      <c r="BC3079" s="117"/>
      <c r="BD3079" s="117"/>
    </row>
    <row r="3080" spans="1:56" ht="15" customHeight="1">
      <c r="A3080" s="114"/>
      <c r="B3080" s="731"/>
      <c r="C3080" s="712">
        <v>5337</v>
      </c>
      <c r="D3080" s="286" t="s">
        <v>12</v>
      </c>
      <c r="E3080" s="1197" t="s">
        <v>1939</v>
      </c>
      <c r="F3080" s="1198"/>
      <c r="G3080" s="196"/>
      <c r="H3080" s="196"/>
      <c r="I3080" s="196"/>
      <c r="J3080" s="114"/>
      <c r="BB3080" s="117"/>
      <c r="BC3080" s="117"/>
      <c r="BD3080" s="117"/>
    </row>
    <row r="3081" spans="1:56" ht="15" customHeight="1">
      <c r="A3081" s="114"/>
      <c r="B3081" s="731"/>
      <c r="C3081" s="712">
        <v>6914</v>
      </c>
      <c r="D3081" s="286" t="s">
        <v>12</v>
      </c>
      <c r="E3081" s="1197" t="s">
        <v>1943</v>
      </c>
      <c r="F3081" s="1198"/>
      <c r="G3081" s="196"/>
      <c r="H3081" s="196"/>
      <c r="I3081" s="196"/>
      <c r="J3081" s="114"/>
      <c r="BB3081" s="117"/>
      <c r="BC3081" s="117"/>
      <c r="BD3081" s="117"/>
    </row>
    <row r="3082" spans="1:56" ht="15" customHeight="1">
      <c r="A3082" s="114"/>
      <c r="B3082" s="731"/>
      <c r="C3082" s="712">
        <v>5990</v>
      </c>
      <c r="D3082" s="286" t="s">
        <v>12</v>
      </c>
      <c r="E3082" s="1197" t="s">
        <v>1944</v>
      </c>
      <c r="F3082" s="1198"/>
      <c r="G3082" s="196"/>
      <c r="H3082" s="733"/>
      <c r="I3082" s="196"/>
      <c r="J3082" s="114"/>
      <c r="BB3082" s="117"/>
      <c r="BC3082" s="117"/>
      <c r="BD3082" s="117"/>
    </row>
    <row r="3083" spans="1:56" ht="15" customHeight="1">
      <c r="A3083" s="114"/>
      <c r="B3083" s="731"/>
      <c r="C3083" s="712">
        <v>5654</v>
      </c>
      <c r="D3083" s="286" t="s">
        <v>12</v>
      </c>
      <c r="E3083" s="1197" t="s">
        <v>1940</v>
      </c>
      <c r="F3083" s="1198"/>
      <c r="G3083" s="196"/>
      <c r="H3083" s="196"/>
      <c r="I3083" s="196"/>
      <c r="J3083" s="114"/>
      <c r="BB3083" s="117"/>
      <c r="BC3083" s="117"/>
      <c r="BD3083" s="117"/>
    </row>
    <row r="3084" spans="1:56" ht="15" customHeight="1">
      <c r="A3084" s="114"/>
      <c r="B3084" s="731"/>
      <c r="C3084" s="712">
        <v>6195</v>
      </c>
      <c r="D3084" s="286" t="s">
        <v>12</v>
      </c>
      <c r="E3084" s="1197" t="s">
        <v>1945</v>
      </c>
      <c r="F3084" s="1198"/>
      <c r="G3084" s="196"/>
      <c r="H3084" s="196"/>
      <c r="I3084" s="196"/>
      <c r="J3084" s="114"/>
      <c r="BB3084" s="117"/>
      <c r="BC3084" s="117"/>
      <c r="BD3084" s="117"/>
    </row>
    <row r="3085" spans="1:56" ht="15" customHeight="1">
      <c r="A3085" s="114"/>
      <c r="B3085" s="731"/>
      <c r="C3085" s="712">
        <v>5949</v>
      </c>
      <c r="D3085" s="286" t="s">
        <v>12</v>
      </c>
      <c r="E3085" s="1197" t="s">
        <v>1946</v>
      </c>
      <c r="F3085" s="1198"/>
      <c r="G3085" s="196"/>
      <c r="H3085" s="196"/>
      <c r="I3085" s="196"/>
      <c r="J3085" s="114"/>
      <c r="BB3085" s="117"/>
      <c r="BC3085" s="117"/>
      <c r="BD3085" s="117"/>
    </row>
    <row r="3086" spans="1:56" ht="15" customHeight="1">
      <c r="A3086" s="114"/>
      <c r="B3086" s="731"/>
      <c r="C3086" s="712">
        <v>6914</v>
      </c>
      <c r="D3086" s="286" t="s">
        <v>12</v>
      </c>
      <c r="E3086" s="1197" t="s">
        <v>1947</v>
      </c>
      <c r="F3086" s="1198"/>
      <c r="G3086" s="196"/>
      <c r="H3086" s="196"/>
      <c r="I3086" s="196"/>
      <c r="J3086" s="114"/>
      <c r="BB3086" s="117"/>
      <c r="BC3086" s="117"/>
      <c r="BD3086" s="117"/>
    </row>
    <row r="3087" spans="1:56" ht="15" customHeight="1">
      <c r="A3087" s="114"/>
      <c r="B3087" s="731"/>
      <c r="C3087" s="712">
        <v>5949</v>
      </c>
      <c r="D3087" s="286" t="s">
        <v>12</v>
      </c>
      <c r="E3087" s="1197" t="s">
        <v>1948</v>
      </c>
      <c r="F3087" s="1198"/>
      <c r="G3087" s="196"/>
      <c r="H3087" s="196"/>
      <c r="I3087" s="196"/>
      <c r="J3087" s="114"/>
      <c r="BB3087" s="117"/>
      <c r="BC3087" s="117"/>
      <c r="BD3087" s="117"/>
    </row>
    <row r="3088" spans="1:56" ht="15" customHeight="1">
      <c r="A3088" s="114"/>
      <c r="B3088" s="732"/>
      <c r="C3088" s="712">
        <v>7598</v>
      </c>
      <c r="D3088" s="286" t="s">
        <v>12</v>
      </c>
      <c r="E3088" s="1197" t="s">
        <v>1949</v>
      </c>
      <c r="F3088" s="1198"/>
      <c r="G3088" s="196"/>
      <c r="H3088" s="196"/>
      <c r="I3088" s="196"/>
      <c r="J3088" s="114"/>
      <c r="BB3088" s="117"/>
      <c r="BC3088" s="117"/>
      <c r="BD3088" s="117"/>
    </row>
    <row r="3089" spans="1:56" ht="15">
      <c r="A3089" s="114"/>
      <c r="B3089" s="694"/>
      <c r="C3089" s="211"/>
      <c r="D3089" s="196"/>
      <c r="E3089" s="288"/>
      <c r="F3089" s="284"/>
      <c r="G3089" s="196"/>
      <c r="H3089" s="196"/>
      <c r="I3089" s="196"/>
      <c r="J3089" s="114"/>
      <c r="BB3089" s="117"/>
      <c r="BC3089" s="117"/>
      <c r="BD3089" s="117"/>
    </row>
    <row r="3090" spans="1:56" ht="15">
      <c r="A3090" s="360" t="s">
        <v>1105</v>
      </c>
      <c r="B3090" s="691" t="s">
        <v>1685</v>
      </c>
      <c r="C3090" s="196"/>
      <c r="D3090" s="196"/>
      <c r="E3090" s="196"/>
      <c r="F3090" s="284"/>
      <c r="G3090" s="196"/>
      <c r="H3090" s="196"/>
      <c r="I3090" s="196"/>
      <c r="J3090" s="114"/>
      <c r="BB3090" s="117"/>
      <c r="BC3090" s="117"/>
      <c r="BD3090" s="117"/>
    </row>
    <row r="3091" spans="1:56" ht="15" customHeight="1">
      <c r="A3091" s="114"/>
      <c r="B3091" s="730" t="s">
        <v>353</v>
      </c>
      <c r="C3091" s="712">
        <v>62</v>
      </c>
      <c r="D3091" s="286" t="s">
        <v>12</v>
      </c>
      <c r="E3091" s="1197" t="s">
        <v>1951</v>
      </c>
      <c r="F3091" s="1198"/>
      <c r="G3091" s="196"/>
      <c r="H3091" s="733"/>
      <c r="I3091" s="196"/>
      <c r="J3091" s="114"/>
      <c r="BB3091" s="117"/>
      <c r="BC3091" s="117"/>
      <c r="BD3091" s="117"/>
    </row>
    <row r="3092" spans="1:56" ht="15" customHeight="1">
      <c r="A3092" s="114"/>
      <c r="B3092" s="731"/>
      <c r="C3092" s="712">
        <v>53</v>
      </c>
      <c r="D3092" s="286" t="s">
        <v>12</v>
      </c>
      <c r="E3092" s="1197" t="s">
        <v>1952</v>
      </c>
      <c r="F3092" s="1198"/>
      <c r="G3092" s="196"/>
      <c r="H3092" s="196"/>
      <c r="I3092" s="196"/>
      <c r="J3092" s="114"/>
      <c r="BB3092" s="117"/>
      <c r="BC3092" s="117"/>
      <c r="BD3092" s="117"/>
    </row>
    <row r="3093" spans="1:56" ht="15">
      <c r="A3093" s="114"/>
      <c r="B3093" s="730" t="s">
        <v>352</v>
      </c>
      <c r="C3093" s="712">
        <v>710</v>
      </c>
      <c r="D3093" s="286" t="s">
        <v>12</v>
      </c>
      <c r="E3093" s="1197" t="s">
        <v>1950</v>
      </c>
      <c r="F3093" s="1198"/>
      <c r="G3093" s="196"/>
      <c r="H3093" s="196"/>
      <c r="I3093" s="196"/>
      <c r="J3093" s="114"/>
      <c r="BB3093" s="117"/>
      <c r="BC3093" s="117"/>
      <c r="BD3093" s="117"/>
    </row>
    <row r="3094" spans="1:56" ht="15" customHeight="1">
      <c r="A3094" s="114"/>
      <c r="B3094" s="731"/>
      <c r="C3094" s="712">
        <v>1882</v>
      </c>
      <c r="D3094" s="286" t="s">
        <v>12</v>
      </c>
      <c r="E3094" s="1197" t="s">
        <v>1951</v>
      </c>
      <c r="F3094" s="1198"/>
      <c r="G3094" s="196"/>
      <c r="H3094" s="733"/>
      <c r="I3094" s="196"/>
      <c r="J3094" s="114"/>
      <c r="BB3094" s="117"/>
      <c r="BC3094" s="117"/>
      <c r="BD3094" s="117"/>
    </row>
    <row r="3095" spans="1:56" ht="15" customHeight="1">
      <c r="A3095" s="114"/>
      <c r="B3095" s="732"/>
      <c r="C3095" s="712">
        <v>975</v>
      </c>
      <c r="D3095" s="286" t="s">
        <v>12</v>
      </c>
      <c r="E3095" s="1197" t="s">
        <v>1952</v>
      </c>
      <c r="F3095" s="1198"/>
      <c r="G3095" s="196"/>
      <c r="H3095" s="196"/>
      <c r="I3095" s="196"/>
      <c r="J3095" s="114"/>
      <c r="BB3095" s="117"/>
      <c r="BC3095" s="117"/>
      <c r="BD3095" s="117"/>
    </row>
    <row r="3096" spans="1:56" ht="15">
      <c r="A3096" s="114"/>
      <c r="B3096" s="694"/>
      <c r="C3096" s="211"/>
      <c r="D3096" s="196"/>
      <c r="E3096" s="288"/>
      <c r="F3096" s="284"/>
      <c r="G3096" s="196"/>
      <c r="H3096" s="196"/>
      <c r="I3096" s="196"/>
      <c r="J3096" s="114"/>
      <c r="BB3096" s="117"/>
      <c r="BC3096" s="117"/>
      <c r="BD3096" s="117"/>
    </row>
    <row r="3097" spans="1:56" ht="15">
      <c r="A3097" s="360" t="s">
        <v>1105</v>
      </c>
      <c r="B3097" s="691" t="s">
        <v>1953</v>
      </c>
      <c r="C3097" s="196"/>
      <c r="D3097" s="196"/>
      <c r="E3097" s="196"/>
      <c r="F3097" s="284"/>
      <c r="G3097" s="196"/>
      <c r="H3097" s="196"/>
      <c r="I3097" s="196"/>
      <c r="J3097" s="114"/>
      <c r="BB3097" s="117"/>
      <c r="BC3097" s="117"/>
      <c r="BD3097" s="117"/>
    </row>
    <row r="3098" spans="1:56" ht="15">
      <c r="A3098" s="114"/>
      <c r="B3098" s="730" t="s">
        <v>352</v>
      </c>
      <c r="C3098" s="712">
        <v>444</v>
      </c>
      <c r="D3098" s="286" t="s">
        <v>12</v>
      </c>
      <c r="E3098" s="1335" t="s">
        <v>1954</v>
      </c>
      <c r="F3098" s="1336"/>
      <c r="G3098" s="196"/>
      <c r="H3098" s="196"/>
      <c r="I3098" s="196"/>
      <c r="J3098" s="114"/>
      <c r="BB3098" s="117"/>
      <c r="BC3098" s="117"/>
      <c r="BD3098" s="117"/>
    </row>
    <row r="3099" spans="1:56" ht="15">
      <c r="A3099" s="114"/>
      <c r="B3099" s="731"/>
      <c r="C3099" s="712">
        <v>4076</v>
      </c>
      <c r="D3099" s="286" t="s">
        <v>12</v>
      </c>
      <c r="E3099" s="1339"/>
      <c r="F3099" s="1340"/>
      <c r="G3099" s="196"/>
      <c r="H3099" s="196"/>
      <c r="I3099" s="196"/>
      <c r="J3099" s="114"/>
      <c r="BB3099" s="117"/>
      <c r="BC3099" s="117"/>
      <c r="BD3099" s="117"/>
    </row>
    <row r="3100" spans="1:56" ht="15">
      <c r="A3100" s="114"/>
      <c r="B3100" s="732"/>
      <c r="C3100" s="712">
        <v>10410</v>
      </c>
      <c r="D3100" s="286" t="s">
        <v>12</v>
      </c>
      <c r="E3100" s="1337"/>
      <c r="F3100" s="1338"/>
      <c r="G3100" s="196"/>
      <c r="H3100" s="196"/>
      <c r="I3100" s="196"/>
      <c r="J3100" s="114"/>
      <c r="BB3100" s="117"/>
      <c r="BC3100" s="117"/>
      <c r="BD3100" s="117"/>
    </row>
    <row r="3101" spans="1:56" ht="15">
      <c r="A3101" s="114"/>
      <c r="B3101" s="728"/>
      <c r="C3101" s="729"/>
      <c r="D3101" s="196"/>
      <c r="E3101" s="725"/>
      <c r="F3101" s="767"/>
      <c r="G3101" s="196"/>
      <c r="H3101" s="196"/>
      <c r="I3101" s="196"/>
      <c r="J3101" s="114"/>
      <c r="BB3101" s="117"/>
      <c r="BC3101" s="117"/>
      <c r="BD3101" s="117"/>
    </row>
    <row r="3102" spans="1:56" ht="15">
      <c r="A3102" s="360" t="s">
        <v>1105</v>
      </c>
      <c r="B3102" s="691" t="s">
        <v>1955</v>
      </c>
      <c r="C3102" s="196"/>
      <c r="D3102" s="196"/>
      <c r="E3102" s="196"/>
      <c r="F3102" s="284"/>
      <c r="G3102" s="196"/>
      <c r="H3102" s="196"/>
      <c r="I3102" s="196"/>
      <c r="J3102" s="114"/>
      <c r="BB3102" s="117"/>
      <c r="BC3102" s="117"/>
      <c r="BD3102" s="117"/>
    </row>
    <row r="3103" spans="1:56" ht="15">
      <c r="A3103" s="114"/>
      <c r="B3103" s="692" t="s">
        <v>352</v>
      </c>
      <c r="C3103" s="712">
        <v>1310</v>
      </c>
      <c r="D3103" s="286" t="s">
        <v>12</v>
      </c>
      <c r="E3103" s="1197" t="s">
        <v>1956</v>
      </c>
      <c r="F3103" s="1198"/>
      <c r="G3103" s="196"/>
      <c r="H3103" s="196"/>
      <c r="I3103" s="196"/>
      <c r="J3103" s="114"/>
      <c r="BB3103" s="117"/>
      <c r="BC3103" s="117"/>
      <c r="BD3103" s="117"/>
    </row>
    <row r="3104" spans="1:56" ht="15">
      <c r="A3104" s="114"/>
      <c r="B3104" s="728"/>
      <c r="C3104" s="729"/>
      <c r="D3104" s="196"/>
      <c r="E3104" s="725"/>
      <c r="F3104" s="767"/>
      <c r="G3104" s="196"/>
      <c r="H3104" s="196"/>
      <c r="I3104" s="196"/>
      <c r="J3104" s="114"/>
      <c r="BB3104" s="117"/>
      <c r="BC3104" s="117"/>
      <c r="BD3104" s="117"/>
    </row>
    <row r="3105" spans="1:56" ht="15">
      <c r="A3105" s="360" t="s">
        <v>1105</v>
      </c>
      <c r="B3105" s="691" t="s">
        <v>1712</v>
      </c>
      <c r="C3105" s="196"/>
      <c r="D3105" s="196"/>
      <c r="E3105" s="196"/>
      <c r="F3105" s="284"/>
      <c r="G3105" s="196"/>
      <c r="H3105" s="196"/>
      <c r="I3105" s="196"/>
      <c r="J3105" s="114"/>
      <c r="BB3105" s="117"/>
      <c r="BC3105" s="117"/>
      <c r="BD3105" s="117"/>
    </row>
    <row r="3106" spans="1:56" ht="15">
      <c r="A3106" s="114"/>
      <c r="B3106" s="692" t="s">
        <v>352</v>
      </c>
      <c r="C3106" s="712">
        <v>43105</v>
      </c>
      <c r="D3106" s="286" t="s">
        <v>12</v>
      </c>
      <c r="E3106" s="1197" t="s">
        <v>1711</v>
      </c>
      <c r="F3106" s="1198"/>
      <c r="G3106" s="196"/>
      <c r="H3106" s="196"/>
      <c r="I3106" s="196"/>
      <c r="J3106" s="114"/>
      <c r="BB3106" s="117"/>
      <c r="BC3106" s="117"/>
      <c r="BD3106" s="117"/>
    </row>
    <row r="3107" spans="1:56" ht="15">
      <c r="A3107" s="114"/>
      <c r="B3107" s="694"/>
      <c r="C3107" s="211"/>
      <c r="D3107" s="196"/>
      <c r="E3107" s="288"/>
      <c r="F3107" s="284"/>
      <c r="G3107" s="196"/>
      <c r="H3107" s="196"/>
      <c r="I3107" s="196"/>
      <c r="J3107" s="114"/>
      <c r="BB3107" s="117"/>
      <c r="BC3107" s="117"/>
      <c r="BD3107" s="117"/>
    </row>
    <row r="3108" spans="1:56" ht="15">
      <c r="A3108" s="360" t="s">
        <v>1105</v>
      </c>
      <c r="B3108" s="691" t="s">
        <v>1713</v>
      </c>
      <c r="C3108" s="196"/>
      <c r="D3108" s="196"/>
      <c r="E3108" s="196"/>
      <c r="F3108" s="284"/>
      <c r="G3108" s="196"/>
      <c r="H3108" s="196"/>
      <c r="I3108" s="196"/>
      <c r="J3108" s="114"/>
      <c r="BB3108" s="117"/>
      <c r="BC3108" s="117"/>
      <c r="BD3108" s="117"/>
    </row>
    <row r="3109" spans="1:56" ht="15" customHeight="1">
      <c r="A3109" s="114"/>
      <c r="B3109" s="692" t="s">
        <v>352</v>
      </c>
      <c r="C3109" s="712">
        <v>3285</v>
      </c>
      <c r="D3109" s="286" t="s">
        <v>12</v>
      </c>
      <c r="E3109" s="1197" t="s">
        <v>1957</v>
      </c>
      <c r="F3109" s="1198"/>
      <c r="G3109" s="196"/>
      <c r="H3109" s="196"/>
      <c r="I3109" s="196"/>
      <c r="J3109" s="114"/>
      <c r="BB3109" s="117"/>
      <c r="BC3109" s="117"/>
      <c r="BD3109" s="117"/>
    </row>
    <row r="3110" spans="1:56" ht="15">
      <c r="A3110" s="114"/>
      <c r="B3110" s="692"/>
      <c r="C3110" s="712">
        <v>12227</v>
      </c>
      <c r="D3110" s="286" t="s">
        <v>12</v>
      </c>
      <c r="E3110" s="1197" t="s">
        <v>1958</v>
      </c>
      <c r="F3110" s="1198"/>
      <c r="G3110" s="196"/>
      <c r="H3110" s="196"/>
      <c r="I3110" s="196"/>
      <c r="J3110" s="114"/>
      <c r="BB3110" s="117"/>
      <c r="BC3110" s="117"/>
      <c r="BD3110" s="117"/>
    </row>
    <row r="3111" spans="1:56" ht="15">
      <c r="A3111" s="114"/>
      <c r="B3111" s="694"/>
      <c r="C3111" s="211"/>
      <c r="D3111" s="196"/>
      <c r="E3111" s="288"/>
      <c r="F3111" s="284"/>
      <c r="G3111" s="196"/>
      <c r="H3111" s="196"/>
      <c r="I3111" s="196"/>
      <c r="J3111" s="114"/>
      <c r="BB3111" s="117"/>
      <c r="BC3111" s="117"/>
      <c r="BD3111" s="117"/>
    </row>
    <row r="3112" spans="1:56" ht="15">
      <c r="A3112" s="114"/>
      <c r="B3112" s="691" t="s">
        <v>1847</v>
      </c>
      <c r="C3112" s="211"/>
      <c r="D3112" s="196"/>
      <c r="E3112" s="288"/>
      <c r="F3112" s="284"/>
      <c r="G3112" s="196"/>
      <c r="H3112" s="196"/>
      <c r="I3112" s="196"/>
      <c r="J3112" s="114"/>
      <c r="BB3112" s="117"/>
      <c r="BC3112" s="117"/>
      <c r="BD3112" s="117"/>
    </row>
    <row r="3113" spans="1:56" ht="15">
      <c r="A3113" s="114"/>
      <c r="B3113" s="692" t="s">
        <v>352</v>
      </c>
      <c r="C3113" s="712">
        <v>3410</v>
      </c>
      <c r="D3113" s="286" t="s">
        <v>12</v>
      </c>
      <c r="E3113" s="1330" t="s">
        <v>1784</v>
      </c>
      <c r="F3113" s="1331"/>
      <c r="G3113" s="196"/>
      <c r="H3113" s="196"/>
      <c r="I3113" s="196"/>
      <c r="J3113" s="114"/>
      <c r="BB3113" s="117"/>
      <c r="BC3113" s="117"/>
      <c r="BD3113" s="117"/>
    </row>
    <row r="3114" spans="1:56" ht="15">
      <c r="A3114" s="114"/>
      <c r="B3114" s="694"/>
      <c r="C3114" s="211"/>
      <c r="D3114" s="196"/>
      <c r="E3114" s="288"/>
      <c r="F3114" s="284"/>
      <c r="G3114" s="196"/>
      <c r="H3114" s="196"/>
      <c r="I3114" s="196"/>
      <c r="J3114" s="114"/>
      <c r="BB3114" s="117"/>
      <c r="BC3114" s="117"/>
      <c r="BD3114" s="117"/>
    </row>
    <row r="3115" spans="1:56">
      <c r="A3115" s="114"/>
      <c r="B3115" s="691" t="s">
        <v>351</v>
      </c>
      <c r="C3115" s="115"/>
      <c r="D3115" s="115"/>
      <c r="E3115" s="115"/>
      <c r="F3115" s="182"/>
      <c r="G3115" s="115"/>
      <c r="H3115" s="115"/>
      <c r="I3115" s="82"/>
      <c r="J3115" s="114"/>
      <c r="BB3115" s="117"/>
      <c r="BC3115" s="117"/>
      <c r="BD3115" s="117"/>
    </row>
    <row r="3116" spans="1:56">
      <c r="A3116" s="114"/>
      <c r="B3116" s="692" t="s">
        <v>352</v>
      </c>
      <c r="C3116" s="203"/>
      <c r="D3116" s="204"/>
      <c r="E3116" s="684">
        <f>SUM(C2870:C2875,C2878,C2896:C2910,C2918:C2922,C2945:C2973,C2976,C2981:C2988,C2991:C2993,C2997:C3002,C3005:C3006,C3009:C3010,C3013,C3020:C3028,C3031,C3042:C3048,C3053:C3056,C3060:C3062,C3069:C3071,C3077:C3088,C3093:C3095,C3098:C3100,C3103,C3106,C3109:C3110,C3113)</f>
        <v>1485978</v>
      </c>
      <c r="F3116" s="216" t="s">
        <v>12</v>
      </c>
      <c r="G3116" s="115"/>
      <c r="H3116" s="236"/>
      <c r="I3116" s="3"/>
      <c r="J3116" s="1112"/>
      <c r="BB3116" s="117"/>
      <c r="BC3116" s="117"/>
      <c r="BD3116" s="117"/>
    </row>
    <row r="3117" spans="1:56" ht="16.5" thickBot="1">
      <c r="A3117" s="114"/>
      <c r="B3117" s="695" t="s">
        <v>353</v>
      </c>
      <c r="C3117" s="217"/>
      <c r="D3117" s="218"/>
      <c r="E3117" s="304">
        <f>SUM(C2881:C2895,C2913:C2917,C2925:C2944,C2980,C2996,C3016:C3019,C3034:C3041,C3051:C3052,C3059,C3065:C3068,C3074:C3076,C3091:C3092)</f>
        <v>29657</v>
      </c>
      <c r="F3117" s="219" t="s">
        <v>12</v>
      </c>
      <c r="G3117" s="115"/>
      <c r="H3117" s="236"/>
      <c r="I3117" s="3"/>
      <c r="J3117" s="114"/>
      <c r="BB3117" s="117"/>
      <c r="BC3117" s="117"/>
      <c r="BD3117" s="117"/>
    </row>
    <row r="3118" spans="1:56" ht="15">
      <c r="A3118" s="114"/>
      <c r="B3118" s="564"/>
      <c r="C3118" s="180"/>
      <c r="D3118" s="180"/>
      <c r="E3118" s="180"/>
      <c r="F3118" s="180"/>
      <c r="G3118" s="180"/>
      <c r="H3118" s="234"/>
      <c r="I3118" s="234"/>
      <c r="J3118" s="234"/>
    </row>
    <row r="3119" spans="1:56" ht="16.5" thickBot="1">
      <c r="A3119" s="114"/>
      <c r="B3119" s="207"/>
      <c r="C3119" s="208"/>
      <c r="D3119" s="208"/>
      <c r="E3119" s="209"/>
      <c r="F3119" s="207"/>
      <c r="G3119" s="115"/>
      <c r="H3119" s="115"/>
      <c r="I3119" s="82"/>
      <c r="J3119" s="114"/>
      <c r="BB3119" s="117"/>
      <c r="BC3119" s="117"/>
      <c r="BD3119" s="117"/>
    </row>
    <row r="3120" spans="1:56" ht="24.75" thickTop="1" thickBot="1">
      <c r="A3120" s="114"/>
      <c r="B3120" s="563" t="s">
        <v>2013</v>
      </c>
      <c r="C3120" s="381"/>
      <c r="D3120" s="381"/>
      <c r="E3120" s="381"/>
      <c r="F3120" s="381"/>
      <c r="G3120" s="381"/>
      <c r="H3120" s="381"/>
      <c r="I3120" s="381"/>
      <c r="J3120" s="381"/>
    </row>
    <row r="3121" spans="1:56" thickTop="1">
      <c r="A3121" s="114"/>
      <c r="B3121" s="564"/>
      <c r="C3121" s="180"/>
      <c r="D3121" s="180"/>
      <c r="E3121" s="180"/>
      <c r="F3121" s="180"/>
      <c r="G3121" s="180"/>
      <c r="H3121" s="234"/>
      <c r="I3121" s="234"/>
      <c r="J3121" s="234"/>
    </row>
    <row r="3122" spans="1:56" ht="18" customHeight="1">
      <c r="A3122" s="114"/>
      <c r="B3122" s="760" t="s">
        <v>2300</v>
      </c>
      <c r="C3122" s="382"/>
      <c r="D3122" s="382"/>
      <c r="E3122" s="382"/>
      <c r="F3122" s="382"/>
      <c r="G3122" s="382"/>
      <c r="H3122" s="383"/>
      <c r="I3122" s="383"/>
      <c r="J3122" s="351"/>
      <c r="BA3122" s="117"/>
      <c r="BB3122" s="117"/>
      <c r="BC3122" s="117"/>
      <c r="BD3122" s="117"/>
    </row>
    <row r="3123" spans="1:56" ht="15">
      <c r="A3123" s="114"/>
      <c r="B3123" s="293"/>
      <c r="C3123" s="387"/>
      <c r="D3123" s="387"/>
      <c r="E3123" s="387"/>
      <c r="F3123" s="387"/>
      <c r="G3123" s="387"/>
      <c r="H3123" s="386"/>
      <c r="I3123" s="386"/>
      <c r="J3123" s="114"/>
      <c r="BA3123" s="117"/>
      <c r="BB3123" s="117"/>
      <c r="BC3123" s="117"/>
      <c r="BD3123" s="117"/>
    </row>
    <row r="3124" spans="1:56" ht="15">
      <c r="A3124" s="114"/>
      <c r="B3124" s="750" t="s">
        <v>93</v>
      </c>
      <c r="C3124" s="751" t="s">
        <v>61</v>
      </c>
      <c r="D3124" s="751" t="s">
        <v>89</v>
      </c>
      <c r="E3124" s="751" t="s">
        <v>2015</v>
      </c>
      <c r="F3124" s="751" t="s">
        <v>66</v>
      </c>
      <c r="G3124" s="802" t="s">
        <v>99</v>
      </c>
      <c r="H3124" s="802" t="s">
        <v>68</v>
      </c>
      <c r="I3124" s="386"/>
      <c r="J3124" s="114"/>
      <c r="BA3124" s="117"/>
      <c r="BB3124" s="117"/>
      <c r="BC3124" s="117"/>
      <c r="BD3124" s="117"/>
    </row>
    <row r="3125" spans="1:56" ht="15">
      <c r="A3125" s="114"/>
      <c r="B3125" s="753" t="s">
        <v>2245</v>
      </c>
      <c r="C3125" s="754">
        <v>1</v>
      </c>
      <c r="D3125" s="755">
        <v>5.8</v>
      </c>
      <c r="E3125" s="756">
        <v>0.6</v>
      </c>
      <c r="F3125" s="756">
        <v>0.12</v>
      </c>
      <c r="G3125" s="828">
        <f>C3125*D3125*E3125*F3125</f>
        <v>0.41759999999999997</v>
      </c>
      <c r="H3125" s="828">
        <f>D3125*E3125</f>
        <v>3.48</v>
      </c>
      <c r="I3125" s="386"/>
      <c r="J3125" s="114"/>
      <c r="BA3125" s="117"/>
      <c r="BB3125" s="117"/>
      <c r="BC3125" s="117"/>
      <c r="BD3125" s="117"/>
    </row>
    <row r="3126" spans="1:56" ht="15">
      <c r="A3126" s="114"/>
      <c r="B3126" s="753" t="s">
        <v>2246</v>
      </c>
      <c r="C3126" s="754">
        <v>1</v>
      </c>
      <c r="D3126" s="755">
        <v>0.6</v>
      </c>
      <c r="E3126" s="756">
        <v>15.35</v>
      </c>
      <c r="F3126" s="756">
        <v>0.12</v>
      </c>
      <c r="G3126" s="828">
        <f t="shared" ref="G3126:G3131" si="323">C3126*D3126*E3126*F3126</f>
        <v>1.1051999999999997</v>
      </c>
      <c r="H3126" s="828">
        <f t="shared" ref="H3126:H3131" si="324">D3126*E3126</f>
        <v>9.2099999999999991</v>
      </c>
      <c r="I3126" s="386"/>
      <c r="J3126" s="114"/>
      <c r="BA3126" s="117"/>
      <c r="BB3126" s="117"/>
      <c r="BC3126" s="117"/>
      <c r="BD3126" s="117"/>
    </row>
    <row r="3127" spans="1:56" ht="15">
      <c r="A3127" s="114"/>
      <c r="B3127" s="753" t="s">
        <v>2247</v>
      </c>
      <c r="C3127" s="754">
        <v>1</v>
      </c>
      <c r="D3127" s="755">
        <v>4.2</v>
      </c>
      <c r="E3127" s="756">
        <v>6.35</v>
      </c>
      <c r="F3127" s="756">
        <v>0.12</v>
      </c>
      <c r="G3127" s="828">
        <f t="shared" si="323"/>
        <v>3.2003999999999997</v>
      </c>
      <c r="H3127" s="828">
        <f t="shared" si="324"/>
        <v>26.669999999999998</v>
      </c>
      <c r="I3127" s="386"/>
      <c r="J3127" s="114"/>
      <c r="BA3127" s="117"/>
      <c r="BB3127" s="117"/>
      <c r="BC3127" s="117"/>
      <c r="BD3127" s="117"/>
    </row>
    <row r="3128" spans="1:56" ht="15">
      <c r="A3128" s="114"/>
      <c r="B3128" s="753" t="s">
        <v>2248</v>
      </c>
      <c r="C3128" s="754">
        <v>1</v>
      </c>
      <c r="D3128" s="755">
        <v>0.6</v>
      </c>
      <c r="E3128" s="756">
        <v>15.35</v>
      </c>
      <c r="F3128" s="756">
        <v>0.12</v>
      </c>
      <c r="G3128" s="828">
        <f t="shared" si="323"/>
        <v>1.1051999999999997</v>
      </c>
      <c r="H3128" s="828">
        <f t="shared" si="324"/>
        <v>9.2099999999999991</v>
      </c>
      <c r="I3128" s="386"/>
      <c r="J3128" s="114"/>
      <c r="BA3128" s="117"/>
      <c r="BB3128" s="117"/>
      <c r="BC3128" s="117"/>
      <c r="BD3128" s="117"/>
    </row>
    <row r="3129" spans="1:56" ht="15">
      <c r="A3129" s="114"/>
      <c r="B3129" s="753" t="s">
        <v>2249</v>
      </c>
      <c r="C3129" s="754">
        <v>1</v>
      </c>
      <c r="D3129" s="755">
        <v>4.2</v>
      </c>
      <c r="E3129" s="756">
        <v>3.63</v>
      </c>
      <c r="F3129" s="756">
        <v>0.12</v>
      </c>
      <c r="G3129" s="828">
        <f t="shared" si="323"/>
        <v>1.82952</v>
      </c>
      <c r="H3129" s="828">
        <f t="shared" si="324"/>
        <v>15.246</v>
      </c>
      <c r="I3129" s="386"/>
      <c r="J3129" s="114"/>
      <c r="BA3129" s="117"/>
      <c r="BB3129" s="117"/>
      <c r="BC3129" s="117"/>
      <c r="BD3129" s="117"/>
    </row>
    <row r="3130" spans="1:56" ht="15">
      <c r="A3130" s="114"/>
      <c r="B3130" s="753" t="s">
        <v>2250</v>
      </c>
      <c r="C3130" s="754">
        <v>1</v>
      </c>
      <c r="D3130" s="755">
        <v>4.2</v>
      </c>
      <c r="E3130" s="756">
        <v>4.5599999999999996</v>
      </c>
      <c r="F3130" s="756">
        <v>0.12</v>
      </c>
      <c r="G3130" s="828">
        <f t="shared" si="323"/>
        <v>2.2982399999999994</v>
      </c>
      <c r="H3130" s="828">
        <f t="shared" si="324"/>
        <v>19.151999999999997</v>
      </c>
      <c r="I3130" s="386"/>
      <c r="J3130" s="114"/>
      <c r="BA3130" s="117"/>
      <c r="BB3130" s="117"/>
      <c r="BC3130" s="117"/>
      <c r="BD3130" s="117"/>
    </row>
    <row r="3131" spans="1:56" ht="15">
      <c r="A3131" s="114"/>
      <c r="B3131" s="753" t="s">
        <v>2251</v>
      </c>
      <c r="C3131" s="754">
        <v>1</v>
      </c>
      <c r="D3131" s="755">
        <v>5.8</v>
      </c>
      <c r="E3131" s="756">
        <v>0.6</v>
      </c>
      <c r="F3131" s="756">
        <v>0.12</v>
      </c>
      <c r="G3131" s="828">
        <f t="shared" si="323"/>
        <v>0.41759999999999997</v>
      </c>
      <c r="H3131" s="828">
        <f t="shared" si="324"/>
        <v>3.48</v>
      </c>
      <c r="I3131" s="386"/>
      <c r="J3131" s="114"/>
      <c r="BA3131" s="117"/>
      <c r="BB3131" s="117"/>
      <c r="BC3131" s="117"/>
      <c r="BD3131" s="117"/>
    </row>
    <row r="3132" spans="1:56" ht="15">
      <c r="A3132" s="114"/>
      <c r="B3132" s="114"/>
      <c r="C3132" s="114"/>
      <c r="D3132" s="114"/>
      <c r="E3132" s="114"/>
      <c r="F3132" s="758" t="s">
        <v>76</v>
      </c>
      <c r="G3132" s="228">
        <f>SUM(G3125:G3131)</f>
        <v>10.373759999999999</v>
      </c>
      <c r="H3132" s="228">
        <f>SUM(H3125:H3131)</f>
        <v>86.448000000000008</v>
      </c>
      <c r="I3132" s="386"/>
      <c r="J3132" s="114"/>
      <c r="BA3132" s="117"/>
      <c r="BB3132" s="117"/>
      <c r="BC3132" s="117"/>
      <c r="BD3132" s="117"/>
    </row>
    <row r="3133" spans="1:56" ht="15">
      <c r="A3133" s="114"/>
      <c r="B3133" s="114"/>
      <c r="C3133" s="114"/>
      <c r="D3133" s="114"/>
      <c r="E3133" s="114"/>
      <c r="F3133" s="114"/>
      <c r="G3133" s="114"/>
      <c r="H3133" s="114"/>
      <c r="I3133" s="386"/>
      <c r="J3133" s="114"/>
      <c r="BA3133" s="117"/>
      <c r="BB3133" s="117"/>
      <c r="BC3133" s="117"/>
      <c r="BD3133" s="117"/>
    </row>
    <row r="3134" spans="1:56" ht="15">
      <c r="A3134" s="114"/>
      <c r="B3134" s="750" t="s">
        <v>97</v>
      </c>
      <c r="C3134" s="751" t="s">
        <v>61</v>
      </c>
      <c r="D3134" s="751" t="s">
        <v>82</v>
      </c>
      <c r="E3134" s="751" t="s">
        <v>66</v>
      </c>
      <c r="F3134" s="751" t="s">
        <v>62</v>
      </c>
      <c r="G3134" s="802" t="s">
        <v>99</v>
      </c>
      <c r="H3134" s="802" t="s">
        <v>68</v>
      </c>
      <c r="I3134" s="386"/>
      <c r="J3134" s="114"/>
      <c r="BA3134" s="117"/>
      <c r="BB3134" s="117"/>
      <c r="BC3134" s="117"/>
      <c r="BD3134" s="117"/>
    </row>
    <row r="3135" spans="1:56" ht="15">
      <c r="A3135" s="114"/>
      <c r="B3135" s="753" t="s">
        <v>2016</v>
      </c>
      <c r="C3135" s="754">
        <v>1</v>
      </c>
      <c r="D3135" s="755">
        <v>0.2</v>
      </c>
      <c r="E3135" s="756">
        <v>0.9</v>
      </c>
      <c r="F3135" s="756">
        <v>6.2</v>
      </c>
      <c r="G3135" s="828">
        <f>D3135*E3135*F3135*C3135</f>
        <v>1.1160000000000001</v>
      </c>
      <c r="H3135" s="828">
        <f>((E3135*2)+D3135)*F3135*C3135</f>
        <v>12.4</v>
      </c>
      <c r="I3135" s="386"/>
      <c r="J3135" s="114"/>
      <c r="BA3135" s="117"/>
      <c r="BB3135" s="117"/>
      <c r="BC3135" s="117"/>
      <c r="BD3135" s="117"/>
    </row>
    <row r="3136" spans="1:56" ht="15">
      <c r="A3136" s="114"/>
      <c r="B3136" s="753" t="s">
        <v>2017</v>
      </c>
      <c r="C3136" s="754">
        <v>1</v>
      </c>
      <c r="D3136" s="755">
        <v>0.2</v>
      </c>
      <c r="E3136" s="756">
        <v>0.7</v>
      </c>
      <c r="F3136" s="756">
        <v>4.2</v>
      </c>
      <c r="G3136" s="828">
        <f>D3136*E3136*F3136*C3136</f>
        <v>0.58799999999999997</v>
      </c>
      <c r="H3136" s="828">
        <f>((E3136*2)+D3136)*F3136*C3136</f>
        <v>6.72</v>
      </c>
      <c r="I3136" s="386"/>
      <c r="J3136" s="114"/>
      <c r="BA3136" s="117"/>
      <c r="BB3136" s="117"/>
      <c r="BC3136" s="117"/>
      <c r="BD3136" s="117"/>
    </row>
    <row r="3137" spans="1:56" ht="15">
      <c r="A3137" s="114"/>
      <c r="B3137" s="753" t="s">
        <v>2018</v>
      </c>
      <c r="C3137" s="754">
        <v>2</v>
      </c>
      <c r="D3137" s="755">
        <v>0.2</v>
      </c>
      <c r="E3137" s="756">
        <v>0.2</v>
      </c>
      <c r="F3137" s="756">
        <v>0.6</v>
      </c>
      <c r="G3137" s="828">
        <f t="shared" ref="G3137:G3148" si="325">D3137*E3137*F3137*C3137</f>
        <v>4.8000000000000008E-2</v>
      </c>
      <c r="H3137" s="828">
        <f t="shared" ref="H3137:H3148" si="326">((E3137*2)+D3137)*F3137*C3137</f>
        <v>0.72000000000000008</v>
      </c>
      <c r="I3137" s="386"/>
      <c r="J3137" s="114"/>
      <c r="BA3137" s="117"/>
      <c r="BB3137" s="117"/>
      <c r="BC3137" s="117"/>
      <c r="BD3137" s="117"/>
    </row>
    <row r="3138" spans="1:56" ht="15">
      <c r="A3138" s="114"/>
      <c r="B3138" s="753" t="s">
        <v>2019</v>
      </c>
      <c r="C3138" s="754">
        <v>1</v>
      </c>
      <c r="D3138" s="755">
        <v>0.2</v>
      </c>
      <c r="E3138" s="756">
        <v>0.45</v>
      </c>
      <c r="F3138" s="756">
        <v>4.2</v>
      </c>
      <c r="G3138" s="828">
        <f t="shared" si="325"/>
        <v>0.37800000000000006</v>
      </c>
      <c r="H3138" s="828">
        <f t="shared" si="326"/>
        <v>4.620000000000001</v>
      </c>
      <c r="I3138" s="386"/>
      <c r="J3138" s="114"/>
      <c r="BA3138" s="117"/>
      <c r="BB3138" s="117"/>
      <c r="BC3138" s="117"/>
      <c r="BD3138" s="117"/>
    </row>
    <row r="3139" spans="1:56" ht="15">
      <c r="A3139" s="114"/>
      <c r="B3139" s="753" t="s">
        <v>2020</v>
      </c>
      <c r="C3139" s="754">
        <v>2</v>
      </c>
      <c r="D3139" s="755">
        <v>0.2</v>
      </c>
      <c r="E3139" s="756">
        <v>0.2</v>
      </c>
      <c r="F3139" s="756">
        <v>0.6</v>
      </c>
      <c r="G3139" s="828">
        <f t="shared" si="325"/>
        <v>4.8000000000000008E-2</v>
      </c>
      <c r="H3139" s="828">
        <f t="shared" si="326"/>
        <v>0.72000000000000008</v>
      </c>
      <c r="I3139" s="386"/>
      <c r="J3139" s="114"/>
      <c r="BA3139" s="117"/>
      <c r="BB3139" s="117"/>
      <c r="BC3139" s="117"/>
      <c r="BD3139" s="117"/>
    </row>
    <row r="3140" spans="1:56" ht="15">
      <c r="A3140" s="114"/>
      <c r="B3140" s="753" t="s">
        <v>2021</v>
      </c>
      <c r="C3140" s="754">
        <v>1</v>
      </c>
      <c r="D3140" s="755">
        <v>0.2</v>
      </c>
      <c r="E3140" s="756">
        <v>0.45</v>
      </c>
      <c r="F3140" s="756">
        <v>4</v>
      </c>
      <c r="G3140" s="828">
        <f t="shared" si="325"/>
        <v>0.36000000000000004</v>
      </c>
      <c r="H3140" s="828">
        <f t="shared" si="326"/>
        <v>4.4000000000000004</v>
      </c>
      <c r="I3140" s="386"/>
      <c r="J3140" s="114"/>
      <c r="BA3140" s="117"/>
      <c r="BB3140" s="117"/>
      <c r="BC3140" s="117"/>
      <c r="BD3140" s="117"/>
    </row>
    <row r="3141" spans="1:56" ht="15">
      <c r="A3141" s="114"/>
      <c r="B3141" s="753" t="s">
        <v>2022</v>
      </c>
      <c r="C3141" s="754">
        <v>2</v>
      </c>
      <c r="D3141" s="755">
        <v>0.2</v>
      </c>
      <c r="E3141" s="756">
        <v>0.2</v>
      </c>
      <c r="F3141" s="756">
        <v>0.6</v>
      </c>
      <c r="G3141" s="828">
        <f t="shared" si="325"/>
        <v>4.8000000000000008E-2</v>
      </c>
      <c r="H3141" s="828">
        <f t="shared" si="326"/>
        <v>0.72000000000000008</v>
      </c>
      <c r="I3141" s="386"/>
      <c r="J3141" s="114"/>
      <c r="BA3141" s="117"/>
      <c r="BB3141" s="117"/>
      <c r="BC3141" s="117"/>
      <c r="BD3141" s="117"/>
    </row>
    <row r="3142" spans="1:56" ht="15">
      <c r="A3142" s="114"/>
      <c r="B3142" s="753" t="s">
        <v>2023</v>
      </c>
      <c r="C3142" s="754">
        <v>1</v>
      </c>
      <c r="D3142" s="755">
        <v>0.2</v>
      </c>
      <c r="E3142" s="756">
        <v>0.7</v>
      </c>
      <c r="F3142" s="756">
        <v>4</v>
      </c>
      <c r="G3142" s="828">
        <f t="shared" si="325"/>
        <v>0.55999999999999994</v>
      </c>
      <c r="H3142" s="828">
        <f t="shared" si="326"/>
        <v>6.3999999999999995</v>
      </c>
      <c r="I3142" s="386"/>
      <c r="J3142" s="114"/>
      <c r="BA3142" s="117"/>
      <c r="BB3142" s="117"/>
      <c r="BC3142" s="117"/>
      <c r="BD3142" s="117"/>
    </row>
    <row r="3143" spans="1:56" ht="15">
      <c r="A3143" s="114"/>
      <c r="B3143" s="753" t="s">
        <v>2024</v>
      </c>
      <c r="C3143" s="754">
        <v>2</v>
      </c>
      <c r="D3143" s="755">
        <v>0.2</v>
      </c>
      <c r="E3143" s="756">
        <v>0.2</v>
      </c>
      <c r="F3143" s="756">
        <v>0.6</v>
      </c>
      <c r="G3143" s="828">
        <f t="shared" si="325"/>
        <v>4.8000000000000008E-2</v>
      </c>
      <c r="H3143" s="828">
        <f t="shared" si="326"/>
        <v>0.72000000000000008</v>
      </c>
      <c r="I3143" s="386"/>
      <c r="J3143" s="114"/>
      <c r="BA3143" s="117"/>
      <c r="BB3143" s="117"/>
      <c r="BC3143" s="117"/>
      <c r="BD3143" s="117"/>
    </row>
    <row r="3144" spans="1:56" ht="15">
      <c r="A3144" s="114"/>
      <c r="B3144" s="753" t="s">
        <v>2025</v>
      </c>
      <c r="C3144" s="754">
        <v>1</v>
      </c>
      <c r="D3144" s="755">
        <v>0.2</v>
      </c>
      <c r="E3144" s="756">
        <v>0.9</v>
      </c>
      <c r="F3144" s="756">
        <v>6.2</v>
      </c>
      <c r="G3144" s="828">
        <f t="shared" si="325"/>
        <v>1.1160000000000001</v>
      </c>
      <c r="H3144" s="828">
        <f t="shared" si="326"/>
        <v>12.4</v>
      </c>
      <c r="I3144" s="386"/>
      <c r="J3144" s="114"/>
      <c r="BA3144" s="117"/>
      <c r="BB3144" s="117"/>
      <c r="BC3144" s="117"/>
      <c r="BD3144" s="117"/>
    </row>
    <row r="3145" spans="1:56" ht="15">
      <c r="A3145" s="114"/>
      <c r="B3145" s="753" t="s">
        <v>2026</v>
      </c>
      <c r="C3145" s="754">
        <v>1</v>
      </c>
      <c r="D3145" s="755">
        <v>0.2</v>
      </c>
      <c r="E3145" s="756">
        <v>0.9</v>
      </c>
      <c r="F3145" s="756">
        <v>16.54</v>
      </c>
      <c r="G3145" s="828">
        <f t="shared" si="325"/>
        <v>2.9772000000000003</v>
      </c>
      <c r="H3145" s="828">
        <f t="shared" si="326"/>
        <v>33.08</v>
      </c>
      <c r="I3145" s="386"/>
      <c r="J3145" s="114"/>
      <c r="BA3145" s="117"/>
      <c r="BB3145" s="117"/>
      <c r="BC3145" s="117"/>
      <c r="BD3145" s="117"/>
    </row>
    <row r="3146" spans="1:56" ht="15">
      <c r="A3146" s="114"/>
      <c r="B3146" s="753" t="s">
        <v>2027</v>
      </c>
      <c r="C3146" s="754">
        <v>1</v>
      </c>
      <c r="D3146" s="755">
        <v>0.2</v>
      </c>
      <c r="E3146" s="756">
        <v>0.7</v>
      </c>
      <c r="F3146" s="756">
        <f>4.56+3.56+6.225</f>
        <v>14.344999999999999</v>
      </c>
      <c r="G3146" s="828">
        <f t="shared" si="325"/>
        <v>2.0082999999999998</v>
      </c>
      <c r="H3146" s="828">
        <f t="shared" si="326"/>
        <v>22.951999999999995</v>
      </c>
      <c r="I3146" s="386"/>
      <c r="J3146" s="114"/>
      <c r="BA3146" s="117"/>
      <c r="BB3146" s="117"/>
      <c r="BC3146" s="117"/>
      <c r="BD3146" s="117"/>
    </row>
    <row r="3147" spans="1:56" ht="15">
      <c r="A3147" s="114"/>
      <c r="B3147" s="753" t="s">
        <v>2028</v>
      </c>
      <c r="C3147" s="754">
        <v>1</v>
      </c>
      <c r="D3147" s="755">
        <v>0.2</v>
      </c>
      <c r="E3147" s="756">
        <v>0.7</v>
      </c>
      <c r="F3147" s="756">
        <f>4.56+3.56+6.225</f>
        <v>14.344999999999999</v>
      </c>
      <c r="G3147" s="828">
        <f t="shared" si="325"/>
        <v>2.0082999999999998</v>
      </c>
      <c r="H3147" s="828">
        <f t="shared" si="326"/>
        <v>22.951999999999995</v>
      </c>
      <c r="I3147" s="386"/>
      <c r="J3147" s="114"/>
      <c r="BA3147" s="117"/>
      <c r="BB3147" s="117"/>
      <c r="BC3147" s="117"/>
      <c r="BD3147" s="117"/>
    </row>
    <row r="3148" spans="1:56" ht="15">
      <c r="A3148" s="114"/>
      <c r="B3148" s="753" t="s">
        <v>2029</v>
      </c>
      <c r="C3148" s="754">
        <v>1</v>
      </c>
      <c r="D3148" s="755">
        <v>0.2</v>
      </c>
      <c r="E3148" s="756">
        <v>0.9</v>
      </c>
      <c r="F3148" s="756">
        <v>16.54</v>
      </c>
      <c r="G3148" s="828">
        <f t="shared" si="325"/>
        <v>2.9772000000000003</v>
      </c>
      <c r="H3148" s="828">
        <f t="shared" si="326"/>
        <v>33.08</v>
      </c>
      <c r="I3148" s="386"/>
      <c r="J3148" s="114"/>
      <c r="BA3148" s="117"/>
      <c r="BB3148" s="117"/>
      <c r="BC3148" s="117"/>
      <c r="BD3148" s="117"/>
    </row>
    <row r="3149" spans="1:56" ht="15">
      <c r="A3149" s="114"/>
      <c r="B3149" s="114"/>
      <c r="C3149" s="114"/>
      <c r="D3149" s="114"/>
      <c r="E3149" s="114"/>
      <c r="F3149" s="758" t="s">
        <v>76</v>
      </c>
      <c r="G3149" s="228">
        <f>SUM(G3135:G3148)</f>
        <v>14.281000000000001</v>
      </c>
      <c r="H3149" s="228">
        <f>SUM(H3135:H3148)</f>
        <v>161.88399999999996</v>
      </c>
      <c r="I3149" s="386"/>
      <c r="J3149" s="114"/>
      <c r="BA3149" s="117"/>
      <c r="BB3149" s="117"/>
      <c r="BC3149" s="117"/>
      <c r="BD3149" s="117"/>
    </row>
    <row r="3150" spans="1:56" ht="15">
      <c r="A3150" s="114"/>
      <c r="B3150" s="114"/>
      <c r="C3150" s="114"/>
      <c r="D3150" s="114"/>
      <c r="E3150" s="114"/>
      <c r="F3150" s="114"/>
      <c r="G3150" s="114"/>
      <c r="H3150" s="114"/>
      <c r="I3150" s="386"/>
      <c r="J3150" s="114"/>
      <c r="BA3150" s="117"/>
      <c r="BB3150" s="117"/>
      <c r="BC3150" s="117"/>
      <c r="BD3150" s="117"/>
    </row>
    <row r="3151" spans="1:56" ht="15">
      <c r="A3151" s="114"/>
      <c r="B3151" s="750" t="s">
        <v>96</v>
      </c>
      <c r="C3151" s="751" t="s">
        <v>61</v>
      </c>
      <c r="D3151" s="751" t="s">
        <v>82</v>
      </c>
      <c r="E3151" s="751" t="s">
        <v>66</v>
      </c>
      <c r="F3151" s="751" t="s">
        <v>62</v>
      </c>
      <c r="G3151" s="802" t="s">
        <v>99</v>
      </c>
      <c r="H3151" s="802" t="s">
        <v>68</v>
      </c>
      <c r="I3151" s="386"/>
      <c r="J3151" s="114"/>
      <c r="BA3151" s="117"/>
      <c r="BB3151" s="117"/>
      <c r="BC3151" s="117"/>
      <c r="BD3151" s="117"/>
    </row>
    <row r="3152" spans="1:56" ht="15">
      <c r="A3152" s="114"/>
      <c r="B3152" s="753" t="s">
        <v>2030</v>
      </c>
      <c r="C3152" s="754">
        <v>1</v>
      </c>
      <c r="D3152" s="755">
        <v>0.2</v>
      </c>
      <c r="E3152" s="756">
        <v>0.3</v>
      </c>
      <c r="F3152" s="756">
        <v>3.9</v>
      </c>
      <c r="G3152" s="828">
        <f t="shared" ref="G3152:G3159" si="327">D3152*E3152*F3152*C3152</f>
        <v>0.23399999999999999</v>
      </c>
      <c r="H3152" s="828">
        <f t="shared" ref="H3152:H3159" si="328">(D3152+E3152)*2*F3152*C3152</f>
        <v>3.9</v>
      </c>
      <c r="I3152" s="386"/>
      <c r="J3152" s="114"/>
      <c r="BA3152" s="117"/>
      <c r="BB3152" s="117"/>
      <c r="BC3152" s="117"/>
      <c r="BD3152" s="117"/>
    </row>
    <row r="3153" spans="1:56" ht="15">
      <c r="A3153" s="114"/>
      <c r="B3153" s="753" t="s">
        <v>2031</v>
      </c>
      <c r="C3153" s="754">
        <v>1</v>
      </c>
      <c r="D3153" s="755">
        <v>0.2</v>
      </c>
      <c r="E3153" s="756">
        <v>0.3</v>
      </c>
      <c r="F3153" s="756">
        <v>3.9</v>
      </c>
      <c r="G3153" s="828">
        <f t="shared" si="327"/>
        <v>0.23399999999999999</v>
      </c>
      <c r="H3153" s="828">
        <f t="shared" si="328"/>
        <v>3.9</v>
      </c>
      <c r="I3153" s="386"/>
      <c r="J3153" s="114"/>
      <c r="BA3153" s="117"/>
      <c r="BB3153" s="117"/>
      <c r="BC3153" s="117"/>
      <c r="BD3153" s="117"/>
    </row>
    <row r="3154" spans="1:56" ht="15">
      <c r="A3154" s="114"/>
      <c r="B3154" s="753" t="s">
        <v>2032</v>
      </c>
      <c r="C3154" s="754">
        <v>1</v>
      </c>
      <c r="D3154" s="755">
        <v>0.2</v>
      </c>
      <c r="E3154" s="756">
        <v>0.3</v>
      </c>
      <c r="F3154" s="756">
        <v>3.9</v>
      </c>
      <c r="G3154" s="828">
        <f t="shared" si="327"/>
        <v>0.23399999999999999</v>
      </c>
      <c r="H3154" s="828">
        <f t="shared" si="328"/>
        <v>3.9</v>
      </c>
      <c r="I3154" s="386"/>
      <c r="J3154" s="114"/>
      <c r="BA3154" s="117"/>
      <c r="BB3154" s="117"/>
      <c r="BC3154" s="117"/>
      <c r="BD3154" s="117"/>
    </row>
    <row r="3155" spans="1:56" ht="15">
      <c r="A3155" s="114"/>
      <c r="B3155" s="753" t="s">
        <v>2033</v>
      </c>
      <c r="C3155" s="754">
        <v>1</v>
      </c>
      <c r="D3155" s="755">
        <v>0.2</v>
      </c>
      <c r="E3155" s="756">
        <v>0.3</v>
      </c>
      <c r="F3155" s="756">
        <v>3.9</v>
      </c>
      <c r="G3155" s="828">
        <f t="shared" si="327"/>
        <v>0.23399999999999999</v>
      </c>
      <c r="H3155" s="828">
        <f t="shared" si="328"/>
        <v>3.9</v>
      </c>
      <c r="I3155" s="386"/>
      <c r="J3155" s="114"/>
      <c r="BA3155" s="117"/>
      <c r="BB3155" s="117"/>
      <c r="BC3155" s="117"/>
      <c r="BD3155" s="117"/>
    </row>
    <row r="3156" spans="1:56" ht="15">
      <c r="A3156" s="114"/>
      <c r="B3156" s="753" t="s">
        <v>2034</v>
      </c>
      <c r="C3156" s="754">
        <v>1</v>
      </c>
      <c r="D3156" s="755">
        <v>0.2</v>
      </c>
      <c r="E3156" s="756">
        <v>0.3</v>
      </c>
      <c r="F3156" s="756">
        <v>3.9</v>
      </c>
      <c r="G3156" s="828">
        <f t="shared" si="327"/>
        <v>0.23399999999999999</v>
      </c>
      <c r="H3156" s="828">
        <f t="shared" si="328"/>
        <v>3.9</v>
      </c>
      <c r="I3156" s="386"/>
      <c r="J3156" s="114"/>
      <c r="BA3156" s="117"/>
      <c r="BB3156" s="117"/>
      <c r="BC3156" s="117"/>
      <c r="BD3156" s="117"/>
    </row>
    <row r="3157" spans="1:56" ht="15">
      <c r="A3157" s="114"/>
      <c r="B3157" s="753" t="s">
        <v>2035</v>
      </c>
      <c r="C3157" s="754">
        <v>1</v>
      </c>
      <c r="D3157" s="755">
        <v>0.2</v>
      </c>
      <c r="E3157" s="756">
        <v>0.3</v>
      </c>
      <c r="F3157" s="756">
        <v>3.9</v>
      </c>
      <c r="G3157" s="828">
        <f t="shared" si="327"/>
        <v>0.23399999999999999</v>
      </c>
      <c r="H3157" s="828">
        <f t="shared" si="328"/>
        <v>3.9</v>
      </c>
      <c r="I3157" s="386"/>
      <c r="J3157" s="114"/>
      <c r="BA3157" s="117"/>
      <c r="BB3157" s="117"/>
      <c r="BC3157" s="117"/>
      <c r="BD3157" s="117"/>
    </row>
    <row r="3158" spans="1:56" ht="15">
      <c r="A3158" s="114"/>
      <c r="B3158" s="753" t="s">
        <v>2036</v>
      </c>
      <c r="C3158" s="754">
        <v>1</v>
      </c>
      <c r="D3158" s="755">
        <v>0.2</v>
      </c>
      <c r="E3158" s="756">
        <v>0.3</v>
      </c>
      <c r="F3158" s="756">
        <v>3.9</v>
      </c>
      <c r="G3158" s="828">
        <f t="shared" si="327"/>
        <v>0.23399999999999999</v>
      </c>
      <c r="H3158" s="828">
        <f t="shared" si="328"/>
        <v>3.9</v>
      </c>
      <c r="I3158" s="386"/>
      <c r="J3158" s="114"/>
      <c r="BA3158" s="117"/>
      <c r="BB3158" s="117"/>
      <c r="BC3158" s="117"/>
      <c r="BD3158" s="117"/>
    </row>
    <row r="3159" spans="1:56" ht="15">
      <c r="A3159" s="114"/>
      <c r="B3159" s="753" t="s">
        <v>2037</v>
      </c>
      <c r="C3159" s="754">
        <v>1</v>
      </c>
      <c r="D3159" s="755">
        <v>0.2</v>
      </c>
      <c r="E3159" s="756">
        <v>0.3</v>
      </c>
      <c r="F3159" s="756">
        <v>3.9</v>
      </c>
      <c r="G3159" s="828">
        <f t="shared" si="327"/>
        <v>0.23399999999999999</v>
      </c>
      <c r="H3159" s="828">
        <f t="shared" si="328"/>
        <v>3.9</v>
      </c>
      <c r="I3159" s="386"/>
      <c r="J3159" s="114"/>
      <c r="BA3159" s="117"/>
      <c r="BB3159" s="117"/>
      <c r="BC3159" s="117"/>
      <c r="BD3159" s="117"/>
    </row>
    <row r="3160" spans="1:56" ht="15">
      <c r="A3160" s="114"/>
      <c r="B3160" s="114"/>
      <c r="C3160" s="114"/>
      <c r="D3160" s="114"/>
      <c r="E3160" s="114"/>
      <c r="F3160" s="758" t="s">
        <v>76</v>
      </c>
      <c r="G3160" s="228">
        <f>SUM(G3152:G3159)</f>
        <v>1.8719999999999999</v>
      </c>
      <c r="H3160" s="228">
        <f>SUM(H3152:H3159)</f>
        <v>31.199999999999996</v>
      </c>
      <c r="I3160" s="386"/>
      <c r="J3160" s="114"/>
      <c r="BA3160" s="117"/>
      <c r="BB3160" s="117"/>
      <c r="BC3160" s="117"/>
      <c r="BD3160" s="117"/>
    </row>
    <row r="3161" spans="1:56">
      <c r="A3161" s="114"/>
      <c r="B3161" s="264"/>
      <c r="C3161" s="115"/>
      <c r="D3161" s="115"/>
      <c r="E3161" s="115"/>
      <c r="F3161" s="748"/>
      <c r="G3161" s="257"/>
      <c r="H3161" s="257"/>
      <c r="I3161" s="386"/>
      <c r="J3161" s="114"/>
      <c r="BA3161" s="117"/>
      <c r="BB3161" s="117"/>
      <c r="BC3161" s="117"/>
      <c r="BD3161" s="117"/>
    </row>
    <row r="3162" spans="1:56" ht="15">
      <c r="A3162" s="114"/>
      <c r="B3162" s="750" t="s">
        <v>394</v>
      </c>
      <c r="C3162" s="751" t="s">
        <v>61</v>
      </c>
      <c r="D3162" s="751"/>
      <c r="E3162" s="751" t="s">
        <v>395</v>
      </c>
      <c r="F3162" s="751" t="s">
        <v>66</v>
      </c>
      <c r="G3162" s="802" t="s">
        <v>99</v>
      </c>
      <c r="H3162" s="802" t="s">
        <v>2038</v>
      </c>
      <c r="I3162" s="114"/>
      <c r="J3162" s="114"/>
      <c r="BA3162" s="117"/>
      <c r="BB3162" s="117"/>
      <c r="BC3162" s="117"/>
      <c r="BD3162" s="117"/>
    </row>
    <row r="3163" spans="1:56" ht="15">
      <c r="A3163" s="114"/>
      <c r="B3163" s="838" t="s">
        <v>307</v>
      </c>
      <c r="C3163" s="754">
        <v>1</v>
      </c>
      <c r="D3163" s="755"/>
      <c r="E3163" s="756">
        <v>26.5</v>
      </c>
      <c r="F3163" s="756">
        <v>0.08</v>
      </c>
      <c r="G3163" s="828">
        <f>C3163*E3163*F3163</f>
        <v>2.12</v>
      </c>
      <c r="H3163" s="828">
        <f>C3163*E3163*0.05</f>
        <v>1.3250000000000002</v>
      </c>
      <c r="I3163" s="114"/>
      <c r="J3163" s="114"/>
      <c r="BA3163" s="117"/>
      <c r="BB3163" s="117"/>
      <c r="BC3163" s="117"/>
      <c r="BD3163" s="117"/>
    </row>
    <row r="3164" spans="1:56" ht="15">
      <c r="A3164" s="114"/>
      <c r="B3164" s="839"/>
      <c r="C3164" s="754">
        <v>1</v>
      </c>
      <c r="D3164" s="755"/>
      <c r="E3164" s="756">
        <v>15.1</v>
      </c>
      <c r="F3164" s="756">
        <v>0.08</v>
      </c>
      <c r="G3164" s="828">
        <f t="shared" ref="G3164:G3166" si="329">C3164*E3164*F3164</f>
        <v>1.208</v>
      </c>
      <c r="H3164" s="828">
        <f t="shared" ref="H3164:H3166" si="330">C3164*E3164*0.05</f>
        <v>0.755</v>
      </c>
      <c r="I3164" s="114"/>
      <c r="J3164" s="114"/>
      <c r="BA3164" s="117"/>
      <c r="BB3164" s="117"/>
      <c r="BC3164" s="117"/>
      <c r="BD3164" s="117"/>
    </row>
    <row r="3165" spans="1:56" ht="15">
      <c r="A3165" s="114"/>
      <c r="B3165" s="839"/>
      <c r="C3165" s="754">
        <v>1</v>
      </c>
      <c r="D3165" s="755"/>
      <c r="E3165" s="756">
        <v>15.7</v>
      </c>
      <c r="F3165" s="756">
        <v>0.08</v>
      </c>
      <c r="G3165" s="828">
        <f t="shared" si="329"/>
        <v>1.256</v>
      </c>
      <c r="H3165" s="828">
        <f t="shared" si="330"/>
        <v>0.78500000000000003</v>
      </c>
      <c r="I3165" s="114"/>
      <c r="J3165" s="114"/>
      <c r="BA3165" s="117"/>
      <c r="BB3165" s="117"/>
      <c r="BC3165" s="117"/>
      <c r="BD3165" s="117"/>
    </row>
    <row r="3166" spans="1:56" ht="15">
      <c r="A3166" s="114"/>
      <c r="B3166" s="840"/>
      <c r="C3166" s="754">
        <v>1</v>
      </c>
      <c r="D3166" s="755"/>
      <c r="E3166" s="756">
        <v>2.6</v>
      </c>
      <c r="F3166" s="756">
        <v>0.08</v>
      </c>
      <c r="G3166" s="828">
        <f t="shared" si="329"/>
        <v>0.20800000000000002</v>
      </c>
      <c r="H3166" s="828">
        <f t="shared" si="330"/>
        <v>0.13</v>
      </c>
      <c r="I3166" s="114"/>
      <c r="J3166" s="114"/>
      <c r="BA3166" s="117"/>
      <c r="BB3166" s="117"/>
      <c r="BC3166" s="117"/>
      <c r="BD3166" s="117"/>
    </row>
    <row r="3167" spans="1:56" ht="15">
      <c r="A3167" s="114"/>
      <c r="B3167" s="114"/>
      <c r="C3167" s="114"/>
      <c r="D3167" s="114"/>
      <c r="E3167" s="114"/>
      <c r="F3167" s="758" t="s">
        <v>76</v>
      </c>
      <c r="G3167" s="228">
        <f>SUM(G3163:G3166)</f>
        <v>4.7920000000000007</v>
      </c>
      <c r="H3167" s="228">
        <f>SUM(H3163:H3166)</f>
        <v>2.9950000000000001</v>
      </c>
      <c r="I3167" s="114"/>
      <c r="J3167" s="114"/>
      <c r="BA3167" s="117"/>
      <c r="BB3167" s="117"/>
      <c r="BC3167" s="117"/>
      <c r="BD3167" s="117"/>
    </row>
    <row r="3168" spans="1:56" ht="15">
      <c r="A3168" s="114"/>
      <c r="B3168" s="114"/>
      <c r="C3168" s="114"/>
      <c r="D3168" s="114"/>
      <c r="E3168" s="114"/>
      <c r="F3168" s="114"/>
      <c r="G3168" s="114"/>
      <c r="H3168" s="114"/>
      <c r="I3168" s="386"/>
      <c r="J3168" s="114"/>
      <c r="BA3168" s="117"/>
      <c r="BB3168" s="117"/>
      <c r="BC3168" s="117"/>
      <c r="BD3168" s="117"/>
    </row>
    <row r="3169" spans="1:56" ht="16.5" thickBot="1">
      <c r="A3169" s="114"/>
      <c r="B3169" s="115"/>
      <c r="C3169" s="115"/>
      <c r="D3169" s="115"/>
      <c r="E3169" s="115"/>
      <c r="F3169" s="115"/>
      <c r="G3169" s="115"/>
      <c r="H3169" s="115"/>
      <c r="I3169" s="386"/>
      <c r="J3169" s="114"/>
      <c r="BA3169" s="117"/>
      <c r="BB3169" s="117"/>
      <c r="BC3169" s="117"/>
      <c r="BD3169" s="117"/>
    </row>
    <row r="3170" spans="1:56">
      <c r="A3170" s="114"/>
      <c r="B3170" s="1286" t="s">
        <v>98</v>
      </c>
      <c r="C3170" s="1286"/>
      <c r="D3170" s="1286"/>
      <c r="E3170" s="1286"/>
      <c r="F3170" s="1287"/>
      <c r="G3170" s="115"/>
      <c r="H3170" s="115"/>
      <c r="I3170" s="386"/>
      <c r="J3170" s="114"/>
      <c r="BA3170" s="117"/>
      <c r="BB3170" s="117"/>
      <c r="BC3170" s="117"/>
      <c r="BD3170" s="117"/>
    </row>
    <row r="3171" spans="1:56">
      <c r="A3171" s="114"/>
      <c r="B3171" s="545"/>
      <c r="C3171" s="115"/>
      <c r="D3171" s="115"/>
      <c r="E3171" s="115"/>
      <c r="F3171" s="182"/>
      <c r="G3171" s="115"/>
      <c r="H3171" s="115"/>
      <c r="I3171" s="386"/>
      <c r="J3171" s="114"/>
      <c r="BA3171" s="117"/>
      <c r="BB3171" s="117"/>
      <c r="BC3171" s="117"/>
      <c r="BD3171" s="117"/>
    </row>
    <row r="3172" spans="1:56">
      <c r="A3172" s="114"/>
      <c r="B3172" s="841" t="s">
        <v>315</v>
      </c>
      <c r="C3172" s="812"/>
      <c r="D3172" s="813"/>
      <c r="E3172" s="842">
        <f>SUM(H3132,H3149,H3160)</f>
        <v>279.53199999999998</v>
      </c>
      <c r="F3172" s="815" t="s">
        <v>13</v>
      </c>
      <c r="G3172" s="115"/>
      <c r="H3172" s="115"/>
      <c r="I3172" s="386"/>
      <c r="J3172" s="114"/>
      <c r="BA3172" s="117"/>
      <c r="BB3172" s="117"/>
      <c r="BC3172" s="117"/>
      <c r="BD3172" s="117"/>
    </row>
    <row r="3173" spans="1:56">
      <c r="A3173" s="114"/>
      <c r="B3173" s="841" t="s">
        <v>316</v>
      </c>
      <c r="C3173" s="812"/>
      <c r="D3173" s="813"/>
      <c r="E3173" s="843">
        <f>SUM(G3132,G3149,G3160,G3167)</f>
        <v>31.318760000000001</v>
      </c>
      <c r="F3173" s="815" t="s">
        <v>100</v>
      </c>
      <c r="G3173" s="115"/>
      <c r="H3173" s="115"/>
      <c r="I3173" s="386"/>
      <c r="J3173" s="114"/>
      <c r="BA3173" s="117"/>
      <c r="BB3173" s="117"/>
      <c r="BC3173" s="117"/>
      <c r="BD3173" s="117"/>
    </row>
    <row r="3174" spans="1:56">
      <c r="A3174" s="114"/>
      <c r="B3174" s="841" t="s">
        <v>317</v>
      </c>
      <c r="C3174" s="812"/>
      <c r="D3174" s="813"/>
      <c r="E3174" s="843">
        <f>H3167</f>
        <v>2.9950000000000001</v>
      </c>
      <c r="F3174" s="815" t="s">
        <v>100</v>
      </c>
      <c r="G3174" s="115"/>
      <c r="H3174" s="115"/>
      <c r="I3174" s="386"/>
      <c r="J3174" s="114"/>
      <c r="BA3174" s="117"/>
      <c r="BB3174" s="117"/>
      <c r="BC3174" s="117"/>
      <c r="BD3174" s="117"/>
    </row>
    <row r="3175" spans="1:56" ht="16.5" thickBot="1">
      <c r="A3175" s="114"/>
      <c r="B3175" s="844" t="s">
        <v>2039</v>
      </c>
      <c r="C3175" s="817"/>
      <c r="D3175" s="818"/>
      <c r="E3175" s="1044">
        <f>21+15.6+17.4+6.6</f>
        <v>60.6</v>
      </c>
      <c r="F3175" s="820" t="s">
        <v>10</v>
      </c>
      <c r="G3175" s="115"/>
      <c r="H3175" s="115"/>
      <c r="I3175" s="386"/>
      <c r="J3175" s="114"/>
      <c r="BA3175" s="117"/>
      <c r="BB3175" s="117"/>
      <c r="BC3175" s="117"/>
      <c r="BD3175" s="117"/>
    </row>
    <row r="3176" spans="1:56">
      <c r="A3176" s="114"/>
      <c r="B3176" s="115"/>
      <c r="C3176" s="115"/>
      <c r="D3176" s="115"/>
      <c r="E3176" s="115"/>
      <c r="F3176" s="115"/>
      <c r="G3176" s="115"/>
      <c r="H3176" s="115"/>
      <c r="I3176" s="115"/>
      <c r="J3176" s="114"/>
      <c r="BA3176" s="117"/>
      <c r="BB3176" s="117"/>
      <c r="BC3176" s="117"/>
      <c r="BD3176" s="117"/>
    </row>
    <row r="3177" spans="1:56" ht="16.5" thickBot="1">
      <c r="A3177" s="114"/>
      <c r="B3177" s="115"/>
      <c r="C3177" s="115"/>
      <c r="D3177" s="115"/>
      <c r="E3177" s="115"/>
      <c r="F3177" s="115"/>
      <c r="G3177" s="115"/>
      <c r="H3177" s="115"/>
      <c r="I3177" s="115"/>
      <c r="J3177" s="114"/>
      <c r="BA3177" s="117"/>
      <c r="BB3177" s="117"/>
      <c r="BC3177" s="117"/>
      <c r="BD3177" s="117"/>
    </row>
    <row r="3178" spans="1:56">
      <c r="A3178" s="114"/>
      <c r="B3178" s="1285" t="s">
        <v>320</v>
      </c>
      <c r="C3178" s="1286"/>
      <c r="D3178" s="1286"/>
      <c r="E3178" s="1286"/>
      <c r="F3178" s="1287"/>
      <c r="G3178" s="115"/>
      <c r="H3178" s="115"/>
      <c r="I3178" s="386"/>
      <c r="J3178" s="114"/>
      <c r="BA3178" s="117"/>
      <c r="BB3178" s="117"/>
      <c r="BC3178" s="117"/>
      <c r="BD3178" s="117"/>
    </row>
    <row r="3179" spans="1:56">
      <c r="A3179" s="114"/>
      <c r="B3179" s="690"/>
      <c r="C3179" s="115"/>
      <c r="D3179" s="115"/>
      <c r="E3179" s="115"/>
      <c r="F3179" s="182"/>
      <c r="G3179" s="115"/>
      <c r="H3179" s="115"/>
      <c r="I3179" s="386"/>
      <c r="J3179" s="114"/>
      <c r="BA3179" s="117"/>
      <c r="BB3179" s="117"/>
      <c r="BC3179" s="117"/>
      <c r="BD3179" s="117"/>
    </row>
    <row r="3180" spans="1:56" ht="15">
      <c r="A3180" s="114"/>
      <c r="B3180" s="691" t="s">
        <v>2040</v>
      </c>
      <c r="C3180" s="196"/>
      <c r="D3180" s="196"/>
      <c r="E3180" s="196"/>
      <c r="F3180" s="284"/>
      <c r="G3180" s="196"/>
      <c r="H3180" s="196"/>
      <c r="I3180" s="196"/>
      <c r="J3180" s="114"/>
      <c r="BA3180" s="117"/>
      <c r="BB3180" s="117"/>
      <c r="BC3180" s="117"/>
      <c r="BD3180" s="117"/>
    </row>
    <row r="3181" spans="1:56" ht="15">
      <c r="A3181" s="114"/>
      <c r="B3181" s="730" t="s">
        <v>353</v>
      </c>
      <c r="C3181" s="359">
        <v>104</v>
      </c>
      <c r="D3181" s="390" t="s">
        <v>12</v>
      </c>
      <c r="E3181" s="1199" t="s">
        <v>2144</v>
      </c>
      <c r="F3181" s="1200"/>
      <c r="G3181" s="196"/>
      <c r="H3181" s="196"/>
      <c r="I3181" s="196"/>
      <c r="J3181" s="114"/>
      <c r="BA3181" s="117"/>
      <c r="BB3181" s="117"/>
      <c r="BC3181" s="117"/>
      <c r="BD3181" s="117"/>
    </row>
    <row r="3182" spans="1:56" ht="15">
      <c r="A3182" s="114"/>
      <c r="B3182" s="731"/>
      <c r="C3182" s="1045">
        <v>139</v>
      </c>
      <c r="D3182" s="390" t="s">
        <v>12</v>
      </c>
      <c r="E3182" s="1216"/>
      <c r="F3182" s="1217"/>
      <c r="G3182" s="196"/>
      <c r="H3182" s="196"/>
      <c r="I3182" s="196"/>
      <c r="J3182" s="114"/>
      <c r="BA3182" s="117"/>
      <c r="BB3182" s="117"/>
      <c r="BC3182" s="117"/>
      <c r="BD3182" s="117"/>
    </row>
    <row r="3183" spans="1:56" ht="15">
      <c r="A3183" s="114"/>
      <c r="B3183" s="732"/>
      <c r="C3183" s="1045">
        <v>72</v>
      </c>
      <c r="D3183" s="390" t="s">
        <v>12</v>
      </c>
      <c r="E3183" s="1216"/>
      <c r="F3183" s="1217"/>
      <c r="G3183" s="196"/>
      <c r="H3183" s="196"/>
      <c r="I3183" s="196"/>
      <c r="J3183" s="114"/>
      <c r="BA3183" s="117"/>
      <c r="BB3183" s="117"/>
      <c r="BC3183" s="117"/>
      <c r="BD3183" s="117"/>
    </row>
    <row r="3184" spans="1:56" ht="15">
      <c r="A3184" s="114"/>
      <c r="B3184" s="977" t="s">
        <v>352</v>
      </c>
      <c r="C3184" s="1007">
        <v>855</v>
      </c>
      <c r="D3184" s="390" t="s">
        <v>12</v>
      </c>
      <c r="E3184" s="1216"/>
      <c r="F3184" s="1217"/>
      <c r="G3184" s="196"/>
      <c r="H3184" s="196"/>
      <c r="I3184" s="196"/>
      <c r="J3184" s="114"/>
      <c r="BA3184" s="117"/>
      <c r="BB3184" s="117"/>
      <c r="BC3184" s="117"/>
      <c r="BD3184" s="117"/>
    </row>
    <row r="3185" spans="1:56" ht="15">
      <c r="A3185" s="114"/>
      <c r="B3185" s="978"/>
      <c r="C3185" s="1007">
        <v>6</v>
      </c>
      <c r="D3185" s="390" t="s">
        <v>12</v>
      </c>
      <c r="E3185" s="1201"/>
      <c r="F3185" s="1202"/>
      <c r="G3185" s="196"/>
      <c r="H3185" s="196"/>
      <c r="I3185" s="196"/>
      <c r="J3185" s="114"/>
      <c r="BA3185" s="117"/>
      <c r="BB3185" s="117"/>
      <c r="BC3185" s="117"/>
      <c r="BD3185" s="117"/>
    </row>
    <row r="3186" spans="1:56">
      <c r="A3186" s="114"/>
      <c r="B3186" s="690"/>
      <c r="C3186" s="115"/>
      <c r="D3186" s="115"/>
      <c r="E3186" s="115"/>
      <c r="F3186" s="182"/>
      <c r="G3186" s="115"/>
      <c r="H3186" s="115"/>
      <c r="I3186" s="386"/>
      <c r="J3186" s="114"/>
      <c r="BA3186" s="117"/>
      <c r="BB3186" s="117"/>
      <c r="BC3186" s="117"/>
      <c r="BD3186" s="117"/>
    </row>
    <row r="3187" spans="1:56" ht="15">
      <c r="A3187" s="114"/>
      <c r="B3187" s="691" t="s">
        <v>2041</v>
      </c>
      <c r="C3187" s="196"/>
      <c r="D3187" s="196"/>
      <c r="E3187" s="196"/>
      <c r="F3187" s="284"/>
      <c r="G3187" s="196"/>
      <c r="H3187" s="196"/>
      <c r="I3187" s="196"/>
      <c r="J3187" s="114"/>
      <c r="BA3187" s="117"/>
      <c r="BB3187" s="117"/>
      <c r="BC3187" s="117"/>
      <c r="BD3187" s="117"/>
    </row>
    <row r="3188" spans="1:56" ht="15">
      <c r="A3188" s="114"/>
      <c r="B3188" s="692" t="s">
        <v>353</v>
      </c>
      <c r="C3188" s="280">
        <v>7</v>
      </c>
      <c r="D3188" s="286" t="s">
        <v>12</v>
      </c>
      <c r="E3188" s="1199" t="s">
        <v>2145</v>
      </c>
      <c r="F3188" s="1200"/>
      <c r="G3188" s="196"/>
      <c r="H3188" s="196"/>
      <c r="I3188" s="196"/>
      <c r="J3188" s="114"/>
      <c r="BA3188" s="117"/>
      <c r="BB3188" s="117"/>
      <c r="BC3188" s="117"/>
      <c r="BD3188" s="117"/>
    </row>
    <row r="3189" spans="1:56" ht="15">
      <c r="A3189" s="114"/>
      <c r="B3189" s="692" t="s">
        <v>352</v>
      </c>
      <c r="C3189" s="280">
        <v>763</v>
      </c>
      <c r="D3189" s="286" t="s">
        <v>12</v>
      </c>
      <c r="E3189" s="1201"/>
      <c r="F3189" s="1202"/>
      <c r="G3189" s="196"/>
      <c r="H3189" s="196"/>
      <c r="I3189" s="196"/>
      <c r="J3189" s="114"/>
      <c r="BA3189" s="117"/>
      <c r="BB3189" s="117"/>
      <c r="BC3189" s="117"/>
      <c r="BD3189" s="117"/>
    </row>
    <row r="3190" spans="1:56" ht="15">
      <c r="A3190" s="114"/>
      <c r="B3190" s="694"/>
      <c r="C3190" s="211"/>
      <c r="D3190" s="196"/>
      <c r="E3190" s="288"/>
      <c r="F3190" s="284"/>
      <c r="G3190" s="196"/>
      <c r="H3190" s="196"/>
      <c r="I3190" s="196"/>
      <c r="J3190" s="114"/>
      <c r="BA3190" s="117"/>
      <c r="BB3190" s="117"/>
      <c r="BC3190" s="117"/>
      <c r="BD3190" s="117"/>
    </row>
    <row r="3191" spans="1:56" ht="15">
      <c r="A3191" s="114"/>
      <c r="B3191" s="691" t="s">
        <v>2042</v>
      </c>
      <c r="C3191" s="196"/>
      <c r="D3191" s="196"/>
      <c r="E3191" s="196"/>
      <c r="F3191" s="284"/>
      <c r="G3191" s="196"/>
      <c r="H3191" s="196"/>
      <c r="I3191" s="196"/>
      <c r="J3191" s="114"/>
      <c r="BA3191" s="117"/>
      <c r="BB3191" s="117"/>
      <c r="BC3191" s="117"/>
      <c r="BD3191" s="117"/>
    </row>
    <row r="3192" spans="1:56" ht="15">
      <c r="A3192" s="114"/>
      <c r="B3192" s="692" t="s">
        <v>353</v>
      </c>
      <c r="C3192" s="280">
        <v>6</v>
      </c>
      <c r="D3192" s="286" t="s">
        <v>12</v>
      </c>
      <c r="E3192" s="1199" t="s">
        <v>2146</v>
      </c>
      <c r="F3192" s="1200"/>
      <c r="G3192" s="196"/>
      <c r="H3192" s="196"/>
      <c r="I3192" s="196"/>
      <c r="J3192" s="114"/>
      <c r="BA3192" s="117"/>
      <c r="BB3192" s="117"/>
      <c r="BC3192" s="117"/>
      <c r="BD3192" s="117"/>
    </row>
    <row r="3193" spans="1:56" ht="15">
      <c r="A3193" s="114"/>
      <c r="B3193" s="692" t="s">
        <v>352</v>
      </c>
      <c r="C3193" s="280">
        <v>1067</v>
      </c>
      <c r="D3193" s="286" t="s">
        <v>12</v>
      </c>
      <c r="E3193" s="1201"/>
      <c r="F3193" s="1202"/>
      <c r="G3193" s="196"/>
      <c r="H3193" s="196"/>
      <c r="I3193" s="196"/>
      <c r="J3193" s="114"/>
      <c r="BA3193" s="117"/>
      <c r="BB3193" s="117"/>
      <c r="BC3193" s="117"/>
      <c r="BD3193" s="117"/>
    </row>
    <row r="3194" spans="1:56" ht="15">
      <c r="A3194" s="114"/>
      <c r="B3194" s="694"/>
      <c r="C3194" s="211"/>
      <c r="D3194" s="196"/>
      <c r="E3194" s="288"/>
      <c r="F3194" s="284"/>
      <c r="G3194" s="196"/>
      <c r="H3194" s="196"/>
      <c r="I3194" s="196"/>
      <c r="J3194" s="114"/>
      <c r="BA3194" s="117"/>
      <c r="BB3194" s="117"/>
      <c r="BC3194" s="117"/>
      <c r="BD3194" s="117"/>
    </row>
    <row r="3195" spans="1:56" ht="15">
      <c r="A3195" s="114"/>
      <c r="B3195" s="691" t="s">
        <v>351</v>
      </c>
      <c r="C3195" s="211"/>
      <c r="D3195" s="196"/>
      <c r="E3195" s="288"/>
      <c r="F3195" s="284"/>
      <c r="G3195" s="196"/>
      <c r="H3195" s="196"/>
      <c r="I3195" s="196"/>
      <c r="J3195" s="114"/>
      <c r="BA3195" s="117"/>
      <c r="BB3195" s="117"/>
      <c r="BC3195" s="117"/>
      <c r="BD3195" s="117"/>
    </row>
    <row r="3196" spans="1:56">
      <c r="A3196" s="114"/>
      <c r="B3196" s="692" t="s">
        <v>352</v>
      </c>
      <c r="C3196" s="812"/>
      <c r="D3196" s="813"/>
      <c r="E3196" s="843">
        <f>C3184+C3189+C3193+C3185</f>
        <v>2691</v>
      </c>
      <c r="F3196" s="815" t="s">
        <v>12</v>
      </c>
      <c r="G3196" s="115"/>
      <c r="H3196" s="236"/>
      <c r="I3196" s="3"/>
      <c r="J3196" s="114"/>
      <c r="BA3196" s="117"/>
      <c r="BB3196" s="117"/>
      <c r="BC3196" s="117"/>
      <c r="BD3196" s="117"/>
    </row>
    <row r="3197" spans="1:56" ht="16.5" thickBot="1">
      <c r="A3197" s="114"/>
      <c r="B3197" s="695" t="s">
        <v>353</v>
      </c>
      <c r="C3197" s="817"/>
      <c r="D3197" s="818"/>
      <c r="E3197" s="847">
        <f>C3181+C3188+C3192+C3182+C3183</f>
        <v>328</v>
      </c>
      <c r="F3197" s="820" t="s">
        <v>12</v>
      </c>
      <c r="G3197" s="115"/>
      <c r="H3197" s="236"/>
      <c r="I3197" s="3"/>
      <c r="J3197" s="114"/>
      <c r="BA3197" s="117"/>
      <c r="BB3197" s="117"/>
      <c r="BC3197" s="117"/>
      <c r="BD3197" s="117"/>
    </row>
    <row r="3198" spans="1:56" customFormat="1" ht="12.75"/>
    <row r="3199" spans="1:56" customFormat="1" ht="12.75"/>
    <row r="3200" spans="1:56" s="800" customFormat="1" ht="16.5" customHeight="1">
      <c r="A3200"/>
      <c r="B3200" s="1180" t="s">
        <v>2301</v>
      </c>
      <c r="C3200" s="1180"/>
      <c r="D3200" s="1180"/>
      <c r="E3200" s="1180"/>
      <c r="F3200" s="1180"/>
      <c r="G3200" s="1180"/>
      <c r="H3200" s="1180"/>
      <c r="I3200" s="1180"/>
      <c r="J3200" s="1180"/>
      <c r="K3200" s="848"/>
    </row>
    <row r="3201" spans="1:11" s="800" customFormat="1" ht="12.75">
      <c r="A3201"/>
      <c r="B3201" s="1"/>
      <c r="C3201" s="1"/>
      <c r="D3201" s="1"/>
      <c r="E3201" s="1"/>
      <c r="F3201" s="1"/>
      <c r="G3201" s="1"/>
      <c r="H3201" s="3"/>
      <c r="I3201" s="3"/>
      <c r="J3201" s="3"/>
      <c r="K3201" s="848"/>
    </row>
    <row r="3202" spans="1:11" s="848" customFormat="1" ht="12.75">
      <c r="A3202"/>
      <c r="B3202" s="1"/>
      <c r="C3202" s="1"/>
      <c r="D3202" s="1"/>
      <c r="E3202" s="1"/>
      <c r="F3202" s="1"/>
      <c r="G3202" s="3"/>
      <c r="H3202" s="3"/>
      <c r="I3202" s="3"/>
      <c r="J3202" s="4"/>
    </row>
    <row r="3203" spans="1:11" s="848" customFormat="1" ht="12.75">
      <c r="A3203"/>
      <c r="B3203" s="1"/>
      <c r="C3203" s="1"/>
      <c r="D3203" s="1"/>
      <c r="E3203" s="1"/>
      <c r="F3203" s="1"/>
      <c r="G3203" s="3"/>
      <c r="H3203" s="3"/>
      <c r="I3203" s="3"/>
      <c r="J3203" s="4"/>
    </row>
    <row r="3204" spans="1:11" s="800" customFormat="1" ht="14.25">
      <c r="A3204"/>
      <c r="B3204" s="849" t="s">
        <v>2043</v>
      </c>
      <c r="C3204" s="850" t="s">
        <v>61</v>
      </c>
      <c r="D3204" s="850" t="s">
        <v>66</v>
      </c>
      <c r="E3204" s="850" t="s">
        <v>2044</v>
      </c>
      <c r="F3204" s="850" t="s">
        <v>2045</v>
      </c>
      <c r="G3204" s="851" t="s">
        <v>99</v>
      </c>
      <c r="H3204" s="851" t="s">
        <v>68</v>
      </c>
      <c r="I3204" s="851" t="s">
        <v>2046</v>
      </c>
      <c r="J3204" s="848"/>
    </row>
    <row r="3205" spans="1:11" s="800" customFormat="1" ht="12.75">
      <c r="A3205"/>
      <c r="B3205" s="852" t="s">
        <v>2047</v>
      </c>
      <c r="C3205" s="853">
        <v>1</v>
      </c>
      <c r="D3205" s="175">
        <v>0.3</v>
      </c>
      <c r="E3205" s="175">
        <v>4.25</v>
      </c>
      <c r="F3205" s="854">
        <v>4.25</v>
      </c>
      <c r="G3205" s="855">
        <f>C3205*D3205*E3205*F3205</f>
        <v>5.4187499999999993</v>
      </c>
      <c r="H3205" s="855">
        <f>2*(E3205+F3205)*C3205*D3205</f>
        <v>5.0999999999999996</v>
      </c>
      <c r="I3205" s="856">
        <f>E3205*F3205*0.05</f>
        <v>0.90312500000000007</v>
      </c>
      <c r="J3205" s="848"/>
    </row>
    <row r="3206" spans="1:11" s="800" customFormat="1" ht="12.75">
      <c r="A3206"/>
      <c r="B3206" s="852" t="s">
        <v>2049</v>
      </c>
      <c r="C3206" s="853">
        <v>1</v>
      </c>
      <c r="D3206" s="175">
        <v>0.2</v>
      </c>
      <c r="E3206" s="175">
        <v>3.5</v>
      </c>
      <c r="F3206" s="854">
        <v>1.9</v>
      </c>
      <c r="G3206" s="855">
        <f>C3206*D3206*E3206*F3206</f>
        <v>1.33</v>
      </c>
      <c r="H3206" s="855">
        <f>C3206*E3206*F3206</f>
        <v>6.6499999999999995</v>
      </c>
      <c r="I3206" s="857"/>
      <c r="J3206" s="848"/>
    </row>
    <row r="3207" spans="1:11" s="800" customFormat="1" ht="12.75">
      <c r="A3207"/>
      <c r="B3207" s="852"/>
      <c r="C3207" s="853"/>
      <c r="D3207" s="175"/>
      <c r="E3207" s="175"/>
      <c r="F3207" s="854"/>
      <c r="G3207" s="175"/>
      <c r="H3207" s="175"/>
      <c r="I3207" s="226"/>
      <c r="J3207" s="848"/>
    </row>
    <row r="3208" spans="1:11" s="800" customFormat="1" ht="12.75">
      <c r="A3208"/>
      <c r="B3208" s="300"/>
      <c r="C3208" s="235"/>
      <c r="D3208" s="138"/>
      <c r="E3208" s="138"/>
      <c r="F3208" s="138"/>
      <c r="G3208" s="858"/>
      <c r="H3208" s="859"/>
      <c r="I3208" s="6"/>
      <c r="J3208"/>
      <c r="K3208" s="848"/>
    </row>
    <row r="3209" spans="1:11" s="800" customFormat="1" ht="14.25">
      <c r="A3209"/>
      <c r="B3209" s="849" t="s">
        <v>160</v>
      </c>
      <c r="C3209" s="850" t="s">
        <v>61</v>
      </c>
      <c r="D3209" s="850" t="s">
        <v>82</v>
      </c>
      <c r="E3209" s="850" t="s">
        <v>66</v>
      </c>
      <c r="F3209" s="850" t="s">
        <v>62</v>
      </c>
      <c r="G3209" s="851" t="s">
        <v>99</v>
      </c>
      <c r="H3209" s="851" t="s">
        <v>68</v>
      </c>
      <c r="I3209" s="860"/>
      <c r="J3209"/>
    </row>
    <row r="3210" spans="1:11" s="800" customFormat="1" ht="12.75">
      <c r="A3210"/>
      <c r="B3210" s="852" t="s">
        <v>161</v>
      </c>
      <c r="C3210" s="853">
        <v>1</v>
      </c>
      <c r="D3210" s="861">
        <v>0.25</v>
      </c>
      <c r="E3210" s="175">
        <v>2.9</v>
      </c>
      <c r="F3210" s="175">
        <v>4</v>
      </c>
      <c r="G3210" s="855">
        <f>D3210*E3210*F3210*C3210</f>
        <v>2.9</v>
      </c>
      <c r="H3210" s="855">
        <f>C3210*2*E3210*F3210</f>
        <v>23.2</v>
      </c>
      <c r="I3210" s="138"/>
      <c r="J3210"/>
    </row>
    <row r="3211" spans="1:11" s="800" customFormat="1" ht="12.75">
      <c r="A3211"/>
      <c r="B3211" s="852" t="s">
        <v>162</v>
      </c>
      <c r="C3211" s="853">
        <v>1</v>
      </c>
      <c r="D3211" s="861">
        <v>0.25</v>
      </c>
      <c r="E3211" s="175">
        <v>2.9</v>
      </c>
      <c r="F3211" s="175">
        <v>4</v>
      </c>
      <c r="G3211" s="855">
        <f>D3211*E3211*F3211*C3211</f>
        <v>2.9</v>
      </c>
      <c r="H3211" s="855">
        <f>C3211*2*E3211*F3211</f>
        <v>23.2</v>
      </c>
      <c r="I3211" s="138"/>
      <c r="J3211"/>
    </row>
    <row r="3212" spans="1:11" s="800" customFormat="1" ht="12.75">
      <c r="A3212"/>
      <c r="B3212" s="852" t="s">
        <v>163</v>
      </c>
      <c r="C3212" s="853">
        <v>1</v>
      </c>
      <c r="D3212" s="861">
        <v>0.25</v>
      </c>
      <c r="E3212" s="175">
        <v>2.9</v>
      </c>
      <c r="F3212" s="175">
        <v>3.5</v>
      </c>
      <c r="G3212" s="855">
        <f>D3212*E3212*F3212*C3212</f>
        <v>2.5375000000000001</v>
      </c>
      <c r="H3212" s="855">
        <f>C3212*2*E3212*F3212</f>
        <v>20.3</v>
      </c>
      <c r="I3212" s="138"/>
      <c r="J3212"/>
    </row>
    <row r="3213" spans="1:11" s="800" customFormat="1" ht="12.75">
      <c r="A3213"/>
      <c r="B3213" s="852" t="s">
        <v>164</v>
      </c>
      <c r="C3213" s="853">
        <v>1</v>
      </c>
      <c r="D3213" s="861">
        <v>0.25</v>
      </c>
      <c r="E3213" s="175">
        <v>2.9</v>
      </c>
      <c r="F3213" s="175">
        <v>3.5</v>
      </c>
      <c r="G3213" s="855">
        <f>D3213*E3213*F3213*C3213</f>
        <v>2.5375000000000001</v>
      </c>
      <c r="H3213" s="855">
        <f>C3213*2*E3213*F3213</f>
        <v>20.3</v>
      </c>
      <c r="I3213" s="138"/>
      <c r="J3213"/>
    </row>
    <row r="3214" spans="1:11" s="800" customFormat="1" ht="12.75">
      <c r="A3214"/>
      <c r="B3214" s="300"/>
      <c r="C3214" s="235"/>
      <c r="D3214" s="862"/>
      <c r="E3214" s="138"/>
      <c r="F3214" s="138"/>
      <c r="G3214" s="138"/>
      <c r="H3214" s="138"/>
      <c r="I3214" s="138"/>
      <c r="J3214" s="860"/>
      <c r="K3214" s="848"/>
    </row>
    <row r="3215" spans="1:11" s="800" customFormat="1" ht="12.75">
      <c r="A3215"/>
      <c r="B3215" s="300"/>
      <c r="C3215" s="235"/>
      <c r="D3215" s="138"/>
      <c r="E3215" s="138"/>
      <c r="F3215" s="138"/>
      <c r="G3215" s="858"/>
      <c r="H3215" s="859"/>
      <c r="I3215" s="6"/>
      <c r="J3215"/>
      <c r="K3215" s="848"/>
    </row>
    <row r="3216" spans="1:11" s="800" customFormat="1" ht="13.5" thickBot="1">
      <c r="A3216"/>
      <c r="B3216" s="300"/>
      <c r="C3216" s="235"/>
      <c r="D3216" s="138"/>
      <c r="E3216" s="138"/>
      <c r="F3216" s="138"/>
      <c r="G3216" s="858"/>
      <c r="H3216" s="859"/>
      <c r="I3216" s="6"/>
      <c r="J3216"/>
      <c r="K3216" s="848"/>
    </row>
    <row r="3217" spans="1:56" s="800" customFormat="1" ht="16.5" thickBot="1">
      <c r="A3217"/>
      <c r="B3217" s="1280" t="s">
        <v>98</v>
      </c>
      <c r="C3217" s="1281"/>
      <c r="D3217" s="1281"/>
      <c r="E3217" s="1281"/>
      <c r="F3217" s="1282"/>
      <c r="G3217"/>
      <c r="H3217"/>
      <c r="I3217"/>
      <c r="J3217"/>
      <c r="K3217" s="848"/>
    </row>
    <row r="3218" spans="1:56" s="800" customFormat="1" ht="12.75">
      <c r="A3218"/>
      <c r="B3218" s="40"/>
      <c r="C3218" s="793"/>
      <c r="D3218" s="793"/>
      <c r="E3218" s="793"/>
      <c r="F3218" s="424"/>
      <c r="G3218"/>
      <c r="H3218"/>
      <c r="I3218" s="863"/>
      <c r="J3218"/>
      <c r="K3218" s="848"/>
    </row>
    <row r="3219" spans="1:56" s="800" customFormat="1">
      <c r="A3219"/>
      <c r="B3219" s="703" t="s">
        <v>1129</v>
      </c>
      <c r="C3219" s="172"/>
      <c r="D3219" s="173"/>
      <c r="E3219" s="864">
        <f>SUM(H3205:H3206)+SUM(H3210:H3213)</f>
        <v>98.75</v>
      </c>
      <c r="F3219" s="139" t="s">
        <v>13</v>
      </c>
      <c r="G3219"/>
      <c r="H3219"/>
      <c r="I3219"/>
      <c r="J3219"/>
      <c r="K3219" s="848"/>
    </row>
    <row r="3220" spans="1:56" s="800" customFormat="1" ht="18">
      <c r="A3220"/>
      <c r="B3220" s="718" t="s">
        <v>1130</v>
      </c>
      <c r="C3220" s="289"/>
      <c r="D3220" s="290"/>
      <c r="E3220" s="1046">
        <f>SUM(G3205:G3206)+SUM(G3210:G3213)</f>
        <v>17.623750000000001</v>
      </c>
      <c r="F3220" s="700" t="s">
        <v>1124</v>
      </c>
      <c r="G3220"/>
      <c r="H3220"/>
      <c r="I3220"/>
      <c r="J3220"/>
      <c r="K3220" s="848"/>
    </row>
    <row r="3221" spans="1:56" s="800" customFormat="1" ht="18">
      <c r="A3221"/>
      <c r="B3221" s="718" t="s">
        <v>2048</v>
      </c>
      <c r="C3221" s="289"/>
      <c r="D3221" s="289"/>
      <c r="E3221" s="1047">
        <f>SUM(I3205:I3206)</f>
        <v>0.90312500000000007</v>
      </c>
      <c r="F3221" s="700" t="s">
        <v>1124</v>
      </c>
      <c r="G3221"/>
      <c r="H3221"/>
      <c r="I3221"/>
      <c r="J3221"/>
      <c r="K3221" s="848"/>
    </row>
    <row r="3222" spans="1:56" s="848" customFormat="1" ht="16.5" thickBot="1">
      <c r="A3222"/>
      <c r="B3222" s="720"/>
      <c r="C3222" s="174"/>
      <c r="D3222" s="174"/>
      <c r="E3222" s="866"/>
      <c r="F3222" s="440"/>
      <c r="G3222"/>
      <c r="H3222"/>
      <c r="I3222"/>
      <c r="J3222"/>
    </row>
    <row r="3223" spans="1:56" s="848" customFormat="1" ht="12.75">
      <c r="A3223"/>
      <c r="B3223" s="1"/>
      <c r="C3223" s="1"/>
      <c r="D3223" s="1"/>
      <c r="E3223" s="1"/>
      <c r="F3223" s="1"/>
      <c r="G3223" s="1"/>
      <c r="H3223" s="3"/>
      <c r="I3223" s="3"/>
      <c r="J3223" s="3"/>
    </row>
    <row r="3224" spans="1:56" ht="16.5" thickBot="1">
      <c r="A3224" s="114"/>
      <c r="B3224" s="115"/>
      <c r="C3224" s="115"/>
      <c r="D3224" s="115"/>
      <c r="E3224" s="115"/>
      <c r="F3224" s="115"/>
      <c r="G3224" s="115"/>
      <c r="H3224" s="115"/>
      <c r="I3224" s="115"/>
      <c r="J3224" s="114"/>
      <c r="BA3224" s="117"/>
      <c r="BB3224" s="117"/>
      <c r="BC3224" s="117"/>
      <c r="BD3224" s="117"/>
    </row>
    <row r="3225" spans="1:56">
      <c r="A3225" s="114"/>
      <c r="B3225" s="1285" t="s">
        <v>320</v>
      </c>
      <c r="C3225" s="1286"/>
      <c r="D3225" s="1286"/>
      <c r="E3225" s="1286"/>
      <c r="F3225" s="1287"/>
      <c r="G3225" s="115"/>
      <c r="H3225" s="115"/>
      <c r="I3225" s="386"/>
      <c r="J3225" s="114"/>
      <c r="BA3225" s="117"/>
      <c r="BB3225" s="117"/>
      <c r="BC3225" s="117"/>
      <c r="BD3225" s="117"/>
    </row>
    <row r="3226" spans="1:56">
      <c r="A3226" s="114"/>
      <c r="B3226" s="690"/>
      <c r="C3226" s="115"/>
      <c r="D3226" s="115"/>
      <c r="E3226" s="115"/>
      <c r="F3226" s="182"/>
      <c r="G3226" s="115"/>
      <c r="H3226" s="115"/>
      <c r="I3226" s="386"/>
      <c r="J3226" s="114"/>
      <c r="BA3226" s="117"/>
      <c r="BB3226" s="117"/>
      <c r="BC3226" s="117"/>
      <c r="BD3226" s="117"/>
    </row>
    <row r="3227" spans="1:56" ht="15">
      <c r="A3227" s="114"/>
      <c r="B3227" s="691" t="s">
        <v>2050</v>
      </c>
      <c r="C3227" s="196"/>
      <c r="D3227" s="196"/>
      <c r="E3227" s="196"/>
      <c r="F3227" s="284"/>
      <c r="G3227" s="196"/>
      <c r="H3227" s="196"/>
      <c r="I3227" s="196"/>
      <c r="J3227" s="114"/>
      <c r="BA3227" s="117"/>
      <c r="BB3227" s="117"/>
      <c r="BC3227" s="117"/>
      <c r="BD3227" s="117"/>
    </row>
    <row r="3228" spans="1:56" ht="15">
      <c r="A3228" s="114"/>
      <c r="B3228" s="692" t="s">
        <v>352</v>
      </c>
      <c r="C3228" s="280">
        <v>1579</v>
      </c>
      <c r="D3228" s="286" t="s">
        <v>12</v>
      </c>
      <c r="E3228" s="1325" t="s">
        <v>2153</v>
      </c>
      <c r="F3228" s="1326"/>
      <c r="G3228" s="196"/>
      <c r="H3228" s="196"/>
      <c r="I3228" s="196"/>
      <c r="J3228" s="114"/>
      <c r="BA3228" s="117"/>
      <c r="BB3228" s="117"/>
      <c r="BC3228" s="117"/>
      <c r="BD3228" s="117"/>
    </row>
    <row r="3229" spans="1:56">
      <c r="A3229" s="114"/>
      <c r="B3229" s="690"/>
      <c r="C3229" s="115"/>
      <c r="D3229" s="115"/>
      <c r="E3229" s="115"/>
      <c r="F3229" s="182"/>
      <c r="G3229" s="115"/>
      <c r="H3229" s="115"/>
      <c r="I3229" s="386"/>
      <c r="J3229" s="114"/>
      <c r="BA3229" s="117"/>
      <c r="BB3229" s="117"/>
      <c r="BC3229" s="117"/>
      <c r="BD3229" s="117"/>
    </row>
    <row r="3230" spans="1:56" ht="15">
      <c r="A3230" s="114"/>
      <c r="B3230" s="691" t="s">
        <v>351</v>
      </c>
      <c r="C3230" s="211"/>
      <c r="D3230" s="196"/>
      <c r="E3230" s="288"/>
      <c r="F3230" s="284"/>
      <c r="G3230" s="196"/>
      <c r="H3230" s="196"/>
      <c r="I3230" s="196"/>
      <c r="J3230" s="114"/>
      <c r="BA3230" s="117"/>
      <c r="BB3230" s="117"/>
      <c r="BC3230" s="117"/>
      <c r="BD3230" s="117"/>
    </row>
    <row r="3231" spans="1:56" ht="16.5" thickBot="1">
      <c r="A3231" s="114"/>
      <c r="B3231" s="695" t="s">
        <v>352</v>
      </c>
      <c r="C3231" s="817"/>
      <c r="D3231" s="818"/>
      <c r="E3231" s="847">
        <f>C3228</f>
        <v>1579</v>
      </c>
      <c r="F3231" s="820" t="s">
        <v>12</v>
      </c>
      <c r="G3231" s="115"/>
      <c r="H3231" s="236"/>
      <c r="I3231" s="3"/>
      <c r="J3231" s="114"/>
      <c r="BA3231" s="117"/>
      <c r="BB3231" s="117"/>
      <c r="BC3231" s="117"/>
      <c r="BD3231" s="117"/>
    </row>
    <row r="3232" spans="1:56" customFormat="1" ht="12.75"/>
    <row r="3233" spans="1:11" customFormat="1" ht="12.75"/>
    <row r="3234" spans="1:11" s="800" customFormat="1" ht="16.5" customHeight="1">
      <c r="A3234"/>
      <c r="B3234" s="1180" t="s">
        <v>2338</v>
      </c>
      <c r="C3234" s="1180"/>
      <c r="D3234" s="1180"/>
      <c r="E3234" s="1180"/>
      <c r="F3234" s="1180"/>
      <c r="G3234" s="1180"/>
      <c r="H3234" s="1180"/>
      <c r="I3234" s="1180"/>
      <c r="J3234" s="1180"/>
      <c r="K3234" s="848"/>
    </row>
    <row r="3235" spans="1:11" s="800" customFormat="1" ht="12.75">
      <c r="A3235"/>
      <c r="B3235" s="1"/>
      <c r="C3235" s="1"/>
      <c r="D3235" s="1"/>
      <c r="E3235" s="1"/>
      <c r="F3235" s="1"/>
      <c r="G3235" s="1"/>
      <c r="H3235" s="3"/>
      <c r="I3235" s="3"/>
      <c r="J3235" s="3"/>
      <c r="K3235" s="848"/>
    </row>
    <row r="3236" spans="1:11" s="848" customFormat="1" ht="12.75">
      <c r="A3236"/>
      <c r="B3236" s="1179" t="s">
        <v>2290</v>
      </c>
      <c r="C3236" s="1179"/>
      <c r="D3236" s="1179"/>
      <c r="E3236" s="1179"/>
      <c r="F3236" s="1179"/>
      <c r="G3236" s="1179"/>
      <c r="H3236" s="1179"/>
      <c r="I3236" s="1179"/>
      <c r="J3236" s="1179"/>
    </row>
    <row r="3237" spans="1:11" s="848" customFormat="1" ht="12.75">
      <c r="A3237"/>
      <c r="B3237" s="1"/>
      <c r="C3237" s="1"/>
      <c r="D3237" s="1"/>
      <c r="E3237" s="1"/>
      <c r="F3237" s="1"/>
      <c r="G3237" s="3"/>
      <c r="H3237" s="3"/>
      <c r="I3237" s="3"/>
      <c r="J3237" s="4"/>
    </row>
    <row r="3238" spans="1:11" s="800" customFormat="1" ht="14.25">
      <c r="A3238"/>
      <c r="B3238" s="849" t="s">
        <v>2043</v>
      </c>
      <c r="C3238" s="850" t="s">
        <v>61</v>
      </c>
      <c r="D3238" s="850" t="s">
        <v>66</v>
      </c>
      <c r="E3238" s="850" t="s">
        <v>2044</v>
      </c>
      <c r="F3238" s="850" t="s">
        <v>2045</v>
      </c>
      <c r="G3238" s="851" t="s">
        <v>99</v>
      </c>
      <c r="H3238" s="851" t="s">
        <v>68</v>
      </c>
      <c r="I3238" s="851" t="s">
        <v>305</v>
      </c>
      <c r="J3238" s="848"/>
    </row>
    <row r="3239" spans="1:11" s="800" customFormat="1" ht="12.75">
      <c r="A3239"/>
      <c r="B3239" s="1049" t="s">
        <v>2047</v>
      </c>
      <c r="C3239" s="1050">
        <v>1</v>
      </c>
      <c r="D3239" s="1051">
        <v>0.3</v>
      </c>
      <c r="E3239" s="1051">
        <v>3.1</v>
      </c>
      <c r="F3239" s="1052">
        <v>3</v>
      </c>
      <c r="G3239" s="855">
        <f>C3239*D3239*E3239*F3239</f>
        <v>2.79</v>
      </c>
      <c r="H3239" s="855">
        <f>2*(E3239+F3239)*C3239*D3239</f>
        <v>3.6599999999999997</v>
      </c>
      <c r="I3239" s="856">
        <f>E3239*F3239*0.05</f>
        <v>0.46500000000000008</v>
      </c>
      <c r="J3239" s="848"/>
    </row>
    <row r="3240" spans="1:11" s="800" customFormat="1" ht="12.75">
      <c r="A3240"/>
      <c r="B3240" s="1049" t="s">
        <v>2114</v>
      </c>
      <c r="C3240" s="1050">
        <v>1</v>
      </c>
      <c r="D3240" s="1051">
        <v>0.3</v>
      </c>
      <c r="E3240" s="1051">
        <v>2.75</v>
      </c>
      <c r="F3240" s="1053">
        <v>3.1</v>
      </c>
      <c r="G3240" s="855">
        <f>C3240*D3240*E3240*F3240</f>
        <v>2.5575000000000001</v>
      </c>
      <c r="H3240" s="855">
        <f>2*(E3240+F3240)*C3240*D3240</f>
        <v>3.51</v>
      </c>
      <c r="I3240" s="856">
        <f>E3240*F3240*0.05</f>
        <v>0.42625000000000002</v>
      </c>
      <c r="J3240" s="848"/>
    </row>
    <row r="3241" spans="1:11" s="800" customFormat="1" ht="12.75">
      <c r="A3241"/>
      <c r="B3241" s="1049" t="s">
        <v>2333</v>
      </c>
      <c r="C3241" s="1050">
        <v>1</v>
      </c>
      <c r="D3241" s="1051">
        <v>0.2</v>
      </c>
      <c r="E3241" s="1051">
        <v>0.85</v>
      </c>
      <c r="F3241" s="1053">
        <v>2.1</v>
      </c>
      <c r="G3241" s="855">
        <f>C3241*D3241*E3241*F3241</f>
        <v>0.35700000000000004</v>
      </c>
      <c r="H3241" s="855">
        <f>C3241*E3241*F3241</f>
        <v>1.7849999999999999</v>
      </c>
      <c r="I3241" s="857"/>
      <c r="J3241" s="848"/>
    </row>
    <row r="3242" spans="1:11" s="800" customFormat="1" ht="12.75">
      <c r="A3242"/>
      <c r="B3242" s="1049" t="s">
        <v>2334</v>
      </c>
      <c r="C3242" s="1050">
        <v>1</v>
      </c>
      <c r="D3242" s="1051">
        <v>0.2</v>
      </c>
      <c r="E3242" s="1051">
        <v>0.35</v>
      </c>
      <c r="F3242" s="1053">
        <v>2.1</v>
      </c>
      <c r="G3242" s="855">
        <f>C3242*D3242*E3242*F3242</f>
        <v>0.14699999999999999</v>
      </c>
      <c r="H3242" s="855">
        <f>C3242*E3242*F3242</f>
        <v>0.73499999999999999</v>
      </c>
      <c r="I3242" s="857"/>
      <c r="J3242" s="848"/>
    </row>
    <row r="3243" spans="1:11" s="800" customFormat="1" ht="12.75">
      <c r="A3243"/>
      <c r="B3243" s="1049" t="s">
        <v>2137</v>
      </c>
      <c r="C3243" s="1050">
        <v>1</v>
      </c>
      <c r="D3243" s="1051">
        <v>0.2</v>
      </c>
      <c r="E3243" s="1051">
        <v>2</v>
      </c>
      <c r="F3243" s="1053">
        <v>2.1</v>
      </c>
      <c r="G3243" s="855"/>
      <c r="H3243" s="855"/>
      <c r="I3243" s="855">
        <f>D3243*E3243*F3243</f>
        <v>0.84000000000000008</v>
      </c>
      <c r="J3243" s="848"/>
    </row>
    <row r="3244" spans="1:11" s="800" customFormat="1" ht="12.75">
      <c r="A3244"/>
      <c r="B3244" s="1049" t="s">
        <v>2347</v>
      </c>
      <c r="C3244" s="1050">
        <v>1</v>
      </c>
      <c r="D3244" s="1051">
        <v>0.2</v>
      </c>
      <c r="E3244" s="1051">
        <v>0.8</v>
      </c>
      <c r="F3244" s="1053">
        <v>0.8</v>
      </c>
      <c r="G3244" s="855">
        <f>C3244*D3244*E3244*F3244</f>
        <v>0.12800000000000003</v>
      </c>
      <c r="H3244" s="855">
        <f>C3244*E3244*F3244</f>
        <v>0.64000000000000012</v>
      </c>
      <c r="I3244" s="856">
        <f>E3244*F3244*0.05</f>
        <v>3.2000000000000008E-2</v>
      </c>
      <c r="J3244" s="848"/>
    </row>
    <row r="3245" spans="1:11" s="800" customFormat="1" ht="12.75">
      <c r="A3245"/>
      <c r="B3245" s="1054"/>
      <c r="C3245" s="1055"/>
      <c r="D3245" s="1056"/>
      <c r="E3245" s="1056"/>
      <c r="F3245" s="1056"/>
      <c r="G3245" s="858"/>
      <c r="H3245" s="859"/>
      <c r="I3245" s="6"/>
      <c r="J3245"/>
      <c r="K3245" s="848"/>
    </row>
    <row r="3246" spans="1:11" s="800" customFormat="1" ht="14.25">
      <c r="A3246"/>
      <c r="B3246" s="1057" t="s">
        <v>160</v>
      </c>
      <c r="C3246" s="1058" t="s">
        <v>61</v>
      </c>
      <c r="D3246" s="1058" t="s">
        <v>82</v>
      </c>
      <c r="E3246" s="1058" t="s">
        <v>66</v>
      </c>
      <c r="F3246" s="1058" t="s">
        <v>62</v>
      </c>
      <c r="G3246" s="851" t="s">
        <v>99</v>
      </c>
      <c r="H3246" s="851" t="s">
        <v>68</v>
      </c>
      <c r="I3246" s="870"/>
      <c r="J3246"/>
    </row>
    <row r="3247" spans="1:11" s="800" customFormat="1" ht="12.75">
      <c r="A3247"/>
      <c r="B3247" s="1049" t="s">
        <v>161</v>
      </c>
      <c r="C3247" s="1050">
        <v>1</v>
      </c>
      <c r="D3247" s="1059">
        <v>0.25</v>
      </c>
      <c r="E3247" s="1051">
        <v>2.6</v>
      </c>
      <c r="F3247" s="1051">
        <v>5.17</v>
      </c>
      <c r="G3247" s="855">
        <f t="shared" ref="G3247:G3254" si="331">D3247*E3247*F3247*C3247</f>
        <v>3.3605</v>
      </c>
      <c r="H3247" s="855">
        <f t="shared" ref="H3247:H3254" si="332">C3247*2*E3247*F3247</f>
        <v>26.884</v>
      </c>
      <c r="I3247" s="138"/>
      <c r="J3247"/>
    </row>
    <row r="3248" spans="1:11" s="800" customFormat="1" ht="12.75">
      <c r="A3248"/>
      <c r="B3248" s="1049" t="s">
        <v>162</v>
      </c>
      <c r="C3248" s="1050">
        <v>1</v>
      </c>
      <c r="D3248" s="1059">
        <v>0.25</v>
      </c>
      <c r="E3248" s="1051">
        <v>2.1</v>
      </c>
      <c r="F3248" s="1051">
        <v>5.17</v>
      </c>
      <c r="G3248" s="855">
        <f t="shared" si="331"/>
        <v>2.7142500000000003</v>
      </c>
      <c r="H3248" s="855">
        <f t="shared" si="332"/>
        <v>21.714000000000002</v>
      </c>
      <c r="I3248" s="138"/>
      <c r="J3248"/>
    </row>
    <row r="3249" spans="1:56" s="800" customFormat="1" ht="12.75">
      <c r="A3249"/>
      <c r="B3249" s="1049" t="s">
        <v>163</v>
      </c>
      <c r="C3249" s="1050">
        <v>1</v>
      </c>
      <c r="D3249" s="1059">
        <v>0.25</v>
      </c>
      <c r="E3249" s="1051">
        <v>2.6</v>
      </c>
      <c r="F3249" s="1051">
        <v>1.45</v>
      </c>
      <c r="G3249" s="855">
        <f t="shared" si="331"/>
        <v>0.9425</v>
      </c>
      <c r="H3249" s="855">
        <f t="shared" si="332"/>
        <v>7.54</v>
      </c>
      <c r="I3249" s="138"/>
      <c r="J3249"/>
    </row>
    <row r="3250" spans="1:56" s="800" customFormat="1" ht="12.75">
      <c r="A3250"/>
      <c r="B3250" s="1049" t="s">
        <v>2135</v>
      </c>
      <c r="C3250" s="1050">
        <v>1</v>
      </c>
      <c r="D3250" s="1059">
        <v>0.25</v>
      </c>
      <c r="E3250" s="1051">
        <v>2</v>
      </c>
      <c r="F3250" s="1051">
        <v>1.45</v>
      </c>
      <c r="G3250" s="855">
        <f t="shared" si="331"/>
        <v>0.72499999999999998</v>
      </c>
      <c r="H3250" s="855">
        <f t="shared" si="332"/>
        <v>5.8</v>
      </c>
      <c r="I3250" s="138"/>
      <c r="J3250"/>
    </row>
    <row r="3251" spans="1:56" s="800" customFormat="1" ht="12.75">
      <c r="A3251"/>
      <c r="B3251" s="1049" t="s">
        <v>2331</v>
      </c>
      <c r="C3251" s="1050">
        <v>1</v>
      </c>
      <c r="D3251" s="1059">
        <v>0.25</v>
      </c>
      <c r="E3251" s="1051">
        <v>2.25</v>
      </c>
      <c r="F3251" s="1051">
        <v>5.17</v>
      </c>
      <c r="G3251" s="855">
        <f t="shared" si="331"/>
        <v>2.9081250000000001</v>
      </c>
      <c r="H3251" s="855">
        <f t="shared" si="332"/>
        <v>23.265000000000001</v>
      </c>
      <c r="I3251" s="138"/>
      <c r="J3251"/>
    </row>
    <row r="3252" spans="1:56" s="800" customFormat="1" ht="12.75">
      <c r="A3252"/>
      <c r="B3252" s="1049" t="s">
        <v>2136</v>
      </c>
      <c r="C3252" s="1050">
        <v>1</v>
      </c>
      <c r="D3252" s="1059">
        <v>0.25</v>
      </c>
      <c r="E3252" s="1051">
        <v>2</v>
      </c>
      <c r="F3252" s="1051">
        <v>1.75</v>
      </c>
      <c r="G3252" s="855">
        <f t="shared" si="331"/>
        <v>0.875</v>
      </c>
      <c r="H3252" s="855">
        <f t="shared" si="332"/>
        <v>7</v>
      </c>
      <c r="I3252" s="138"/>
      <c r="J3252"/>
    </row>
    <row r="3253" spans="1:56" s="800" customFormat="1" ht="12.75">
      <c r="A3253"/>
      <c r="B3253" s="1049" t="s">
        <v>2332</v>
      </c>
      <c r="C3253" s="1050">
        <v>1</v>
      </c>
      <c r="D3253" s="1059">
        <v>0.25</v>
      </c>
      <c r="E3253" s="1051">
        <v>2.25</v>
      </c>
      <c r="F3253" s="1051">
        <v>5.17</v>
      </c>
      <c r="G3253" s="855">
        <f t="shared" si="331"/>
        <v>2.9081250000000001</v>
      </c>
      <c r="H3253" s="855">
        <f t="shared" si="332"/>
        <v>23.265000000000001</v>
      </c>
      <c r="I3253" s="138"/>
      <c r="J3253"/>
    </row>
    <row r="3254" spans="1:56" s="800" customFormat="1" ht="12.75">
      <c r="A3254"/>
      <c r="B3254" s="1049" t="s">
        <v>2347</v>
      </c>
      <c r="C3254" s="1050">
        <v>1</v>
      </c>
      <c r="D3254" s="1059">
        <v>0.2</v>
      </c>
      <c r="E3254" s="1051">
        <v>0.6</v>
      </c>
      <c r="F3254" s="1051">
        <v>0.8</v>
      </c>
      <c r="G3254" s="855">
        <f t="shared" si="331"/>
        <v>9.6000000000000002E-2</v>
      </c>
      <c r="H3254" s="855">
        <f t="shared" si="332"/>
        <v>0.96</v>
      </c>
      <c r="I3254" s="138"/>
      <c r="J3254"/>
    </row>
    <row r="3255" spans="1:56" s="800" customFormat="1" ht="12.75">
      <c r="A3255"/>
      <c r="B3255" s="300"/>
      <c r="C3255" s="235"/>
      <c r="D3255" s="862"/>
      <c r="E3255" s="138"/>
      <c r="F3255" s="138"/>
      <c r="G3255" s="138"/>
      <c r="H3255" s="138"/>
      <c r="I3255" s="138"/>
      <c r="J3255" s="870"/>
      <c r="K3255" s="848"/>
    </row>
    <row r="3256" spans="1:56" ht="15">
      <c r="A3256" s="114"/>
      <c r="B3256" s="293"/>
      <c r="C3256" s="387"/>
      <c r="D3256" s="387"/>
      <c r="E3256" s="387"/>
      <c r="F3256" s="387"/>
      <c r="G3256" s="387"/>
      <c r="H3256" s="386"/>
      <c r="I3256" s="386"/>
      <c r="J3256" s="6"/>
      <c r="BB3256" s="117"/>
      <c r="BC3256" s="117"/>
      <c r="BD3256" s="117"/>
    </row>
    <row r="3257" spans="1:56" ht="15">
      <c r="A3257" s="114"/>
      <c r="B3257" s="801" t="s">
        <v>2062</v>
      </c>
      <c r="C3257" s="751" t="s">
        <v>2063</v>
      </c>
      <c r="D3257" s="751" t="s">
        <v>82</v>
      </c>
      <c r="E3257" s="802" t="s">
        <v>99</v>
      </c>
      <c r="F3257" s="802" t="s">
        <v>68</v>
      </c>
      <c r="G3257" s="386"/>
      <c r="H3257" s="795"/>
      <c r="I3257" s="114"/>
      <c r="J3257" s="114"/>
      <c r="AZ3257" s="117"/>
      <c r="BA3257" s="117"/>
      <c r="BB3257" s="117"/>
      <c r="BC3257" s="117"/>
      <c r="BD3257" s="117"/>
    </row>
    <row r="3258" spans="1:56" ht="15">
      <c r="A3258" s="114"/>
      <c r="B3258" s="803" t="s">
        <v>161</v>
      </c>
      <c r="C3258" s="755">
        <f>3.1416*0.4*0.4/4</f>
        <v>0.125664</v>
      </c>
      <c r="D3258" s="756">
        <v>0.25</v>
      </c>
      <c r="E3258" s="828">
        <f>C3258*D3258</f>
        <v>3.1415999999999999E-2</v>
      </c>
      <c r="F3258" s="828">
        <f>C3258*2</f>
        <v>0.251328</v>
      </c>
      <c r="G3258" s="386"/>
      <c r="H3258" s="795"/>
      <c r="I3258" s="114"/>
      <c r="J3258" s="114"/>
      <c r="AZ3258" s="117"/>
      <c r="BA3258" s="117"/>
      <c r="BB3258" s="117"/>
      <c r="BC3258" s="117"/>
      <c r="BD3258" s="117"/>
    </row>
    <row r="3259" spans="1:56" ht="15">
      <c r="A3259" s="114"/>
      <c r="B3259" s="803" t="s">
        <v>162</v>
      </c>
      <c r="C3259" s="755">
        <f>0.0707*2</f>
        <v>0.1414</v>
      </c>
      <c r="D3259" s="756">
        <v>0.25</v>
      </c>
      <c r="E3259" s="828">
        <f t="shared" ref="E3259" si="333">C3259*D3259</f>
        <v>3.5349999999999999E-2</v>
      </c>
      <c r="F3259" s="828">
        <f t="shared" ref="F3259" si="334">C3259*2</f>
        <v>0.2828</v>
      </c>
      <c r="G3259" s="386"/>
      <c r="H3259" s="795"/>
      <c r="I3259" s="114"/>
      <c r="J3259" s="114"/>
      <c r="AZ3259" s="117"/>
      <c r="BA3259" s="117"/>
      <c r="BB3259" s="117"/>
      <c r="BC3259" s="117"/>
      <c r="BD3259" s="117"/>
    </row>
    <row r="3260" spans="1:56" ht="15">
      <c r="A3260" s="114"/>
      <c r="B3260" s="803" t="s">
        <v>2333</v>
      </c>
      <c r="C3260" s="755">
        <v>0.1</v>
      </c>
      <c r="D3260" s="756">
        <v>0.2</v>
      </c>
      <c r="E3260" s="828">
        <f t="shared" ref="E3260" si="335">C3260*D3260</f>
        <v>2.0000000000000004E-2</v>
      </c>
      <c r="F3260" s="828">
        <f>C3260</f>
        <v>0.1</v>
      </c>
      <c r="G3260" s="386"/>
      <c r="H3260" s="795"/>
      <c r="I3260" s="114"/>
      <c r="J3260" s="114"/>
      <c r="AZ3260" s="117"/>
      <c r="BA3260" s="117"/>
      <c r="BB3260" s="117"/>
      <c r="BC3260" s="117"/>
      <c r="BD3260" s="117"/>
    </row>
    <row r="3261" spans="1:56" ht="15">
      <c r="A3261" s="114"/>
      <c r="B3261" s="114"/>
      <c r="C3261" s="114"/>
      <c r="D3261" s="758" t="s">
        <v>76</v>
      </c>
      <c r="E3261" s="228">
        <f>-SUM(E3258:E3260)</f>
        <v>-8.6765999999999996E-2</v>
      </c>
      <c r="F3261" s="228">
        <f>-SUM(F3258:F3260)</f>
        <v>-0.63412799999999991</v>
      </c>
      <c r="G3261" s="386"/>
      <c r="H3261" s="795"/>
      <c r="I3261" s="114"/>
      <c r="J3261" s="114"/>
      <c r="AZ3261" s="117"/>
      <c r="BA3261" s="117"/>
      <c r="BB3261" s="117"/>
      <c r="BC3261" s="117"/>
      <c r="BD3261" s="117"/>
    </row>
    <row r="3262" spans="1:56" customFormat="1" ht="12.75"/>
    <row r="3263" spans="1:56" s="800" customFormat="1" ht="12.75">
      <c r="A3263"/>
      <c r="B3263" s="300"/>
      <c r="C3263" s="235"/>
      <c r="D3263" s="138"/>
      <c r="E3263" s="138"/>
      <c r="F3263" s="138"/>
      <c r="G3263" s="858"/>
      <c r="H3263" s="859"/>
      <c r="I3263" s="6"/>
      <c r="J3263"/>
      <c r="K3263" s="848"/>
    </row>
    <row r="3264" spans="1:56" s="800" customFormat="1" ht="13.5" thickBot="1">
      <c r="A3264"/>
      <c r="B3264" s="300"/>
      <c r="C3264" s="235"/>
      <c r="D3264" s="138"/>
      <c r="E3264" s="138"/>
      <c r="F3264" s="138"/>
      <c r="G3264" s="858"/>
      <c r="H3264" s="859"/>
      <c r="I3264" s="6"/>
      <c r="J3264"/>
      <c r="K3264" s="848"/>
    </row>
    <row r="3265" spans="1:56" s="800" customFormat="1" ht="16.5" thickBot="1">
      <c r="A3265"/>
      <c r="B3265" s="1280" t="s">
        <v>98</v>
      </c>
      <c r="C3265" s="1281"/>
      <c r="D3265" s="1281"/>
      <c r="E3265" s="1281"/>
      <c r="F3265" s="1282"/>
      <c r="G3265"/>
      <c r="H3265"/>
      <c r="I3265"/>
      <c r="J3265"/>
      <c r="K3265" s="848"/>
    </row>
    <row r="3266" spans="1:56" s="800" customFormat="1" ht="12.75">
      <c r="A3266"/>
      <c r="B3266" s="40"/>
      <c r="C3266" s="795"/>
      <c r="D3266" s="795"/>
      <c r="E3266" s="795"/>
      <c r="F3266" s="424"/>
      <c r="G3266"/>
      <c r="H3266"/>
      <c r="I3266" s="863"/>
      <c r="J3266"/>
      <c r="K3266" s="848"/>
    </row>
    <row r="3267" spans="1:56" s="800" customFormat="1">
      <c r="A3267"/>
      <c r="B3267" s="703" t="s">
        <v>1129</v>
      </c>
      <c r="C3267" s="172"/>
      <c r="D3267" s="173"/>
      <c r="E3267" s="1060">
        <f>SUM(H3239:H3244)+SUM(H3247:H3254)+F3261</f>
        <v>126.12387199999999</v>
      </c>
      <c r="F3267" s="139" t="s">
        <v>13</v>
      </c>
      <c r="G3267"/>
      <c r="H3267"/>
      <c r="I3267"/>
      <c r="J3267"/>
      <c r="K3267" s="848"/>
    </row>
    <row r="3268" spans="1:56" s="800" customFormat="1" ht="18">
      <c r="A3268"/>
      <c r="B3268" s="718" t="s">
        <v>1130</v>
      </c>
      <c r="C3268" s="289"/>
      <c r="D3268" s="290"/>
      <c r="E3268" s="901">
        <f>SUM(G3239:G3244)+SUM(G3247:G3254)+E3261</f>
        <v>20.422234</v>
      </c>
      <c r="F3268" s="700" t="s">
        <v>1124</v>
      </c>
      <c r="G3268"/>
      <c r="H3268"/>
      <c r="I3268"/>
      <c r="J3268"/>
      <c r="K3268" s="848"/>
    </row>
    <row r="3269" spans="1:56" s="800" customFormat="1" ht="18">
      <c r="A3269"/>
      <c r="B3269" s="718" t="s">
        <v>2048</v>
      </c>
      <c r="C3269" s="289"/>
      <c r="D3269" s="289"/>
      <c r="E3269" s="969">
        <f>SUM(I3239:I3244)</f>
        <v>1.7632500000000002</v>
      </c>
      <c r="F3269" s="700" t="s">
        <v>1124</v>
      </c>
      <c r="G3269"/>
      <c r="H3269"/>
      <c r="I3269"/>
      <c r="J3269"/>
      <c r="K3269" s="848"/>
    </row>
    <row r="3270" spans="1:56" s="848" customFormat="1" ht="16.5" thickBot="1">
      <c r="A3270"/>
      <c r="B3270" s="720"/>
      <c r="C3270" s="174"/>
      <c r="D3270" s="174"/>
      <c r="E3270" s="866"/>
      <c r="F3270" s="440"/>
      <c r="G3270"/>
      <c r="H3270"/>
      <c r="I3270"/>
      <c r="J3270"/>
    </row>
    <row r="3271" spans="1:56" s="848" customFormat="1" ht="12.75">
      <c r="A3271"/>
      <c r="B3271" s="1"/>
      <c r="C3271" s="1"/>
      <c r="D3271" s="1"/>
      <c r="E3271" s="1"/>
      <c r="F3271" s="1"/>
      <c r="G3271" s="1"/>
      <c r="H3271" s="3"/>
      <c r="I3271" s="3"/>
      <c r="J3271" s="3"/>
    </row>
    <row r="3272" spans="1:56" ht="16.5" thickBot="1">
      <c r="A3272" s="114"/>
      <c r="B3272" s="115"/>
      <c r="C3272" s="115"/>
      <c r="D3272" s="115"/>
      <c r="E3272" s="115"/>
      <c r="F3272" s="115"/>
      <c r="G3272" s="115"/>
      <c r="H3272" s="115"/>
      <c r="I3272" s="115"/>
      <c r="J3272" s="114"/>
      <c r="BA3272" s="117"/>
      <c r="BB3272" s="117"/>
      <c r="BC3272" s="117"/>
      <c r="BD3272" s="117"/>
    </row>
    <row r="3273" spans="1:56">
      <c r="A3273" s="114"/>
      <c r="B3273" s="1285" t="s">
        <v>320</v>
      </c>
      <c r="C3273" s="1286"/>
      <c r="D3273" s="1286"/>
      <c r="E3273" s="1286"/>
      <c r="F3273" s="1287"/>
      <c r="G3273" s="115"/>
      <c r="H3273" s="115"/>
      <c r="I3273" s="386"/>
      <c r="J3273" s="114"/>
      <c r="BA3273" s="117"/>
      <c r="BB3273" s="117"/>
      <c r="BC3273" s="117"/>
      <c r="BD3273" s="117"/>
    </row>
    <row r="3274" spans="1:56">
      <c r="A3274" s="114"/>
      <c r="B3274" s="690"/>
      <c r="C3274" s="115"/>
      <c r="D3274" s="115"/>
      <c r="E3274" s="115"/>
      <c r="F3274" s="182"/>
      <c r="G3274" s="115"/>
      <c r="H3274" s="115"/>
      <c r="I3274" s="386"/>
      <c r="J3274" s="114"/>
      <c r="BA3274" s="117"/>
      <c r="BB3274" s="117"/>
      <c r="BC3274" s="117"/>
      <c r="BD3274" s="117"/>
    </row>
    <row r="3275" spans="1:56" ht="15">
      <c r="A3275" s="114"/>
      <c r="B3275" s="691" t="s">
        <v>2050</v>
      </c>
      <c r="C3275" s="196"/>
      <c r="D3275" s="196"/>
      <c r="E3275" s="196"/>
      <c r="F3275" s="284"/>
      <c r="G3275" s="196"/>
      <c r="H3275" s="196"/>
      <c r="I3275" s="196"/>
      <c r="J3275" s="114"/>
      <c r="BA3275" s="117"/>
      <c r="BB3275" s="117"/>
      <c r="BC3275" s="117"/>
      <c r="BD3275" s="117"/>
    </row>
    <row r="3276" spans="1:56">
      <c r="A3276" s="114"/>
      <c r="B3276" s="692" t="s">
        <v>352</v>
      </c>
      <c r="C3276" s="1007">
        <v>1960</v>
      </c>
      <c r="D3276" s="286" t="s">
        <v>12</v>
      </c>
      <c r="E3276" s="1291" t="s">
        <v>2345</v>
      </c>
      <c r="F3276" s="1292"/>
      <c r="G3276" s="196"/>
      <c r="H3276" s="115"/>
      <c r="I3276" s="196"/>
      <c r="J3276" s="114"/>
      <c r="BA3276" s="117"/>
      <c r="BB3276" s="117"/>
      <c r="BC3276" s="117"/>
      <c r="BD3276" s="117"/>
    </row>
    <row r="3277" spans="1:56">
      <c r="A3277" s="114"/>
      <c r="B3277" s="690"/>
      <c r="C3277" s="115"/>
      <c r="D3277" s="115"/>
      <c r="E3277" s="115"/>
      <c r="F3277" s="182"/>
      <c r="G3277" s="115"/>
      <c r="H3277" s="115"/>
      <c r="I3277" s="386"/>
      <c r="J3277" s="114"/>
      <c r="BA3277" s="117"/>
      <c r="BB3277" s="117"/>
      <c r="BC3277" s="117"/>
      <c r="BD3277" s="117"/>
    </row>
    <row r="3278" spans="1:56" ht="15">
      <c r="A3278" s="114"/>
      <c r="B3278" s="691" t="s">
        <v>351</v>
      </c>
      <c r="C3278" s="211"/>
      <c r="D3278" s="196"/>
      <c r="E3278" s="288"/>
      <c r="F3278" s="284"/>
      <c r="G3278" s="196"/>
      <c r="H3278" s="196"/>
      <c r="I3278" s="196"/>
      <c r="J3278" s="114"/>
      <c r="BA3278" s="117"/>
      <c r="BB3278" s="117"/>
      <c r="BC3278" s="117"/>
      <c r="BD3278" s="117"/>
    </row>
    <row r="3279" spans="1:56" ht="16.5" thickBot="1">
      <c r="A3279" s="114"/>
      <c r="B3279" s="695" t="s">
        <v>352</v>
      </c>
      <c r="C3279" s="817"/>
      <c r="D3279" s="818"/>
      <c r="E3279" s="847">
        <f>C3276</f>
        <v>1960</v>
      </c>
      <c r="F3279" s="820" t="s">
        <v>12</v>
      </c>
      <c r="G3279" s="115"/>
      <c r="H3279" s="871"/>
      <c r="I3279" s="3"/>
      <c r="J3279" s="114"/>
      <c r="BA3279" s="117"/>
      <c r="BB3279" s="117"/>
      <c r="BC3279" s="117"/>
      <c r="BD3279" s="117"/>
    </row>
    <row r="3280" spans="1:56">
      <c r="A3280" s="114"/>
      <c r="B3280" s="140"/>
      <c r="C3280" s="1002"/>
      <c r="D3280" s="1002"/>
      <c r="E3280"/>
      <c r="F3280" s="1003"/>
      <c r="G3280" s="115"/>
      <c r="H3280" s="998"/>
      <c r="I3280" s="3"/>
      <c r="J3280" s="114"/>
      <c r="BA3280" s="117"/>
      <c r="BB3280" s="117"/>
      <c r="BC3280" s="117"/>
      <c r="BD3280" s="117"/>
    </row>
    <row r="3281" spans="1:56">
      <c r="A3281" s="114"/>
      <c r="B3281" s="140"/>
      <c r="C3281" s="1002"/>
      <c r="D3281" s="1002"/>
      <c r="E3281"/>
      <c r="F3281" s="1003"/>
      <c r="G3281" s="115"/>
      <c r="H3281" s="998"/>
      <c r="I3281" s="3"/>
      <c r="J3281" s="114"/>
      <c r="BA3281" s="117"/>
      <c r="BB3281" s="117"/>
      <c r="BC3281" s="117"/>
      <c r="BD3281" s="117"/>
    </row>
    <row r="3282" spans="1:56" ht="15">
      <c r="A3282" s="114"/>
      <c r="B3282" s="1179" t="s">
        <v>2335</v>
      </c>
      <c r="C3282" s="1179"/>
      <c r="D3282" s="1179"/>
      <c r="E3282" s="1179"/>
      <c r="F3282" s="1179"/>
      <c r="G3282" s="1179"/>
      <c r="H3282" s="1179"/>
      <c r="I3282" s="1179"/>
      <c r="J3282" s="1179"/>
      <c r="BA3282" s="117"/>
      <c r="BB3282" s="117"/>
      <c r="BC3282" s="117"/>
      <c r="BD3282" s="117"/>
    </row>
    <row r="3283" spans="1:56" ht="15">
      <c r="A3283" s="114"/>
      <c r="B3283" s="1"/>
      <c r="C3283" s="1"/>
      <c r="D3283" s="1"/>
      <c r="E3283" s="1"/>
      <c r="F3283" s="1"/>
      <c r="G3283" s="3"/>
      <c r="H3283" s="3"/>
      <c r="I3283" s="3"/>
      <c r="J3283" s="4"/>
      <c r="BA3283" s="117"/>
      <c r="BB3283" s="117"/>
      <c r="BC3283" s="117"/>
      <c r="BD3283" s="117"/>
    </row>
    <row r="3284" spans="1:56" ht="15">
      <c r="A3284" s="114"/>
      <c r="B3284" s="849" t="s">
        <v>2043</v>
      </c>
      <c r="C3284" s="850" t="s">
        <v>61</v>
      </c>
      <c r="D3284" s="850" t="s">
        <v>66</v>
      </c>
      <c r="E3284" s="850" t="s">
        <v>2044</v>
      </c>
      <c r="F3284" s="850" t="s">
        <v>2045</v>
      </c>
      <c r="G3284" s="851" t="s">
        <v>99</v>
      </c>
      <c r="H3284" s="851" t="s">
        <v>68</v>
      </c>
      <c r="I3284" s="851" t="s">
        <v>305</v>
      </c>
      <c r="J3284" s="848"/>
      <c r="BA3284" s="117"/>
      <c r="BB3284" s="117"/>
      <c r="BC3284" s="117"/>
      <c r="BD3284" s="117"/>
    </row>
    <row r="3285" spans="1:56" ht="15">
      <c r="A3285" s="114"/>
      <c r="B3285" s="852" t="s">
        <v>2047</v>
      </c>
      <c r="C3285" s="853">
        <v>1</v>
      </c>
      <c r="D3285" s="175">
        <v>0.3</v>
      </c>
      <c r="E3285" s="175">
        <v>4</v>
      </c>
      <c r="F3285" s="1001">
        <v>4</v>
      </c>
      <c r="G3285" s="855">
        <f>C3285*D3285*E3285*F3285</f>
        <v>4.8</v>
      </c>
      <c r="H3285" s="855">
        <f>2*(E3285+F3285)*C3285*D3285</f>
        <v>4.8</v>
      </c>
      <c r="I3285" s="856">
        <f>E3285*F3285*0.05</f>
        <v>0.8</v>
      </c>
      <c r="J3285" s="848"/>
      <c r="BA3285" s="117"/>
      <c r="BB3285" s="117"/>
      <c r="BC3285" s="117"/>
      <c r="BD3285" s="117"/>
    </row>
    <row r="3286" spans="1:56" ht="15">
      <c r="A3286" s="114"/>
      <c r="B3286" s="852" t="s">
        <v>2114</v>
      </c>
      <c r="C3286" s="853">
        <v>1</v>
      </c>
      <c r="D3286" s="175">
        <v>0.25</v>
      </c>
      <c r="E3286" s="175">
        <v>3.1</v>
      </c>
      <c r="F3286" s="854">
        <v>2.5</v>
      </c>
      <c r="G3286" s="855">
        <f>C3286*D3286*E3286*F3286</f>
        <v>1.9375</v>
      </c>
      <c r="H3286" s="855">
        <f>2*(E3286+F3286)*C3286*D3286</f>
        <v>2.8</v>
      </c>
      <c r="I3286" s="856">
        <f>E3286*F3286*0.05</f>
        <v>0.38750000000000001</v>
      </c>
      <c r="J3286" s="848"/>
      <c r="BA3286" s="117"/>
      <c r="BB3286" s="117"/>
      <c r="BC3286" s="117"/>
      <c r="BD3286" s="117"/>
    </row>
    <row r="3287" spans="1:56" ht="15">
      <c r="A3287" s="114"/>
      <c r="B3287" s="852" t="s">
        <v>2333</v>
      </c>
      <c r="C3287" s="853">
        <v>1</v>
      </c>
      <c r="D3287" s="175">
        <v>0.2</v>
      </c>
      <c r="E3287" s="1006">
        <v>0.5</v>
      </c>
      <c r="F3287" s="854">
        <v>3</v>
      </c>
      <c r="G3287" s="855">
        <f>C3287*D3287*E3287*F3287</f>
        <v>0.30000000000000004</v>
      </c>
      <c r="H3287" s="855">
        <f>C3287*E3287*F3287</f>
        <v>1.5</v>
      </c>
      <c r="I3287" s="857"/>
      <c r="J3287" s="848"/>
      <c r="BA3287" s="117"/>
      <c r="BB3287" s="117"/>
      <c r="BC3287" s="117"/>
      <c r="BD3287" s="117"/>
    </row>
    <row r="3288" spans="1:56" ht="15">
      <c r="A3288" s="114"/>
      <c r="B3288" s="1004" t="s">
        <v>2334</v>
      </c>
      <c r="C3288" s="1005">
        <v>1</v>
      </c>
      <c r="D3288" s="1006">
        <v>0.2</v>
      </c>
      <c r="E3288" s="1006">
        <v>0.3</v>
      </c>
      <c r="F3288" s="854">
        <v>2.1</v>
      </c>
      <c r="G3288" s="855">
        <f>C3288*D3288*E3288*F3288</f>
        <v>0.126</v>
      </c>
      <c r="H3288" s="855">
        <f>C3288*E3288*F3288</f>
        <v>0.63</v>
      </c>
      <c r="I3288" s="857"/>
      <c r="J3288" s="848"/>
      <c r="BA3288" s="117"/>
      <c r="BB3288" s="117"/>
      <c r="BC3288" s="117"/>
      <c r="BD3288" s="117"/>
    </row>
    <row r="3289" spans="1:56" ht="15">
      <c r="A3289" s="114"/>
      <c r="B3289" s="852" t="s">
        <v>2137</v>
      </c>
      <c r="C3289" s="853">
        <v>1</v>
      </c>
      <c r="D3289" s="175">
        <v>0.2</v>
      </c>
      <c r="E3289" s="175">
        <v>3</v>
      </c>
      <c r="F3289" s="854">
        <v>3</v>
      </c>
      <c r="G3289" s="855"/>
      <c r="H3289" s="855"/>
      <c r="I3289" s="855">
        <f>D3289*E3289*F3289</f>
        <v>1.8000000000000003</v>
      </c>
      <c r="J3289" s="848"/>
      <c r="BA3289" s="117"/>
      <c r="BB3289" s="117"/>
      <c r="BC3289" s="117"/>
      <c r="BD3289" s="117"/>
    </row>
    <row r="3290" spans="1:56" ht="15">
      <c r="A3290" s="114"/>
      <c r="B3290" s="852" t="s">
        <v>2347</v>
      </c>
      <c r="C3290" s="853">
        <v>1</v>
      </c>
      <c r="D3290" s="175">
        <v>0.2</v>
      </c>
      <c r="E3290" s="175">
        <v>0.8</v>
      </c>
      <c r="F3290" s="854">
        <v>0.8</v>
      </c>
      <c r="G3290" s="855">
        <f>C3290*D3290*E3290*F3290</f>
        <v>0.12800000000000003</v>
      </c>
      <c r="H3290" s="855">
        <f>C3290*E3290*F3290</f>
        <v>0.64000000000000012</v>
      </c>
      <c r="I3290" s="856">
        <f>E3290*F3290*0.05</f>
        <v>3.2000000000000008E-2</v>
      </c>
      <c r="J3290" s="848"/>
      <c r="BA3290" s="117"/>
      <c r="BB3290" s="117"/>
      <c r="BC3290" s="117"/>
      <c r="BD3290" s="117"/>
    </row>
    <row r="3291" spans="1:56" ht="15">
      <c r="A3291" s="114"/>
      <c r="B3291" s="300"/>
      <c r="C3291" s="235"/>
      <c r="D3291" s="138"/>
      <c r="E3291" s="138"/>
      <c r="F3291" s="138"/>
      <c r="G3291" s="858"/>
      <c r="H3291" s="859"/>
      <c r="I3291" s="6"/>
      <c r="J3291"/>
      <c r="BA3291" s="117"/>
      <c r="BB3291" s="117"/>
      <c r="BC3291" s="117"/>
      <c r="BD3291" s="117"/>
    </row>
    <row r="3292" spans="1:56" ht="15">
      <c r="A3292" s="114"/>
      <c r="B3292" s="849" t="s">
        <v>160</v>
      </c>
      <c r="C3292" s="850" t="s">
        <v>61</v>
      </c>
      <c r="D3292" s="850" t="s">
        <v>82</v>
      </c>
      <c r="E3292" s="850" t="s">
        <v>66</v>
      </c>
      <c r="F3292" s="850" t="s">
        <v>62</v>
      </c>
      <c r="G3292" s="851" t="s">
        <v>99</v>
      </c>
      <c r="H3292" s="851" t="s">
        <v>68</v>
      </c>
      <c r="I3292" s="997"/>
      <c r="J3292"/>
      <c r="BA3292" s="117"/>
      <c r="BB3292" s="117"/>
      <c r="BC3292" s="117"/>
      <c r="BD3292" s="117"/>
    </row>
    <row r="3293" spans="1:56" ht="15">
      <c r="A3293" s="114"/>
      <c r="B3293" s="852" t="s">
        <v>161</v>
      </c>
      <c r="C3293" s="853">
        <v>1</v>
      </c>
      <c r="D3293" s="861">
        <v>0.25</v>
      </c>
      <c r="E3293" s="175">
        <v>3.5</v>
      </c>
      <c r="F3293" s="175">
        <v>5.3</v>
      </c>
      <c r="G3293" s="855">
        <f t="shared" ref="G3293:G3299" si="336">D3293*E3293*F3293*C3293</f>
        <v>4.6375000000000002</v>
      </c>
      <c r="H3293" s="855">
        <f t="shared" ref="H3293:H3299" si="337">C3293*2*E3293*F3293</f>
        <v>37.1</v>
      </c>
      <c r="I3293" s="138"/>
      <c r="J3293"/>
      <c r="BA3293" s="117"/>
      <c r="BB3293" s="117"/>
      <c r="BC3293" s="117"/>
      <c r="BD3293" s="117"/>
    </row>
    <row r="3294" spans="1:56" ht="15">
      <c r="A3294" s="114"/>
      <c r="B3294" s="852" t="s">
        <v>162</v>
      </c>
      <c r="C3294" s="853">
        <v>1</v>
      </c>
      <c r="D3294" s="861">
        <v>0.25</v>
      </c>
      <c r="E3294" s="175">
        <v>3.5</v>
      </c>
      <c r="F3294" s="175">
        <v>5.3</v>
      </c>
      <c r="G3294" s="855">
        <f t="shared" si="336"/>
        <v>4.6375000000000002</v>
      </c>
      <c r="H3294" s="855">
        <f t="shared" si="337"/>
        <v>37.1</v>
      </c>
      <c r="I3294" s="138"/>
      <c r="J3294"/>
      <c r="BA3294" s="117"/>
      <c r="BB3294" s="117"/>
      <c r="BC3294" s="117"/>
      <c r="BD3294" s="117"/>
    </row>
    <row r="3295" spans="1:56" ht="15">
      <c r="A3295" s="114"/>
      <c r="B3295" s="852" t="s">
        <v>163</v>
      </c>
      <c r="C3295" s="853">
        <v>1</v>
      </c>
      <c r="D3295" s="861">
        <v>0.25</v>
      </c>
      <c r="E3295" s="175">
        <v>3</v>
      </c>
      <c r="F3295" s="175">
        <v>5.3</v>
      </c>
      <c r="G3295" s="855">
        <f t="shared" si="336"/>
        <v>3.9749999999999996</v>
      </c>
      <c r="H3295" s="855">
        <f t="shared" si="337"/>
        <v>31.799999999999997</v>
      </c>
      <c r="I3295" s="138"/>
      <c r="J3295"/>
      <c r="BA3295" s="117"/>
      <c r="BB3295" s="117"/>
      <c r="BC3295" s="117"/>
      <c r="BD3295" s="117"/>
    </row>
    <row r="3296" spans="1:56" ht="15">
      <c r="A3296" s="114"/>
      <c r="B3296" s="852" t="s">
        <v>164</v>
      </c>
      <c r="C3296" s="853">
        <v>1</v>
      </c>
      <c r="D3296" s="861">
        <v>0.25</v>
      </c>
      <c r="E3296" s="175">
        <v>3</v>
      </c>
      <c r="F3296" s="175">
        <v>5.3</v>
      </c>
      <c r="G3296" s="855">
        <f t="shared" si="336"/>
        <v>3.9749999999999996</v>
      </c>
      <c r="H3296" s="855">
        <f t="shared" si="337"/>
        <v>31.799999999999997</v>
      </c>
      <c r="I3296" s="138"/>
      <c r="J3296"/>
      <c r="BA3296" s="117"/>
      <c r="BB3296" s="117"/>
      <c r="BC3296" s="117"/>
      <c r="BD3296" s="117"/>
    </row>
    <row r="3297" spans="1:56" ht="15">
      <c r="A3297" s="114"/>
      <c r="B3297" s="852" t="s">
        <v>165</v>
      </c>
      <c r="C3297" s="853">
        <v>1</v>
      </c>
      <c r="D3297" s="861">
        <v>0.25</v>
      </c>
      <c r="E3297" s="175">
        <v>2.6</v>
      </c>
      <c r="F3297" s="1006">
        <v>1.45</v>
      </c>
      <c r="G3297" s="855">
        <f t="shared" si="336"/>
        <v>0.9425</v>
      </c>
      <c r="H3297" s="855">
        <f t="shared" si="337"/>
        <v>7.54</v>
      </c>
      <c r="I3297" s="138"/>
      <c r="J3297"/>
      <c r="BA3297" s="117"/>
      <c r="BB3297" s="117"/>
      <c r="BC3297" s="117"/>
      <c r="BD3297" s="117"/>
    </row>
    <row r="3298" spans="1:56" ht="15">
      <c r="A3298" s="114"/>
      <c r="B3298" s="852" t="s">
        <v>2093</v>
      </c>
      <c r="C3298" s="853">
        <v>1</v>
      </c>
      <c r="D3298" s="861">
        <v>0.25</v>
      </c>
      <c r="E3298" s="175">
        <v>2</v>
      </c>
      <c r="F3298" s="1006">
        <v>1.45</v>
      </c>
      <c r="G3298" s="855">
        <f t="shared" si="336"/>
        <v>0.72499999999999998</v>
      </c>
      <c r="H3298" s="855">
        <f t="shared" si="337"/>
        <v>5.8</v>
      </c>
      <c r="I3298" s="138"/>
      <c r="J3298"/>
      <c r="BA3298" s="117"/>
      <c r="BB3298" s="117"/>
      <c r="BC3298" s="117"/>
      <c r="BD3298" s="117"/>
    </row>
    <row r="3299" spans="1:56" ht="15">
      <c r="A3299" s="114"/>
      <c r="B3299" s="852" t="s">
        <v>2094</v>
      </c>
      <c r="C3299" s="853">
        <v>1</v>
      </c>
      <c r="D3299" s="861">
        <v>0.25</v>
      </c>
      <c r="E3299" s="175">
        <v>2</v>
      </c>
      <c r="F3299" s="1006">
        <v>1.45</v>
      </c>
      <c r="G3299" s="855">
        <f t="shared" si="336"/>
        <v>0.72499999999999998</v>
      </c>
      <c r="H3299" s="855">
        <f t="shared" si="337"/>
        <v>5.8</v>
      </c>
      <c r="I3299" s="138"/>
      <c r="J3299"/>
      <c r="BA3299" s="117"/>
      <c r="BB3299" s="117"/>
      <c r="BC3299" s="117"/>
      <c r="BD3299" s="117"/>
    </row>
    <row r="3300" spans="1:56" ht="15">
      <c r="A3300" s="114"/>
      <c r="B3300" s="852" t="s">
        <v>2347</v>
      </c>
      <c r="C3300" s="853">
        <v>1</v>
      </c>
      <c r="D3300" s="861">
        <v>0.2</v>
      </c>
      <c r="E3300" s="175">
        <v>0.6</v>
      </c>
      <c r="F3300" s="1006">
        <v>0.8</v>
      </c>
      <c r="G3300" s="855">
        <f t="shared" ref="G3300" si="338">D3300*E3300*F3300*C3300</f>
        <v>9.6000000000000002E-2</v>
      </c>
      <c r="H3300" s="855">
        <f t="shared" ref="H3300" si="339">C3300*2*E3300*F3300</f>
        <v>0.96</v>
      </c>
      <c r="I3300" s="138"/>
      <c r="J3300"/>
      <c r="BA3300" s="117"/>
      <c r="BB3300" s="117"/>
      <c r="BC3300" s="117"/>
      <c r="BD3300" s="117"/>
    </row>
    <row r="3301" spans="1:56" ht="15">
      <c r="A3301" s="114"/>
      <c r="B3301" s="300"/>
      <c r="C3301" s="235"/>
      <c r="D3301" s="862"/>
      <c r="E3301" s="138"/>
      <c r="F3301" s="138"/>
      <c r="G3301" s="138"/>
      <c r="H3301" s="138"/>
      <c r="I3301" s="138"/>
      <c r="J3301" s="997"/>
      <c r="BA3301" s="117"/>
      <c r="BB3301" s="117"/>
      <c r="BC3301" s="117"/>
      <c r="BD3301" s="117"/>
    </row>
    <row r="3302" spans="1:56" ht="15">
      <c r="A3302" s="114"/>
      <c r="B3302" s="293"/>
      <c r="C3302" s="387"/>
      <c r="D3302" s="387"/>
      <c r="E3302" s="387"/>
      <c r="F3302" s="387"/>
      <c r="G3302" s="387"/>
      <c r="H3302" s="386"/>
      <c r="I3302" s="386"/>
      <c r="J3302" s="6"/>
      <c r="BA3302" s="117"/>
      <c r="BB3302" s="117"/>
      <c r="BC3302" s="117"/>
      <c r="BD3302" s="117"/>
    </row>
    <row r="3303" spans="1:56" ht="15">
      <c r="A3303" s="114"/>
      <c r="B3303" s="801" t="s">
        <v>2062</v>
      </c>
      <c r="C3303" s="751" t="s">
        <v>2063</v>
      </c>
      <c r="D3303" s="751" t="s">
        <v>82</v>
      </c>
      <c r="E3303" s="802" t="s">
        <v>99</v>
      </c>
      <c r="F3303" s="802" t="s">
        <v>68</v>
      </c>
      <c r="G3303" s="386"/>
      <c r="H3303" s="996"/>
      <c r="I3303" s="114"/>
      <c r="J3303" s="114"/>
      <c r="BA3303" s="117"/>
      <c r="BB3303" s="117"/>
      <c r="BC3303" s="117"/>
      <c r="BD3303" s="117"/>
    </row>
    <row r="3304" spans="1:56" ht="15">
      <c r="A3304" s="114"/>
      <c r="B3304" s="803" t="s">
        <v>161</v>
      </c>
      <c r="C3304" s="755">
        <f>3.1416*0.3*0.3/4</f>
        <v>7.0685999999999999E-2</v>
      </c>
      <c r="D3304" s="756">
        <v>0.25</v>
      </c>
      <c r="E3304" s="828">
        <f>C3304*D3304</f>
        <v>1.76715E-2</v>
      </c>
      <c r="F3304" s="828">
        <f>C3304*2</f>
        <v>0.141372</v>
      </c>
      <c r="G3304" s="386"/>
      <c r="H3304" s="996"/>
      <c r="I3304" s="114"/>
      <c r="J3304" s="114"/>
      <c r="BA3304" s="117"/>
      <c r="BB3304" s="117"/>
      <c r="BC3304" s="117"/>
      <c r="BD3304" s="117"/>
    </row>
    <row r="3305" spans="1:56" ht="15">
      <c r="A3305" s="114"/>
      <c r="B3305" s="803" t="s">
        <v>162</v>
      </c>
      <c r="C3305" s="755">
        <f>(3.1416*0.2*0.2/4)*2</f>
        <v>6.2831999999999999E-2</v>
      </c>
      <c r="D3305" s="756">
        <v>0.25</v>
      </c>
      <c r="E3305" s="828">
        <f t="shared" ref="E3305:E3307" si="340">C3305*D3305</f>
        <v>1.5708E-2</v>
      </c>
      <c r="F3305" s="828">
        <f t="shared" ref="F3305" si="341">C3305*2</f>
        <v>0.125664</v>
      </c>
      <c r="G3305" s="386"/>
      <c r="H3305" s="996"/>
      <c r="I3305" s="114"/>
      <c r="J3305" s="114"/>
      <c r="BA3305" s="117"/>
      <c r="BB3305" s="117"/>
      <c r="BC3305" s="117"/>
      <c r="BD3305" s="117"/>
    </row>
    <row r="3306" spans="1:56" ht="15">
      <c r="A3306" s="114"/>
      <c r="B3306" s="803" t="s">
        <v>2346</v>
      </c>
      <c r="C3306" s="755">
        <f>3.1416*0.2*0.2/4</f>
        <v>3.1415999999999999E-2</v>
      </c>
      <c r="D3306" s="756">
        <v>0.25</v>
      </c>
      <c r="E3306" s="828">
        <f t="shared" ref="E3306" si="342">C3306*D3306</f>
        <v>7.8539999999999999E-3</v>
      </c>
      <c r="F3306" s="828">
        <f t="shared" ref="F3306" si="343">C3306*2</f>
        <v>6.2831999999999999E-2</v>
      </c>
      <c r="G3306" s="386"/>
      <c r="H3306" s="996"/>
      <c r="I3306" s="114"/>
      <c r="J3306" s="114"/>
      <c r="BA3306" s="117"/>
      <c r="BB3306" s="117"/>
      <c r="BC3306" s="117"/>
      <c r="BD3306" s="117"/>
    </row>
    <row r="3307" spans="1:56" ht="15">
      <c r="A3307" s="114"/>
      <c r="B3307" s="803" t="s">
        <v>2333</v>
      </c>
      <c r="C3307" s="755">
        <f>0.2*0.5</f>
        <v>0.1</v>
      </c>
      <c r="D3307" s="756">
        <v>0.2</v>
      </c>
      <c r="E3307" s="828">
        <f t="shared" si="340"/>
        <v>2.0000000000000004E-2</v>
      </c>
      <c r="F3307" s="828">
        <f>C3307</f>
        <v>0.1</v>
      </c>
      <c r="G3307" s="386"/>
      <c r="H3307" s="996"/>
      <c r="I3307" s="114"/>
      <c r="J3307" s="114"/>
      <c r="BA3307" s="117"/>
      <c r="BB3307" s="117"/>
      <c r="BC3307" s="117"/>
      <c r="BD3307" s="117"/>
    </row>
    <row r="3308" spans="1:56" ht="15">
      <c r="A3308" s="114"/>
      <c r="B3308" s="114"/>
      <c r="C3308" s="114"/>
      <c r="D3308" s="758" t="s">
        <v>76</v>
      </c>
      <c r="E3308" s="228">
        <f>-SUM(E3304:E3307)</f>
        <v>-6.1233500000000003E-2</v>
      </c>
      <c r="F3308" s="228">
        <f>-SUM(F3304:F3307)</f>
        <v>-0.42986800000000003</v>
      </c>
      <c r="G3308" s="386"/>
      <c r="H3308" s="996"/>
      <c r="I3308" s="114"/>
      <c r="J3308" s="114"/>
      <c r="BA3308" s="117"/>
      <c r="BB3308" s="117"/>
      <c r="BC3308" s="117"/>
      <c r="BD3308" s="117"/>
    </row>
    <row r="3309" spans="1:56" ht="15">
      <c r="A3309" s="114"/>
      <c r="B3309"/>
      <c r="C3309"/>
      <c r="D3309"/>
      <c r="E3309"/>
      <c r="F3309"/>
      <c r="G3309"/>
      <c r="H3309"/>
      <c r="I3309"/>
      <c r="J3309"/>
      <c r="BA3309" s="117"/>
      <c r="BB3309" s="117"/>
      <c r="BC3309" s="117"/>
      <c r="BD3309" s="117"/>
    </row>
    <row r="3310" spans="1:56" ht="15">
      <c r="A3310" s="114"/>
      <c r="B3310" s="300"/>
      <c r="C3310" s="235"/>
      <c r="D3310" s="138"/>
      <c r="E3310" s="138"/>
      <c r="F3310" s="138"/>
      <c r="G3310" s="858"/>
      <c r="H3310" s="859"/>
      <c r="I3310" s="6"/>
      <c r="J3310"/>
      <c r="BA3310" s="117"/>
      <c r="BB3310" s="117"/>
      <c r="BC3310" s="117"/>
      <c r="BD3310" s="117"/>
    </row>
    <row r="3311" spans="1:56" thickBot="1">
      <c r="A3311" s="114"/>
      <c r="B3311" s="300"/>
      <c r="C3311" s="235"/>
      <c r="D3311" s="138"/>
      <c r="E3311" s="138"/>
      <c r="F3311" s="138"/>
      <c r="G3311" s="858"/>
      <c r="H3311" s="859"/>
      <c r="I3311" s="6"/>
      <c r="J3311"/>
      <c r="BA3311" s="117"/>
      <c r="BB3311" s="117"/>
      <c r="BC3311" s="117"/>
      <c r="BD3311" s="117"/>
    </row>
    <row r="3312" spans="1:56" ht="16.5" thickBot="1">
      <c r="A3312" s="114"/>
      <c r="B3312" s="1280" t="s">
        <v>98</v>
      </c>
      <c r="C3312" s="1281"/>
      <c r="D3312" s="1281"/>
      <c r="E3312" s="1281"/>
      <c r="F3312" s="1282"/>
      <c r="G3312"/>
      <c r="H3312"/>
      <c r="I3312"/>
      <c r="J3312"/>
      <c r="BA3312" s="117"/>
      <c r="BB3312" s="117"/>
      <c r="BC3312" s="117"/>
      <c r="BD3312" s="117"/>
    </row>
    <row r="3313" spans="1:56" ht="15">
      <c r="A3313" s="114"/>
      <c r="B3313" s="40"/>
      <c r="C3313" s="996"/>
      <c r="D3313" s="996"/>
      <c r="E3313" s="996"/>
      <c r="F3313" s="424"/>
      <c r="G3313"/>
      <c r="H3313"/>
      <c r="I3313" s="863"/>
      <c r="J3313"/>
      <c r="BA3313" s="117"/>
      <c r="BB3313" s="117"/>
      <c r="BC3313" s="117"/>
      <c r="BD3313" s="117"/>
    </row>
    <row r="3314" spans="1:56">
      <c r="A3314" s="114"/>
      <c r="B3314" s="999" t="s">
        <v>1129</v>
      </c>
      <c r="C3314" s="172"/>
      <c r="D3314" s="173"/>
      <c r="E3314" s="901">
        <f>SUM(H3285:H3290)+SUM(H3293:H3300)+F3308</f>
        <v>167.84013200000004</v>
      </c>
      <c r="F3314" s="139" t="s">
        <v>13</v>
      </c>
      <c r="G3314"/>
      <c r="H3314"/>
      <c r="I3314"/>
      <c r="J3314"/>
      <c r="BA3314" s="117"/>
      <c r="BB3314" s="117"/>
      <c r="BC3314" s="117"/>
      <c r="BD3314" s="117"/>
    </row>
    <row r="3315" spans="1:56" ht="18">
      <c r="A3315" s="114"/>
      <c r="B3315" s="718" t="s">
        <v>1130</v>
      </c>
      <c r="C3315" s="289"/>
      <c r="D3315" s="290"/>
      <c r="E3315" s="901">
        <f>SUM(G3285:G3290)+SUM(G3293:G3300)+E3308</f>
        <v>26.943766500000002</v>
      </c>
      <c r="F3315" s="700" t="s">
        <v>1124</v>
      </c>
      <c r="G3315"/>
      <c r="H3315"/>
      <c r="I3315"/>
      <c r="J3315"/>
      <c r="BA3315" s="117"/>
      <c r="BB3315" s="117"/>
      <c r="BC3315" s="117"/>
      <c r="BD3315" s="117"/>
    </row>
    <row r="3316" spans="1:56" ht="18">
      <c r="A3316" s="114"/>
      <c r="B3316" s="718" t="s">
        <v>2048</v>
      </c>
      <c r="C3316" s="289"/>
      <c r="D3316" s="289"/>
      <c r="E3316" s="969">
        <f>SUM(I3285:I3289)</f>
        <v>2.9875000000000003</v>
      </c>
      <c r="F3316" s="700" t="s">
        <v>1124</v>
      </c>
      <c r="G3316"/>
      <c r="H3316"/>
      <c r="I3316"/>
      <c r="J3316"/>
      <c r="BA3316" s="117"/>
      <c r="BB3316" s="117"/>
      <c r="BC3316" s="117"/>
      <c r="BD3316" s="117"/>
    </row>
    <row r="3317" spans="1:56" ht="16.5" thickBot="1">
      <c r="A3317" s="114"/>
      <c r="B3317" s="1000"/>
      <c r="C3317" s="174"/>
      <c r="D3317" s="174"/>
      <c r="E3317" s="866"/>
      <c r="F3317" s="440"/>
      <c r="G3317"/>
      <c r="H3317"/>
      <c r="I3317"/>
      <c r="J3317"/>
      <c r="BA3317" s="117"/>
      <c r="BB3317" s="117"/>
      <c r="BC3317" s="117"/>
      <c r="BD3317" s="117"/>
    </row>
    <row r="3318" spans="1:56" ht="15">
      <c r="A3318" s="114"/>
      <c r="B3318" s="1"/>
      <c r="C3318" s="1"/>
      <c r="D3318" s="1"/>
      <c r="E3318" s="1"/>
      <c r="F3318" s="1"/>
      <c r="G3318" s="1"/>
      <c r="H3318" s="3"/>
      <c r="I3318" s="3"/>
      <c r="J3318" s="3"/>
      <c r="BA3318" s="117"/>
      <c r="BB3318" s="117"/>
      <c r="BC3318" s="117"/>
      <c r="BD3318" s="117"/>
    </row>
    <row r="3319" spans="1:56" ht="16.5" thickBot="1">
      <c r="A3319" s="114"/>
      <c r="B3319" s="115"/>
      <c r="C3319" s="115"/>
      <c r="D3319" s="115"/>
      <c r="E3319" s="115"/>
      <c r="F3319" s="115"/>
      <c r="G3319" s="115"/>
      <c r="H3319" s="115"/>
      <c r="I3319" s="115"/>
      <c r="J3319" s="114"/>
      <c r="BA3319" s="117"/>
      <c r="BB3319" s="117"/>
      <c r="BC3319" s="117"/>
      <c r="BD3319" s="117"/>
    </row>
    <row r="3320" spans="1:56">
      <c r="A3320" s="114"/>
      <c r="B3320" s="1285" t="s">
        <v>320</v>
      </c>
      <c r="C3320" s="1286"/>
      <c r="D3320" s="1286"/>
      <c r="E3320" s="1286"/>
      <c r="F3320" s="1287"/>
      <c r="G3320" s="115"/>
      <c r="H3320" s="115"/>
      <c r="I3320" s="386"/>
      <c r="J3320" s="114"/>
      <c r="BA3320" s="117"/>
      <c r="BB3320" s="117"/>
      <c r="BC3320" s="117"/>
      <c r="BD3320" s="117"/>
    </row>
    <row r="3321" spans="1:56">
      <c r="A3321" s="114"/>
      <c r="B3321" s="690"/>
      <c r="C3321" s="115"/>
      <c r="D3321" s="115"/>
      <c r="E3321" s="115"/>
      <c r="F3321" s="182"/>
      <c r="G3321" s="115"/>
      <c r="H3321" s="115"/>
      <c r="I3321" s="386"/>
      <c r="J3321" s="114"/>
      <c r="BA3321" s="117"/>
      <c r="BB3321" s="117"/>
      <c r="BC3321" s="117"/>
      <c r="BD3321" s="117"/>
    </row>
    <row r="3322" spans="1:56" ht="15">
      <c r="A3322" s="114"/>
      <c r="B3322" s="691" t="s">
        <v>2050</v>
      </c>
      <c r="C3322" s="196"/>
      <c r="D3322" s="196"/>
      <c r="E3322" s="196"/>
      <c r="F3322" s="284"/>
      <c r="G3322" s="196"/>
      <c r="H3322" s="196"/>
      <c r="I3322" s="196"/>
      <c r="J3322" s="114"/>
      <c r="BA3322" s="117"/>
      <c r="BB3322" s="117"/>
      <c r="BC3322" s="117"/>
      <c r="BD3322" s="117"/>
    </row>
    <row r="3323" spans="1:56">
      <c r="A3323" s="114"/>
      <c r="B3323" s="692" t="s">
        <v>352</v>
      </c>
      <c r="C3323" s="1007">
        <v>2424</v>
      </c>
      <c r="D3323" s="286" t="s">
        <v>12</v>
      </c>
      <c r="E3323" s="1291" t="s">
        <v>2156</v>
      </c>
      <c r="F3323" s="1292"/>
      <c r="G3323" s="196"/>
      <c r="H3323" s="115"/>
      <c r="I3323" s="196"/>
      <c r="J3323" s="114"/>
      <c r="BA3323" s="117"/>
      <c r="BB3323" s="117"/>
      <c r="BC3323" s="117"/>
      <c r="BD3323" s="117"/>
    </row>
    <row r="3324" spans="1:56">
      <c r="A3324" s="114"/>
      <c r="B3324" s="690"/>
      <c r="C3324" s="115"/>
      <c r="D3324" s="115"/>
      <c r="E3324" s="115"/>
      <c r="F3324" s="182"/>
      <c r="G3324" s="115"/>
      <c r="H3324" s="115"/>
      <c r="I3324" s="386"/>
      <c r="J3324" s="114"/>
      <c r="BA3324" s="117"/>
      <c r="BB3324" s="117"/>
      <c r="BC3324" s="117"/>
      <c r="BD3324" s="117"/>
    </row>
    <row r="3325" spans="1:56" ht="15">
      <c r="A3325" s="114"/>
      <c r="B3325" s="691" t="s">
        <v>351</v>
      </c>
      <c r="C3325" s="211"/>
      <c r="D3325" s="196"/>
      <c r="E3325" s="288"/>
      <c r="F3325" s="284"/>
      <c r="G3325" s="196"/>
      <c r="H3325" s="196"/>
      <c r="I3325" s="196"/>
      <c r="J3325" s="114"/>
      <c r="BA3325" s="117"/>
      <c r="BB3325" s="117"/>
      <c r="BC3325" s="117"/>
      <c r="BD3325" s="117"/>
    </row>
    <row r="3326" spans="1:56" ht="16.5" thickBot="1">
      <c r="A3326" s="114"/>
      <c r="B3326" s="695" t="s">
        <v>352</v>
      </c>
      <c r="C3326" s="817"/>
      <c r="D3326" s="818"/>
      <c r="E3326" s="847">
        <f>C3323</f>
        <v>2424</v>
      </c>
      <c r="F3326" s="820" t="s">
        <v>12</v>
      </c>
      <c r="G3326" s="115"/>
      <c r="H3326" s="998"/>
      <c r="I3326" s="3"/>
      <c r="J3326" s="114"/>
      <c r="BA3326" s="117"/>
      <c r="BB3326" s="117"/>
      <c r="BC3326" s="117"/>
      <c r="BD3326" s="117"/>
    </row>
    <row r="3327" spans="1:56">
      <c r="A3327" s="114"/>
      <c r="B3327" s="140"/>
      <c r="C3327" s="1002"/>
      <c r="D3327" s="1002"/>
      <c r="E3327"/>
      <c r="F3327" s="1003"/>
      <c r="G3327" s="115"/>
      <c r="H3327" s="998"/>
      <c r="I3327" s="3"/>
      <c r="J3327" s="114"/>
      <c r="BA3327" s="117"/>
      <c r="BB3327" s="117"/>
      <c r="BC3327" s="117"/>
      <c r="BD3327" s="117"/>
    </row>
    <row r="3328" spans="1:56">
      <c r="A3328" s="114"/>
      <c r="B3328" s="140"/>
      <c r="C3328" s="1002"/>
      <c r="D3328" s="1002"/>
      <c r="E3328"/>
      <c r="F3328" s="1003"/>
      <c r="G3328" s="115"/>
      <c r="H3328" s="998"/>
      <c r="I3328" s="3"/>
      <c r="J3328" s="114"/>
      <c r="BA3328" s="117"/>
      <c r="BB3328" s="117"/>
      <c r="BC3328" s="117"/>
      <c r="BD3328" s="117"/>
    </row>
    <row r="3329" spans="1:56" ht="15">
      <c r="A3329" s="114"/>
      <c r="B3329" s="1179" t="s">
        <v>2336</v>
      </c>
      <c r="C3329" s="1179"/>
      <c r="D3329" s="1179"/>
      <c r="E3329" s="1179"/>
      <c r="F3329" s="1179"/>
      <c r="G3329" s="1179"/>
      <c r="H3329" s="1179"/>
      <c r="I3329" s="1179"/>
      <c r="J3329" s="1179"/>
      <c r="BA3329" s="117"/>
      <c r="BB3329" s="117"/>
      <c r="BC3329" s="117"/>
      <c r="BD3329" s="117"/>
    </row>
    <row r="3330" spans="1:56" ht="15">
      <c r="A3330" s="114"/>
      <c r="B3330" s="1"/>
      <c r="C3330" s="1"/>
      <c r="D3330" s="1"/>
      <c r="E3330" s="1"/>
      <c r="F3330" s="1"/>
      <c r="G3330" s="3"/>
      <c r="H3330" s="3"/>
      <c r="I3330" s="3"/>
      <c r="J3330" s="4"/>
      <c r="BA3330" s="117"/>
      <c r="BB3330" s="117"/>
      <c r="BC3330" s="117"/>
      <c r="BD3330" s="117"/>
    </row>
    <row r="3331" spans="1:56" ht="15">
      <c r="A3331" s="114"/>
      <c r="B3331" s="849" t="s">
        <v>2043</v>
      </c>
      <c r="C3331" s="850" t="s">
        <v>61</v>
      </c>
      <c r="D3331" s="850" t="s">
        <v>66</v>
      </c>
      <c r="E3331" s="850" t="s">
        <v>2044</v>
      </c>
      <c r="F3331" s="850" t="s">
        <v>2045</v>
      </c>
      <c r="G3331" s="851" t="s">
        <v>99</v>
      </c>
      <c r="H3331" s="851" t="s">
        <v>68</v>
      </c>
      <c r="I3331" s="851" t="s">
        <v>305</v>
      </c>
      <c r="J3331" s="848"/>
      <c r="BA3331" s="117"/>
      <c r="BB3331" s="117"/>
      <c r="BC3331" s="117"/>
      <c r="BD3331" s="117"/>
    </row>
    <row r="3332" spans="1:56" ht="15">
      <c r="A3332" s="114"/>
      <c r="B3332" s="852" t="s">
        <v>2047</v>
      </c>
      <c r="C3332" s="853">
        <v>1</v>
      </c>
      <c r="D3332" s="175">
        <v>0.15</v>
      </c>
      <c r="E3332" s="175">
        <v>3.1</v>
      </c>
      <c r="F3332" s="1001">
        <v>3</v>
      </c>
      <c r="G3332" s="855">
        <f>C3332*D3332*E3332*F3332</f>
        <v>1.395</v>
      </c>
      <c r="H3332" s="855">
        <f>2*(E3332+F3332)*C3332*D3332</f>
        <v>1.8299999999999998</v>
      </c>
      <c r="I3332" s="856">
        <f>E3332*F3332*0.05</f>
        <v>0.46500000000000008</v>
      </c>
      <c r="J3332" s="848"/>
      <c r="BA3332" s="117"/>
      <c r="BB3332" s="117"/>
      <c r="BC3332" s="117"/>
      <c r="BD3332" s="117"/>
    </row>
    <row r="3333" spans="1:56" ht="15">
      <c r="A3333" s="114"/>
      <c r="B3333" s="852" t="s">
        <v>2000</v>
      </c>
      <c r="C3333" s="853">
        <v>3</v>
      </c>
      <c r="D3333" s="175">
        <v>0.12</v>
      </c>
      <c r="E3333" s="175">
        <v>1.1000000000000001</v>
      </c>
      <c r="F3333" s="854">
        <v>0.36</v>
      </c>
      <c r="G3333" s="855">
        <f>C3333*D3333*E3333*F3333</f>
        <v>0.14255999999999999</v>
      </c>
      <c r="H3333" s="855">
        <f>2*(E3333+F3333)*C3333*D3333</f>
        <v>1.0511999999999999</v>
      </c>
      <c r="I3333" s="856">
        <f>E3333*F3333*0.05</f>
        <v>1.9800000000000002E-2</v>
      </c>
      <c r="J3333" s="848"/>
      <c r="BA3333" s="117"/>
      <c r="BB3333" s="117"/>
      <c r="BC3333" s="117"/>
      <c r="BD3333" s="117"/>
    </row>
    <row r="3334" spans="1:56" ht="15">
      <c r="A3334" s="114"/>
      <c r="B3334" s="852"/>
      <c r="C3334" s="853"/>
      <c r="D3334" s="175"/>
      <c r="E3334" s="175"/>
      <c r="F3334" s="854"/>
      <c r="G3334" s="855"/>
      <c r="H3334" s="855"/>
      <c r="I3334" s="855"/>
      <c r="J3334" s="848"/>
      <c r="BA3334" s="117"/>
      <c r="BB3334" s="117"/>
      <c r="BC3334" s="117"/>
      <c r="BD3334" s="117"/>
    </row>
    <row r="3335" spans="1:56" ht="15">
      <c r="A3335" s="114"/>
      <c r="B3335" s="852"/>
      <c r="C3335" s="853"/>
      <c r="D3335" s="175"/>
      <c r="E3335" s="175"/>
      <c r="F3335" s="854"/>
      <c r="G3335" s="175"/>
      <c r="H3335" s="175"/>
      <c r="I3335" s="226"/>
      <c r="J3335" s="848"/>
      <c r="BA3335" s="117"/>
      <c r="BB3335" s="117"/>
      <c r="BC3335" s="117"/>
      <c r="BD3335" s="117"/>
    </row>
    <row r="3336" spans="1:56" ht="15">
      <c r="A3336" s="114"/>
      <c r="B3336" s="300"/>
      <c r="C3336" s="235"/>
      <c r="D3336" s="138"/>
      <c r="E3336" s="138"/>
      <c r="F3336" s="138"/>
      <c r="G3336" s="858"/>
      <c r="H3336" s="859"/>
      <c r="I3336" s="6"/>
      <c r="J3336"/>
      <c r="BA3336" s="117"/>
      <c r="BB3336" s="117"/>
      <c r="BC3336" s="117"/>
      <c r="BD3336" s="117"/>
    </row>
    <row r="3337" spans="1:56" ht="15">
      <c r="A3337" s="114"/>
      <c r="B3337" s="849" t="s">
        <v>160</v>
      </c>
      <c r="C3337" s="850" t="s">
        <v>61</v>
      </c>
      <c r="D3337" s="850" t="s">
        <v>82</v>
      </c>
      <c r="E3337" s="850" t="s">
        <v>66</v>
      </c>
      <c r="F3337" s="850" t="s">
        <v>62</v>
      </c>
      <c r="G3337" s="851" t="s">
        <v>99</v>
      </c>
      <c r="H3337" s="851" t="s">
        <v>68</v>
      </c>
      <c r="I3337" s="997"/>
      <c r="J3337"/>
      <c r="BA3337" s="117"/>
      <c r="BB3337" s="117"/>
      <c r="BC3337" s="117"/>
      <c r="BD3337" s="117"/>
    </row>
    <row r="3338" spans="1:56" ht="15">
      <c r="A3338" s="114"/>
      <c r="B3338" s="852" t="s">
        <v>161</v>
      </c>
      <c r="C3338" s="853">
        <v>1</v>
      </c>
      <c r="D3338" s="861">
        <v>0.15</v>
      </c>
      <c r="E3338" s="175">
        <v>1.1000000000000001</v>
      </c>
      <c r="F3338" s="175">
        <v>1.4</v>
      </c>
      <c r="G3338" s="855">
        <f t="shared" ref="G3338:G3341" si="344">D3338*E3338*F3338*C3338</f>
        <v>0.23099999999999998</v>
      </c>
      <c r="H3338" s="855">
        <f t="shared" ref="H3338:H3341" si="345">C3338*2*E3338*F3338</f>
        <v>3.08</v>
      </c>
      <c r="I3338" s="138"/>
      <c r="J3338"/>
      <c r="BA3338" s="117"/>
      <c r="BB3338" s="117"/>
      <c r="BC3338" s="117"/>
      <c r="BD3338" s="117"/>
    </row>
    <row r="3339" spans="1:56" ht="15">
      <c r="A3339" s="114"/>
      <c r="B3339" s="852" t="s">
        <v>162</v>
      </c>
      <c r="C3339" s="853">
        <v>1</v>
      </c>
      <c r="D3339" s="861">
        <v>0.15</v>
      </c>
      <c r="E3339" s="175">
        <v>1.1000000000000001</v>
      </c>
      <c r="F3339" s="175">
        <v>1.4</v>
      </c>
      <c r="G3339" s="855">
        <f t="shared" si="344"/>
        <v>0.23099999999999998</v>
      </c>
      <c r="H3339" s="855">
        <f t="shared" si="345"/>
        <v>3.08</v>
      </c>
      <c r="I3339" s="138"/>
      <c r="J3339"/>
      <c r="BA3339" s="117"/>
      <c r="BB3339" s="117"/>
      <c r="BC3339" s="117"/>
      <c r="BD3339" s="117"/>
    </row>
    <row r="3340" spans="1:56" ht="15">
      <c r="A3340" s="114"/>
      <c r="B3340" s="852" t="s">
        <v>163</v>
      </c>
      <c r="C3340" s="853">
        <v>1</v>
      </c>
      <c r="D3340" s="861">
        <v>0.15</v>
      </c>
      <c r="E3340" s="175">
        <v>0.8</v>
      </c>
      <c r="F3340" s="175">
        <v>1.4</v>
      </c>
      <c r="G3340" s="855">
        <f t="shared" si="344"/>
        <v>0.16799999999999998</v>
      </c>
      <c r="H3340" s="855">
        <f t="shared" si="345"/>
        <v>2.2399999999999998</v>
      </c>
      <c r="I3340" s="138"/>
      <c r="J3340"/>
      <c r="BA3340" s="117"/>
      <c r="BB3340" s="117"/>
      <c r="BC3340" s="117"/>
      <c r="BD3340" s="117"/>
    </row>
    <row r="3341" spans="1:56" ht="15">
      <c r="A3341" s="114"/>
      <c r="B3341" s="852" t="s">
        <v>164</v>
      </c>
      <c r="C3341" s="853">
        <v>1</v>
      </c>
      <c r="D3341" s="861">
        <v>0.15</v>
      </c>
      <c r="E3341" s="175">
        <v>0.8</v>
      </c>
      <c r="F3341" s="175">
        <v>1.4</v>
      </c>
      <c r="G3341" s="855">
        <f t="shared" si="344"/>
        <v>0.16799999999999998</v>
      </c>
      <c r="H3341" s="855">
        <f t="shared" si="345"/>
        <v>2.2399999999999998</v>
      </c>
      <c r="I3341" s="138"/>
      <c r="J3341"/>
      <c r="BA3341" s="117"/>
      <c r="BB3341" s="117"/>
      <c r="BC3341" s="117"/>
      <c r="BD3341" s="117"/>
    </row>
    <row r="3342" spans="1:56" ht="15">
      <c r="A3342" s="114"/>
      <c r="B3342" s="852"/>
      <c r="C3342" s="853"/>
      <c r="D3342" s="861"/>
      <c r="E3342" s="175"/>
      <c r="F3342" s="175"/>
      <c r="G3342" s="855"/>
      <c r="H3342" s="855"/>
      <c r="I3342" s="138"/>
      <c r="J3342"/>
      <c r="BA3342" s="117"/>
      <c r="BB3342" s="117"/>
      <c r="BC3342" s="117"/>
      <c r="BD3342" s="117"/>
    </row>
    <row r="3343" spans="1:56" ht="15">
      <c r="A3343" s="114"/>
      <c r="B3343" s="852"/>
      <c r="C3343" s="853"/>
      <c r="D3343" s="861"/>
      <c r="E3343" s="175"/>
      <c r="F3343" s="175"/>
      <c r="G3343" s="855"/>
      <c r="H3343" s="855"/>
      <c r="I3343" s="138"/>
      <c r="J3343"/>
      <c r="BA3343" s="117"/>
      <c r="BB3343" s="117"/>
      <c r="BC3343" s="117"/>
      <c r="BD3343" s="117"/>
    </row>
    <row r="3344" spans="1:56" ht="15">
      <c r="A3344" s="114"/>
      <c r="B3344" s="852"/>
      <c r="C3344" s="853"/>
      <c r="D3344" s="861"/>
      <c r="E3344" s="175"/>
      <c r="F3344" s="175"/>
      <c r="G3344" s="855"/>
      <c r="H3344" s="855"/>
      <c r="I3344" s="138"/>
      <c r="J3344"/>
      <c r="BA3344" s="117"/>
      <c r="BB3344" s="117"/>
      <c r="BC3344" s="117"/>
      <c r="BD3344" s="117"/>
    </row>
    <row r="3345" spans="1:56" ht="15">
      <c r="A3345" s="114"/>
      <c r="B3345" s="300"/>
      <c r="C3345" s="235"/>
      <c r="D3345" s="862"/>
      <c r="E3345" s="138"/>
      <c r="F3345" s="138"/>
      <c r="G3345" s="138"/>
      <c r="H3345" s="138"/>
      <c r="I3345" s="138"/>
      <c r="J3345" s="997"/>
      <c r="BA3345" s="117"/>
      <c r="BB3345" s="117"/>
      <c r="BC3345" s="117"/>
      <c r="BD3345" s="117"/>
    </row>
    <row r="3346" spans="1:56" ht="15">
      <c r="A3346" s="114"/>
      <c r="B3346" s="293"/>
      <c r="C3346" s="387"/>
      <c r="D3346" s="387"/>
      <c r="E3346" s="387"/>
      <c r="F3346" s="387"/>
      <c r="G3346" s="387"/>
      <c r="H3346" s="386"/>
      <c r="I3346" s="386"/>
      <c r="J3346" s="6"/>
      <c r="BA3346" s="117"/>
      <c r="BB3346" s="117"/>
      <c r="BC3346" s="117"/>
      <c r="BD3346" s="117"/>
    </row>
    <row r="3347" spans="1:56" ht="15">
      <c r="A3347" s="114"/>
      <c r="B3347" s="801" t="s">
        <v>2062</v>
      </c>
      <c r="C3347" s="751" t="s">
        <v>2063</v>
      </c>
      <c r="D3347" s="751" t="s">
        <v>82</v>
      </c>
      <c r="E3347" s="802" t="s">
        <v>99</v>
      </c>
      <c r="F3347" s="802" t="s">
        <v>68</v>
      </c>
      <c r="G3347" s="386"/>
      <c r="H3347" s="996"/>
      <c r="I3347" s="114"/>
      <c r="J3347" s="114"/>
      <c r="BA3347" s="117"/>
      <c r="BB3347" s="117"/>
      <c r="BC3347" s="117"/>
      <c r="BD3347" s="117"/>
    </row>
    <row r="3348" spans="1:56" ht="15">
      <c r="A3348" s="114"/>
      <c r="B3348" s="803" t="s">
        <v>161</v>
      </c>
      <c r="C3348" s="755">
        <f>3.1416*0.2*0.2/4</f>
        <v>3.1415999999999999E-2</v>
      </c>
      <c r="D3348" s="756">
        <v>0.15</v>
      </c>
      <c r="E3348" s="828">
        <f>C3348*D3348</f>
        <v>4.7123999999999994E-3</v>
      </c>
      <c r="F3348" s="828">
        <f>C3348*2</f>
        <v>6.2831999999999999E-2</v>
      </c>
      <c r="G3348" s="386"/>
      <c r="H3348" s="996"/>
      <c r="I3348" s="114"/>
      <c r="J3348" s="114"/>
      <c r="BA3348" s="117"/>
      <c r="BB3348" s="117"/>
      <c r="BC3348" s="117"/>
      <c r="BD3348" s="117"/>
    </row>
    <row r="3349" spans="1:56" ht="15">
      <c r="A3349" s="114"/>
      <c r="B3349" s="803" t="s">
        <v>162</v>
      </c>
      <c r="C3349" s="755">
        <f>C3348</f>
        <v>3.1415999999999999E-2</v>
      </c>
      <c r="D3349" s="756">
        <v>0.15</v>
      </c>
      <c r="E3349" s="828">
        <f t="shared" ref="E3349" si="346">C3349*D3349</f>
        <v>4.7123999999999994E-3</v>
      </c>
      <c r="F3349" s="828">
        <f t="shared" ref="F3349" si="347">C3349*2</f>
        <v>6.2831999999999999E-2</v>
      </c>
      <c r="G3349" s="386"/>
      <c r="H3349" s="996"/>
      <c r="I3349" s="114"/>
      <c r="J3349" s="114"/>
      <c r="BA3349" s="117"/>
      <c r="BB3349" s="117"/>
      <c r="BC3349" s="117"/>
      <c r="BD3349" s="117"/>
    </row>
    <row r="3350" spans="1:56" ht="15">
      <c r="A3350" s="114"/>
      <c r="B3350" s="803"/>
      <c r="C3350" s="755"/>
      <c r="D3350" s="756"/>
      <c r="E3350" s="828"/>
      <c r="F3350" s="828"/>
      <c r="G3350" s="386"/>
      <c r="H3350" s="996"/>
      <c r="I3350" s="114"/>
      <c r="J3350" s="114"/>
      <c r="BA3350" s="117"/>
      <c r="BB3350" s="117"/>
      <c r="BC3350" s="117"/>
      <c r="BD3350" s="117"/>
    </row>
    <row r="3351" spans="1:56" ht="15">
      <c r="A3351" s="114"/>
      <c r="B3351" s="114"/>
      <c r="C3351" s="114"/>
      <c r="D3351" s="758" t="s">
        <v>76</v>
      </c>
      <c r="E3351" s="228">
        <f>-SUM(E3348:E3350)</f>
        <v>-9.4247999999999988E-3</v>
      </c>
      <c r="F3351" s="228">
        <f>-SUM(F3348:F3350)</f>
        <v>-0.125664</v>
      </c>
      <c r="G3351" s="386"/>
      <c r="H3351" s="996"/>
      <c r="I3351" s="114"/>
      <c r="J3351" s="114"/>
      <c r="BA3351" s="117"/>
      <c r="BB3351" s="117"/>
      <c r="BC3351" s="117"/>
      <c r="BD3351" s="117"/>
    </row>
    <row r="3352" spans="1:56" ht="15">
      <c r="A3352" s="114"/>
      <c r="B3352"/>
      <c r="C3352"/>
      <c r="D3352"/>
      <c r="E3352"/>
      <c r="F3352"/>
      <c r="G3352"/>
      <c r="H3352"/>
      <c r="I3352"/>
      <c r="J3352"/>
      <c r="BA3352" s="117"/>
      <c r="BB3352" s="117"/>
      <c r="BC3352" s="117"/>
      <c r="BD3352" s="117"/>
    </row>
    <row r="3353" spans="1:56" ht="15">
      <c r="A3353" s="114"/>
      <c r="B3353" s="300"/>
      <c r="C3353" s="235"/>
      <c r="D3353" s="138"/>
      <c r="E3353" s="138"/>
      <c r="F3353" s="138"/>
      <c r="G3353" s="858"/>
      <c r="H3353" s="859"/>
      <c r="I3353" s="6"/>
      <c r="J3353"/>
      <c r="BA3353" s="117"/>
      <c r="BB3353" s="117"/>
      <c r="BC3353" s="117"/>
      <c r="BD3353" s="117"/>
    </row>
    <row r="3354" spans="1:56" thickBot="1">
      <c r="A3354" s="114"/>
      <c r="B3354" s="300"/>
      <c r="C3354" s="235"/>
      <c r="D3354" s="138"/>
      <c r="E3354" s="138"/>
      <c r="F3354" s="138"/>
      <c r="G3354" s="858"/>
      <c r="H3354" s="859"/>
      <c r="I3354" s="6"/>
      <c r="J3354"/>
      <c r="BA3354" s="117"/>
      <c r="BB3354" s="117"/>
      <c r="BC3354" s="117"/>
      <c r="BD3354" s="117"/>
    </row>
    <row r="3355" spans="1:56" ht="16.5" thickBot="1">
      <c r="A3355" s="114"/>
      <c r="B3355" s="1280" t="s">
        <v>98</v>
      </c>
      <c r="C3355" s="1281"/>
      <c r="D3355" s="1281"/>
      <c r="E3355" s="1281"/>
      <c r="F3355" s="1282"/>
      <c r="G3355"/>
      <c r="H3355"/>
      <c r="I3355"/>
      <c r="J3355"/>
      <c r="BA3355" s="117"/>
      <c r="BB3355" s="117"/>
      <c r="BC3355" s="117"/>
      <c r="BD3355" s="117"/>
    </row>
    <row r="3356" spans="1:56" ht="15">
      <c r="A3356" s="114"/>
      <c r="B3356" s="40"/>
      <c r="C3356" s="996"/>
      <c r="D3356" s="996"/>
      <c r="E3356" s="996"/>
      <c r="F3356" s="424"/>
      <c r="G3356"/>
      <c r="H3356"/>
      <c r="I3356" s="863"/>
      <c r="J3356"/>
      <c r="BA3356" s="117"/>
      <c r="BB3356" s="117"/>
      <c r="BC3356" s="117"/>
      <c r="BD3356" s="117"/>
    </row>
    <row r="3357" spans="1:56">
      <c r="A3357" s="114"/>
      <c r="B3357" s="999" t="s">
        <v>1129</v>
      </c>
      <c r="C3357" s="172"/>
      <c r="D3357" s="173"/>
      <c r="E3357" s="901">
        <f>SUM(H3332:H3334)+SUM(H3338:H3344)+F3351</f>
        <v>13.395536</v>
      </c>
      <c r="F3357" s="139" t="s">
        <v>13</v>
      </c>
      <c r="G3357"/>
      <c r="H3357"/>
      <c r="I3357"/>
      <c r="J3357"/>
      <c r="BA3357" s="117"/>
      <c r="BB3357" s="117"/>
      <c r="BC3357" s="117"/>
      <c r="BD3357" s="117"/>
    </row>
    <row r="3358" spans="1:56" ht="18">
      <c r="A3358" s="114"/>
      <c r="B3358" s="718" t="s">
        <v>1130</v>
      </c>
      <c r="C3358" s="289"/>
      <c r="D3358" s="290"/>
      <c r="E3358" s="901">
        <f>SUM(G3332:G3333)+SUM(G3338:G3344)+E3351</f>
        <v>2.3261352</v>
      </c>
      <c r="F3358" s="700" t="s">
        <v>1124</v>
      </c>
      <c r="G3358"/>
      <c r="H3358"/>
      <c r="I3358"/>
      <c r="J3358"/>
      <c r="BA3358" s="117"/>
      <c r="BB3358" s="117"/>
      <c r="BC3358" s="117"/>
      <c r="BD3358" s="117"/>
    </row>
    <row r="3359" spans="1:56" ht="18">
      <c r="A3359" s="114"/>
      <c r="B3359" s="718" t="s">
        <v>2048</v>
      </c>
      <c r="C3359" s="289"/>
      <c r="D3359" s="289"/>
      <c r="E3359" s="969">
        <f>SUM(I3332:I3334)</f>
        <v>0.48480000000000006</v>
      </c>
      <c r="F3359" s="700" t="s">
        <v>1124</v>
      </c>
      <c r="G3359"/>
      <c r="H3359"/>
      <c r="I3359"/>
      <c r="J3359"/>
      <c r="BA3359" s="117"/>
      <c r="BB3359" s="117"/>
      <c r="BC3359" s="117"/>
      <c r="BD3359" s="117"/>
    </row>
    <row r="3360" spans="1:56" ht="16.5" thickBot="1">
      <c r="A3360" s="114"/>
      <c r="B3360" s="1000"/>
      <c r="C3360" s="174"/>
      <c r="D3360" s="174"/>
      <c r="E3360" s="866"/>
      <c r="F3360" s="440"/>
      <c r="G3360"/>
      <c r="H3360"/>
      <c r="I3360"/>
      <c r="J3360"/>
      <c r="BA3360" s="117"/>
      <c r="BB3360" s="117"/>
      <c r="BC3360" s="117"/>
      <c r="BD3360" s="117"/>
    </row>
    <row r="3361" spans="1:56" ht="15">
      <c r="A3361" s="114"/>
      <c r="B3361" s="1"/>
      <c r="C3361" s="1"/>
      <c r="D3361" s="1"/>
      <c r="E3361" s="1"/>
      <c r="F3361" s="1"/>
      <c r="G3361"/>
      <c r="H3361"/>
      <c r="I3361"/>
      <c r="J3361" s="3"/>
      <c r="BA3361" s="117"/>
      <c r="BB3361" s="117"/>
      <c r="BC3361" s="117"/>
      <c r="BD3361" s="117"/>
    </row>
    <row r="3362" spans="1:56" ht="16.5" thickBot="1">
      <c r="A3362" s="114"/>
      <c r="B3362" s="115"/>
      <c r="C3362" s="115"/>
      <c r="D3362" s="115"/>
      <c r="E3362" s="115"/>
      <c r="F3362" s="115"/>
      <c r="G3362"/>
      <c r="H3362"/>
      <c r="I3362"/>
      <c r="J3362" s="114"/>
      <c r="BA3362" s="117"/>
      <c r="BB3362" s="117"/>
      <c r="BC3362" s="117"/>
      <c r="BD3362" s="117"/>
    </row>
    <row r="3363" spans="1:56">
      <c r="A3363" s="114"/>
      <c r="B3363" s="1285" t="s">
        <v>320</v>
      </c>
      <c r="C3363" s="1286"/>
      <c r="D3363" s="1286"/>
      <c r="E3363" s="1286"/>
      <c r="F3363" s="1287"/>
      <c r="G3363"/>
      <c r="H3363"/>
      <c r="I3363"/>
      <c r="J3363" s="114"/>
      <c r="BA3363" s="117"/>
      <c r="BB3363" s="117"/>
      <c r="BC3363" s="117"/>
      <c r="BD3363" s="117"/>
    </row>
    <row r="3364" spans="1:56">
      <c r="A3364" s="114"/>
      <c r="B3364" s="690"/>
      <c r="C3364" s="115"/>
      <c r="D3364" s="115"/>
      <c r="E3364" s="115"/>
      <c r="F3364" s="182"/>
      <c r="G3364"/>
      <c r="H3364"/>
      <c r="I3364"/>
      <c r="J3364" s="114"/>
      <c r="BA3364" s="117"/>
      <c r="BB3364" s="117"/>
      <c r="BC3364" s="117"/>
      <c r="BD3364" s="117"/>
    </row>
    <row r="3365" spans="1:56" ht="15">
      <c r="A3365" s="114"/>
      <c r="B3365" s="691" t="s">
        <v>2050</v>
      </c>
      <c r="C3365" s="196"/>
      <c r="D3365" s="196"/>
      <c r="E3365" s="196"/>
      <c r="F3365" s="284"/>
      <c r="G3365"/>
      <c r="H3365"/>
      <c r="I3365"/>
      <c r="J3365" s="114"/>
      <c r="BA3365" s="117"/>
      <c r="BB3365" s="117"/>
      <c r="BC3365" s="117"/>
      <c r="BD3365" s="117"/>
    </row>
    <row r="3366" spans="1:56" ht="15">
      <c r="A3366" s="114"/>
      <c r="B3366" s="692" t="s">
        <v>352</v>
      </c>
      <c r="C3366" s="1007">
        <v>112</v>
      </c>
      <c r="D3366" s="286" t="s">
        <v>12</v>
      </c>
      <c r="E3366" s="1291" t="s">
        <v>2345</v>
      </c>
      <c r="F3366" s="1292"/>
      <c r="G3366"/>
      <c r="H3366"/>
      <c r="I3366"/>
      <c r="J3366" s="114"/>
      <c r="BA3366" s="117"/>
      <c r="BB3366" s="117"/>
      <c r="BC3366" s="117"/>
      <c r="BD3366" s="117"/>
    </row>
    <row r="3367" spans="1:56">
      <c r="A3367" s="114"/>
      <c r="B3367" s="690"/>
      <c r="C3367" s="115"/>
      <c r="D3367" s="115"/>
      <c r="E3367" s="115"/>
      <c r="F3367" s="182"/>
      <c r="G3367"/>
      <c r="H3367"/>
      <c r="I3367"/>
      <c r="J3367" s="114"/>
      <c r="BA3367" s="117"/>
      <c r="BB3367" s="117"/>
      <c r="BC3367" s="117"/>
      <c r="BD3367" s="117"/>
    </row>
    <row r="3368" spans="1:56" ht="15">
      <c r="A3368" s="114"/>
      <c r="B3368" s="691" t="s">
        <v>351</v>
      </c>
      <c r="C3368" s="211"/>
      <c r="D3368" s="196"/>
      <c r="E3368" s="288"/>
      <c r="F3368" s="284"/>
      <c r="G3368"/>
      <c r="H3368"/>
      <c r="I3368"/>
      <c r="J3368" s="114"/>
      <c r="BA3368" s="117"/>
      <c r="BB3368" s="117"/>
      <c r="BC3368" s="117"/>
      <c r="BD3368" s="117"/>
    </row>
    <row r="3369" spans="1:56" thickBot="1">
      <c r="A3369" s="114"/>
      <c r="B3369" s="695" t="s">
        <v>352</v>
      </c>
      <c r="C3369" s="817"/>
      <c r="D3369" s="818"/>
      <c r="E3369" s="847">
        <f>C3366</f>
        <v>112</v>
      </c>
      <c r="F3369" s="820" t="s">
        <v>12</v>
      </c>
      <c r="G3369"/>
      <c r="H3369"/>
      <c r="I3369"/>
      <c r="J3369" s="114"/>
      <c r="BA3369" s="117"/>
      <c r="BB3369" s="117"/>
      <c r="BC3369" s="117"/>
      <c r="BD3369" s="117"/>
    </row>
    <row r="3370" spans="1:56">
      <c r="A3370" s="114"/>
      <c r="B3370" s="140"/>
      <c r="C3370" s="1002"/>
      <c r="D3370" s="1002"/>
      <c r="E3370"/>
      <c r="F3370" s="1003"/>
      <c r="G3370" s="115"/>
      <c r="H3370" s="998"/>
      <c r="I3370" s="3"/>
      <c r="J3370" s="114"/>
      <c r="BA3370" s="117"/>
      <c r="BB3370" s="117"/>
      <c r="BC3370" s="117"/>
      <c r="BD3370" s="117"/>
    </row>
    <row r="3371" spans="1:56">
      <c r="A3371" s="114"/>
      <c r="B3371" s="140"/>
      <c r="C3371" s="1002"/>
      <c r="D3371" s="1002"/>
      <c r="E3371"/>
      <c r="F3371" s="1003"/>
      <c r="G3371" s="115"/>
      <c r="H3371" s="998"/>
      <c r="I3371" s="3"/>
      <c r="J3371" s="114"/>
      <c r="BA3371" s="117"/>
      <c r="BB3371" s="117"/>
      <c r="BC3371" s="117"/>
      <c r="BD3371" s="117"/>
    </row>
    <row r="3372" spans="1:56" ht="15">
      <c r="A3372" s="114"/>
      <c r="B3372" s="1179" t="s">
        <v>2337</v>
      </c>
      <c r="C3372" s="1179"/>
      <c r="D3372" s="1179"/>
      <c r="E3372" s="1179"/>
      <c r="F3372" s="1179"/>
      <c r="G3372" s="1179"/>
      <c r="H3372" s="1179"/>
      <c r="I3372" s="1179"/>
      <c r="J3372" s="1179"/>
      <c r="BA3372" s="117"/>
      <c r="BB3372" s="117"/>
      <c r="BC3372" s="117"/>
      <c r="BD3372" s="117"/>
    </row>
    <row r="3373" spans="1:56" ht="15">
      <c r="A3373" s="114"/>
      <c r="B3373" s="1"/>
      <c r="C3373" s="1"/>
      <c r="D3373" s="1"/>
      <c r="E3373" s="1"/>
      <c r="F3373" s="1"/>
      <c r="G3373" s="3"/>
      <c r="H3373" s="3"/>
      <c r="I3373" s="3"/>
      <c r="J3373" s="4"/>
      <c r="BA3373" s="117"/>
      <c r="BB3373" s="117"/>
      <c r="BC3373" s="117"/>
      <c r="BD3373" s="117"/>
    </row>
    <row r="3374" spans="1:56" ht="15">
      <c r="A3374" s="114"/>
      <c r="B3374" s="849" t="s">
        <v>2043</v>
      </c>
      <c r="C3374" s="850" t="s">
        <v>61</v>
      </c>
      <c r="D3374" s="850" t="s">
        <v>66</v>
      </c>
      <c r="E3374" s="850" t="s">
        <v>2044</v>
      </c>
      <c r="F3374" s="850" t="s">
        <v>2045</v>
      </c>
      <c r="G3374" s="851" t="s">
        <v>99</v>
      </c>
      <c r="H3374" s="851" t="s">
        <v>68</v>
      </c>
      <c r="I3374" s="851" t="s">
        <v>305</v>
      </c>
      <c r="J3374" s="848"/>
      <c r="BA3374" s="117"/>
      <c r="BB3374" s="117"/>
      <c r="BC3374" s="117"/>
      <c r="BD3374" s="117"/>
    </row>
    <row r="3375" spans="1:56" ht="15">
      <c r="A3375" s="114"/>
      <c r="B3375" s="852" t="s">
        <v>2047</v>
      </c>
      <c r="C3375" s="853">
        <v>1</v>
      </c>
      <c r="D3375" s="175">
        <v>0.2</v>
      </c>
      <c r="E3375" s="175">
        <v>1.9</v>
      </c>
      <c r="F3375" s="1001">
        <v>2.0499999999999998</v>
      </c>
      <c r="G3375" s="855">
        <f>C3375*D3375*E3375*F3375</f>
        <v>0.77899999999999991</v>
      </c>
      <c r="H3375" s="855">
        <f>2*(E3375+F3375)*C3375*D3375</f>
        <v>1.58</v>
      </c>
      <c r="I3375" s="856">
        <f>E3375*F3375*0.05</f>
        <v>0.19474999999999998</v>
      </c>
      <c r="J3375" s="848"/>
      <c r="BA3375" s="117"/>
      <c r="BB3375" s="117"/>
      <c r="BC3375" s="117"/>
      <c r="BD3375" s="117"/>
    </row>
    <row r="3376" spans="1:56" ht="15">
      <c r="A3376" s="114"/>
      <c r="B3376" s="1004" t="s">
        <v>2333</v>
      </c>
      <c r="C3376" s="1005">
        <v>1</v>
      </c>
      <c r="D3376" s="1006">
        <v>0.25</v>
      </c>
      <c r="E3376" s="1006">
        <v>2.0499999999999998</v>
      </c>
      <c r="F3376" s="854">
        <v>0.4</v>
      </c>
      <c r="G3376" s="855">
        <f>C3376*D3376*E3376*F3376</f>
        <v>0.20499999999999999</v>
      </c>
      <c r="H3376" s="855">
        <f>C3376*E3376*F3376</f>
        <v>0.82</v>
      </c>
      <c r="I3376" s="857"/>
      <c r="J3376" s="848"/>
      <c r="BA3376" s="117"/>
      <c r="BB3376" s="117"/>
      <c r="BC3376" s="117"/>
      <c r="BD3376" s="117"/>
    </row>
    <row r="3377" spans="1:56" ht="15">
      <c r="A3377" s="114"/>
      <c r="B3377" s="1004"/>
      <c r="C3377" s="1005">
        <v>1</v>
      </c>
      <c r="D3377" s="1006">
        <v>0.25</v>
      </c>
      <c r="E3377" s="1006">
        <v>1.1000000000000001</v>
      </c>
      <c r="F3377" s="854">
        <v>0.55000000000000004</v>
      </c>
      <c r="G3377" s="855">
        <f>C3377*D3377*E3377*F3377</f>
        <v>0.15125000000000002</v>
      </c>
      <c r="H3377" s="855">
        <f>C3377*E3377*F3377</f>
        <v>0.60500000000000009</v>
      </c>
      <c r="I3377" s="857"/>
      <c r="J3377" s="848"/>
      <c r="BA3377" s="117"/>
      <c r="BB3377" s="117"/>
      <c r="BC3377" s="117"/>
      <c r="BD3377" s="117"/>
    </row>
    <row r="3378" spans="1:56" ht="15">
      <c r="A3378" s="114"/>
      <c r="B3378" s="1004"/>
      <c r="C3378" s="1005">
        <v>1</v>
      </c>
      <c r="D3378" s="1006">
        <v>0.13</v>
      </c>
      <c r="E3378" s="1006">
        <v>0.2</v>
      </c>
      <c r="F3378" s="854">
        <v>1.1000000000000001</v>
      </c>
      <c r="G3378" s="855">
        <f>C3378*D3378*E3378*F3378</f>
        <v>2.8600000000000004E-2</v>
      </c>
      <c r="H3378" s="855">
        <f t="shared" ref="H3378:H3379" si="348">C3378*E3378*F3378</f>
        <v>0.22000000000000003</v>
      </c>
      <c r="I3378" s="857"/>
      <c r="J3378" s="848"/>
      <c r="BA3378" s="117"/>
      <c r="BB3378" s="117"/>
      <c r="BC3378" s="117"/>
      <c r="BD3378" s="117"/>
    </row>
    <row r="3379" spans="1:56" ht="15">
      <c r="A3379" s="114"/>
      <c r="B3379" s="1004"/>
      <c r="C3379" s="1005">
        <v>1</v>
      </c>
      <c r="D3379" s="1006">
        <v>0.13</v>
      </c>
      <c r="E3379" s="1006">
        <v>0.2</v>
      </c>
      <c r="F3379" s="854">
        <v>1.1000000000000001</v>
      </c>
      <c r="G3379" s="855">
        <f t="shared" ref="G3379" si="349">C3379*D3379*E3379*F3379</f>
        <v>2.8600000000000004E-2</v>
      </c>
      <c r="H3379" s="855">
        <f t="shared" si="348"/>
        <v>0.22000000000000003</v>
      </c>
      <c r="I3379" s="857"/>
      <c r="J3379" s="848"/>
      <c r="BA3379" s="117"/>
      <c r="BB3379" s="117"/>
      <c r="BC3379" s="117"/>
      <c r="BD3379" s="117"/>
    </row>
    <row r="3380" spans="1:56" ht="15">
      <c r="A3380" s="114"/>
      <c r="B3380" s="852" t="s">
        <v>2137</v>
      </c>
      <c r="C3380" s="853">
        <v>1</v>
      </c>
      <c r="D3380" s="175">
        <v>0.11</v>
      </c>
      <c r="E3380" s="175">
        <v>1.5</v>
      </c>
      <c r="F3380" s="854">
        <v>1.65</v>
      </c>
      <c r="G3380" s="855"/>
      <c r="H3380" s="475">
        <f>0.4*0.1*4</f>
        <v>0.16000000000000003</v>
      </c>
      <c r="I3380" s="855">
        <f>D3380*E3380*F3380-(0.4*0.4*0.11)</f>
        <v>0.25464999999999999</v>
      </c>
      <c r="J3380" s="848"/>
      <c r="BA3380" s="117"/>
      <c r="BB3380" s="117"/>
      <c r="BC3380" s="117"/>
      <c r="BD3380" s="117"/>
    </row>
    <row r="3381" spans="1:56" ht="15">
      <c r="A3381" s="114"/>
      <c r="B3381" s="852" t="s">
        <v>2344</v>
      </c>
      <c r="C3381" s="853">
        <v>2</v>
      </c>
      <c r="D3381" s="175">
        <v>0.12</v>
      </c>
      <c r="E3381" s="175">
        <v>0.4</v>
      </c>
      <c r="F3381" s="854">
        <v>1.3</v>
      </c>
      <c r="G3381" s="855"/>
      <c r="H3381" s="475"/>
      <c r="I3381" s="855">
        <f>C3381*D3381*E3381*F3381-(0.4*0.4*0.11)</f>
        <v>0.1072</v>
      </c>
      <c r="J3381" s="848"/>
      <c r="BA3381" s="117"/>
      <c r="BB3381" s="117"/>
      <c r="BC3381" s="117"/>
      <c r="BD3381" s="117"/>
    </row>
    <row r="3382" spans="1:56" ht="15">
      <c r="A3382" s="114"/>
      <c r="B3382" s="852"/>
      <c r="C3382" s="853">
        <v>2</v>
      </c>
      <c r="D3382" s="175">
        <v>0.12</v>
      </c>
      <c r="E3382" s="175">
        <v>0.4</v>
      </c>
      <c r="F3382" s="854">
        <v>0.9</v>
      </c>
      <c r="G3382" s="855"/>
      <c r="H3382" s="475"/>
      <c r="I3382" s="855">
        <f>C3382*D3382*E3382*F3382-(0.4*0.4*0.11)</f>
        <v>6.88E-2</v>
      </c>
      <c r="J3382" s="848"/>
      <c r="BA3382" s="117"/>
      <c r="BB3382" s="117"/>
      <c r="BC3382" s="117"/>
      <c r="BD3382" s="117"/>
    </row>
    <row r="3383" spans="1:56" ht="15">
      <c r="A3383" s="114"/>
      <c r="B3383" s="852"/>
      <c r="C3383" s="853"/>
      <c r="D3383" s="175"/>
      <c r="E3383" s="175"/>
      <c r="F3383" s="854"/>
      <c r="G3383" s="175"/>
      <c r="H3383" s="175"/>
      <c r="I3383" s="226"/>
      <c r="J3383" s="848"/>
      <c r="BA3383" s="117"/>
      <c r="BB3383" s="117"/>
      <c r="BC3383" s="117"/>
      <c r="BD3383" s="117"/>
    </row>
    <row r="3384" spans="1:56" ht="15">
      <c r="A3384" s="114"/>
      <c r="B3384" s="300"/>
      <c r="C3384" s="235"/>
      <c r="D3384" s="138"/>
      <c r="E3384" s="138"/>
      <c r="F3384" s="138"/>
      <c r="G3384" s="858"/>
      <c r="H3384" s="859"/>
      <c r="I3384" s="6"/>
      <c r="J3384"/>
      <c r="BA3384" s="117"/>
      <c r="BB3384" s="117"/>
      <c r="BC3384" s="117"/>
      <c r="BD3384" s="117"/>
    </row>
    <row r="3385" spans="1:56" ht="15">
      <c r="A3385" s="114"/>
      <c r="B3385" s="849" t="s">
        <v>160</v>
      </c>
      <c r="C3385" s="850" t="s">
        <v>61</v>
      </c>
      <c r="D3385" s="850" t="s">
        <v>82</v>
      </c>
      <c r="E3385" s="850" t="s">
        <v>66</v>
      </c>
      <c r="F3385" s="850" t="s">
        <v>62</v>
      </c>
      <c r="G3385" s="851" t="s">
        <v>99</v>
      </c>
      <c r="H3385" s="851" t="s">
        <v>68</v>
      </c>
      <c r="I3385" s="997"/>
      <c r="J3385"/>
      <c r="BA3385" s="117"/>
      <c r="BB3385" s="117"/>
      <c r="BC3385" s="117"/>
      <c r="BD3385" s="117"/>
    </row>
    <row r="3386" spans="1:56" ht="15">
      <c r="A3386" s="114"/>
      <c r="B3386" s="852" t="s">
        <v>2339</v>
      </c>
      <c r="C3386" s="853">
        <v>1</v>
      </c>
      <c r="D3386" s="861">
        <v>0.2</v>
      </c>
      <c r="E3386" s="175">
        <v>2.5499999999999998</v>
      </c>
      <c r="F3386" s="175">
        <v>1.3</v>
      </c>
      <c r="G3386" s="855">
        <f t="shared" ref="G3386:G3391" si="350">D3386*E3386*F3386*C3386</f>
        <v>0.66300000000000003</v>
      </c>
      <c r="H3386" s="855">
        <f t="shared" ref="H3386:H3391" si="351">C3386*2*E3386*F3386</f>
        <v>6.63</v>
      </c>
      <c r="I3386" s="138"/>
      <c r="J3386"/>
      <c r="BA3386" s="117"/>
      <c r="BB3386" s="117"/>
      <c r="BC3386" s="117"/>
      <c r="BD3386" s="117"/>
    </row>
    <row r="3387" spans="1:56" ht="15">
      <c r="A3387" s="114"/>
      <c r="B3387" s="852" t="s">
        <v>2340</v>
      </c>
      <c r="C3387" s="853">
        <v>1</v>
      </c>
      <c r="D3387" s="861">
        <v>0.2</v>
      </c>
      <c r="E3387" s="175">
        <v>2.67</v>
      </c>
      <c r="F3387" s="175">
        <v>0.6</v>
      </c>
      <c r="G3387" s="855">
        <f t="shared" si="350"/>
        <v>0.32040000000000002</v>
      </c>
      <c r="H3387" s="855">
        <f t="shared" si="351"/>
        <v>3.2039999999999997</v>
      </c>
      <c r="I3387" s="138"/>
      <c r="J3387"/>
      <c r="BA3387" s="117"/>
      <c r="BB3387" s="117"/>
      <c r="BC3387" s="117"/>
      <c r="BD3387" s="117"/>
    </row>
    <row r="3388" spans="1:56" ht="15">
      <c r="A3388" s="114"/>
      <c r="B3388" s="852" t="s">
        <v>162</v>
      </c>
      <c r="C3388" s="853">
        <v>1</v>
      </c>
      <c r="D3388" s="861">
        <v>0.2</v>
      </c>
      <c r="E3388" s="175">
        <v>2.67</v>
      </c>
      <c r="F3388" s="175">
        <v>1.9</v>
      </c>
      <c r="G3388" s="855">
        <f t="shared" si="350"/>
        <v>1.0145999999999999</v>
      </c>
      <c r="H3388" s="855">
        <f t="shared" si="351"/>
        <v>10.145999999999999</v>
      </c>
      <c r="I3388" s="138"/>
      <c r="J3388"/>
      <c r="BA3388" s="117"/>
      <c r="BB3388" s="117"/>
      <c r="BC3388" s="117"/>
      <c r="BD3388" s="117"/>
    </row>
    <row r="3389" spans="1:56" ht="15">
      <c r="A3389" s="114"/>
      <c r="B3389" s="852" t="s">
        <v>2341</v>
      </c>
      <c r="C3389" s="853">
        <v>1</v>
      </c>
      <c r="D3389" s="861">
        <v>0.2</v>
      </c>
      <c r="E3389" s="175">
        <v>2.67</v>
      </c>
      <c r="F3389" s="175">
        <v>0.55000000000000004</v>
      </c>
      <c r="G3389" s="855">
        <f t="shared" si="350"/>
        <v>0.29370000000000002</v>
      </c>
      <c r="H3389" s="855">
        <f t="shared" si="351"/>
        <v>2.9370000000000003</v>
      </c>
      <c r="I3389" s="138"/>
      <c r="J3389"/>
      <c r="BA3389" s="117"/>
      <c r="BB3389" s="117"/>
      <c r="BC3389" s="117"/>
      <c r="BD3389" s="117"/>
    </row>
    <row r="3390" spans="1:56" ht="15">
      <c r="A3390" s="114"/>
      <c r="B3390" s="852" t="s">
        <v>2343</v>
      </c>
      <c r="C3390" s="853">
        <v>1</v>
      </c>
      <c r="D3390" s="861">
        <v>0.2</v>
      </c>
      <c r="E3390" s="175">
        <v>2.5499999999999998</v>
      </c>
      <c r="F3390" s="175">
        <v>1.1000000000000001</v>
      </c>
      <c r="G3390" s="855">
        <f t="shared" si="350"/>
        <v>0.56100000000000005</v>
      </c>
      <c r="H3390" s="855">
        <f t="shared" si="351"/>
        <v>5.61</v>
      </c>
      <c r="I3390" s="138"/>
      <c r="J3390"/>
      <c r="BA3390" s="117"/>
      <c r="BB3390" s="117"/>
      <c r="BC3390" s="117"/>
      <c r="BD3390" s="117"/>
    </row>
    <row r="3391" spans="1:56" ht="15">
      <c r="A3391" s="114"/>
      <c r="B3391" s="852" t="s">
        <v>2342</v>
      </c>
      <c r="C3391" s="853">
        <v>1</v>
      </c>
      <c r="D3391" s="861">
        <v>0.2</v>
      </c>
      <c r="E3391" s="175">
        <v>2.67</v>
      </c>
      <c r="F3391" s="175">
        <v>1.65</v>
      </c>
      <c r="G3391" s="855">
        <f t="shared" si="350"/>
        <v>0.88109999999999999</v>
      </c>
      <c r="H3391" s="855">
        <f t="shared" si="351"/>
        <v>8.8109999999999999</v>
      </c>
      <c r="I3391" s="138"/>
      <c r="J3391"/>
      <c r="BA3391" s="117"/>
      <c r="BB3391" s="117"/>
      <c r="BC3391" s="117"/>
      <c r="BD3391" s="117"/>
    </row>
    <row r="3392" spans="1:56" ht="15">
      <c r="A3392" s="114"/>
      <c r="B3392" s="300"/>
      <c r="C3392" s="235"/>
      <c r="D3392" s="862"/>
      <c r="E3392" s="138"/>
      <c r="F3392" s="138"/>
      <c r="G3392" s="138"/>
      <c r="H3392" s="138"/>
      <c r="I3392" s="138"/>
      <c r="J3392" s="997"/>
      <c r="BA3392" s="117"/>
      <c r="BB3392" s="117"/>
      <c r="BC3392" s="117"/>
      <c r="BD3392" s="117"/>
    </row>
    <row r="3393" spans="1:56" ht="15">
      <c r="A3393" s="114"/>
      <c r="B3393" s="293"/>
      <c r="C3393" s="387"/>
      <c r="D3393" s="387"/>
      <c r="E3393" s="387"/>
      <c r="F3393" s="387"/>
      <c r="G3393" s="387"/>
      <c r="H3393" s="386"/>
      <c r="I3393" s="386"/>
      <c r="J3393" s="6"/>
      <c r="BA3393" s="117"/>
      <c r="BB3393" s="117"/>
      <c r="BC3393" s="117"/>
      <c r="BD3393" s="117"/>
    </row>
    <row r="3394" spans="1:56" ht="15">
      <c r="A3394" s="114"/>
      <c r="B3394" s="801" t="s">
        <v>2062</v>
      </c>
      <c r="C3394" s="751" t="s">
        <v>2063</v>
      </c>
      <c r="D3394" s="751" t="s">
        <v>82</v>
      </c>
      <c r="E3394" s="802" t="s">
        <v>99</v>
      </c>
      <c r="F3394" s="802" t="s">
        <v>68</v>
      </c>
      <c r="G3394" s="386"/>
      <c r="H3394" s="996"/>
      <c r="I3394" s="114"/>
      <c r="J3394" s="114"/>
      <c r="BA3394" s="117"/>
      <c r="BB3394" s="117"/>
      <c r="BC3394" s="117"/>
      <c r="BD3394" s="117"/>
    </row>
    <row r="3395" spans="1:56" ht="15">
      <c r="A3395" s="114"/>
      <c r="B3395" s="803" t="s">
        <v>161</v>
      </c>
      <c r="C3395" s="755">
        <f>3.1416*0.22*0.22/4</f>
        <v>3.8013360000000003E-2</v>
      </c>
      <c r="D3395" s="756">
        <v>0.2</v>
      </c>
      <c r="E3395" s="828">
        <f>C3395*D3395</f>
        <v>7.6026720000000013E-3</v>
      </c>
      <c r="F3395" s="828">
        <f>C3395*2</f>
        <v>7.6026720000000006E-2</v>
      </c>
      <c r="G3395" s="386"/>
      <c r="H3395" s="996"/>
      <c r="I3395" s="114"/>
      <c r="J3395" s="114"/>
      <c r="BA3395" s="117"/>
      <c r="BB3395" s="117"/>
      <c r="BC3395" s="117"/>
      <c r="BD3395" s="117"/>
    </row>
    <row r="3396" spans="1:56" ht="15">
      <c r="A3396" s="114"/>
      <c r="B3396" s="803" t="s">
        <v>162</v>
      </c>
      <c r="C3396" s="755">
        <f>C3395</f>
        <v>3.8013360000000003E-2</v>
      </c>
      <c r="D3396" s="756">
        <v>0.2</v>
      </c>
      <c r="E3396" s="828">
        <f t="shared" ref="E3396" si="352">C3396*D3396</f>
        <v>7.6026720000000013E-3</v>
      </c>
      <c r="F3396" s="828">
        <f t="shared" ref="F3396" si="353">C3396*2</f>
        <v>7.6026720000000006E-2</v>
      </c>
      <c r="G3396" s="386"/>
      <c r="H3396" s="996"/>
      <c r="I3396" s="114"/>
      <c r="J3396" s="114"/>
      <c r="BA3396" s="117"/>
      <c r="BB3396" s="117"/>
      <c r="BC3396" s="117"/>
      <c r="BD3396" s="117"/>
    </row>
    <row r="3397" spans="1:56" ht="15">
      <c r="A3397" s="114"/>
      <c r="B3397" s="803"/>
      <c r="C3397" s="755"/>
      <c r="D3397" s="756"/>
      <c r="E3397" s="828"/>
      <c r="F3397" s="828"/>
      <c r="G3397" s="386"/>
      <c r="H3397" s="996"/>
      <c r="I3397" s="114"/>
      <c r="J3397" s="114"/>
      <c r="BA3397" s="117"/>
      <c r="BB3397" s="117"/>
      <c r="BC3397" s="117"/>
      <c r="BD3397" s="117"/>
    </row>
    <row r="3398" spans="1:56" ht="15">
      <c r="A3398" s="114"/>
      <c r="B3398" s="114"/>
      <c r="C3398" s="114"/>
      <c r="D3398" s="758" t="s">
        <v>76</v>
      </c>
      <c r="E3398" s="228">
        <f>-SUM(E3395:E3397)</f>
        <v>-1.5205344000000003E-2</v>
      </c>
      <c r="F3398" s="228">
        <f>-SUM(F3395:F3397)</f>
        <v>-0.15205344000000001</v>
      </c>
      <c r="G3398" s="386"/>
      <c r="H3398" s="996"/>
      <c r="I3398" s="114"/>
      <c r="J3398" s="114"/>
      <c r="BA3398" s="117"/>
      <c r="BB3398" s="117"/>
      <c r="BC3398" s="117"/>
      <c r="BD3398" s="117"/>
    </row>
    <row r="3399" spans="1:56" ht="15">
      <c r="A3399" s="114"/>
      <c r="B3399"/>
      <c r="C3399"/>
      <c r="D3399"/>
      <c r="E3399"/>
      <c r="F3399"/>
      <c r="G3399"/>
      <c r="H3399"/>
      <c r="I3399"/>
      <c r="J3399"/>
      <c r="BA3399" s="117"/>
      <c r="BB3399" s="117"/>
      <c r="BC3399" s="117"/>
      <c r="BD3399" s="117"/>
    </row>
    <row r="3400" spans="1:56" ht="15">
      <c r="A3400" s="114"/>
      <c r="B3400" s="300"/>
      <c r="C3400" s="235"/>
      <c r="D3400" s="138"/>
      <c r="E3400" s="138"/>
      <c r="F3400" s="138"/>
      <c r="G3400" s="858"/>
      <c r="H3400" s="859"/>
      <c r="I3400" s="6"/>
      <c r="J3400"/>
      <c r="BA3400" s="117"/>
      <c r="BB3400" s="117"/>
      <c r="BC3400" s="117"/>
      <c r="BD3400" s="117"/>
    </row>
    <row r="3401" spans="1:56" thickBot="1">
      <c r="A3401" s="114"/>
      <c r="B3401" s="300"/>
      <c r="C3401" s="235"/>
      <c r="D3401" s="138"/>
      <c r="E3401" s="138"/>
      <c r="F3401" s="138"/>
      <c r="G3401" s="858"/>
      <c r="H3401" s="859"/>
      <c r="I3401" s="6"/>
      <c r="J3401"/>
      <c r="BA3401" s="117"/>
      <c r="BB3401" s="117"/>
      <c r="BC3401" s="117"/>
      <c r="BD3401" s="117"/>
    </row>
    <row r="3402" spans="1:56" ht="16.5" thickBot="1">
      <c r="A3402" s="114"/>
      <c r="B3402" s="1280" t="s">
        <v>98</v>
      </c>
      <c r="C3402" s="1281"/>
      <c r="D3402" s="1281"/>
      <c r="E3402" s="1281"/>
      <c r="F3402" s="1282"/>
      <c r="G3402"/>
      <c r="H3402"/>
      <c r="I3402"/>
      <c r="J3402"/>
      <c r="BA3402" s="117"/>
      <c r="BB3402" s="117"/>
      <c r="BC3402" s="117"/>
      <c r="BD3402" s="117"/>
    </row>
    <row r="3403" spans="1:56" ht="15">
      <c r="A3403" s="114"/>
      <c r="B3403" s="40"/>
      <c r="C3403" s="996"/>
      <c r="D3403" s="996"/>
      <c r="E3403" s="996"/>
      <c r="F3403" s="424"/>
      <c r="G3403"/>
      <c r="H3403"/>
      <c r="I3403" s="863"/>
      <c r="J3403"/>
      <c r="BA3403" s="117"/>
      <c r="BB3403" s="117"/>
      <c r="BC3403" s="117"/>
      <c r="BD3403" s="117"/>
    </row>
    <row r="3404" spans="1:56">
      <c r="A3404" s="114"/>
      <c r="B3404" s="999" t="s">
        <v>1129</v>
      </c>
      <c r="C3404" s="172"/>
      <c r="D3404" s="173"/>
      <c r="E3404" s="901">
        <f>SUM(H3375:H3382)+SUM(H3386:H3391)+F3398</f>
        <v>40.790946559999995</v>
      </c>
      <c r="F3404" s="139" t="s">
        <v>13</v>
      </c>
      <c r="G3404"/>
      <c r="H3404"/>
      <c r="I3404"/>
      <c r="J3404"/>
      <c r="BA3404" s="117"/>
      <c r="BB3404" s="117"/>
      <c r="BC3404" s="117"/>
      <c r="BD3404" s="117"/>
    </row>
    <row r="3405" spans="1:56" ht="18">
      <c r="A3405" s="114"/>
      <c r="B3405" s="718" t="s">
        <v>1130</v>
      </c>
      <c r="C3405" s="289"/>
      <c r="D3405" s="290"/>
      <c r="E3405" s="901">
        <f>SUM(G3375:G3382)+SUM(G3386:G3391)+E3398</f>
        <v>4.9110446559999996</v>
      </c>
      <c r="F3405" s="700" t="s">
        <v>1124</v>
      </c>
      <c r="G3405"/>
      <c r="H3405"/>
      <c r="I3405"/>
      <c r="J3405"/>
      <c r="BA3405" s="117"/>
      <c r="BB3405" s="117"/>
      <c r="BC3405" s="117"/>
      <c r="BD3405" s="117"/>
    </row>
    <row r="3406" spans="1:56" ht="18">
      <c r="A3406" s="114"/>
      <c r="B3406" s="718" t="s">
        <v>2048</v>
      </c>
      <c r="C3406" s="289"/>
      <c r="D3406" s="289"/>
      <c r="E3406" s="969">
        <f>SUM(I3375:I3382)</f>
        <v>0.62539999999999996</v>
      </c>
      <c r="F3406" s="700" t="s">
        <v>1124</v>
      </c>
      <c r="G3406"/>
      <c r="H3406"/>
      <c r="I3406"/>
      <c r="J3406"/>
      <c r="BA3406" s="117"/>
      <c r="BB3406" s="117"/>
      <c r="BC3406" s="117"/>
      <c r="BD3406" s="117"/>
    </row>
    <row r="3407" spans="1:56" ht="16.5" thickBot="1">
      <c r="A3407" s="114"/>
      <c r="B3407" s="1000"/>
      <c r="C3407" s="174"/>
      <c r="D3407" s="174"/>
      <c r="E3407" s="866"/>
      <c r="F3407" s="440"/>
      <c r="G3407"/>
      <c r="H3407"/>
      <c r="I3407"/>
      <c r="J3407"/>
      <c r="BA3407" s="117"/>
      <c r="BB3407" s="117"/>
      <c r="BC3407" s="117"/>
      <c r="BD3407" s="117"/>
    </row>
    <row r="3408" spans="1:56" ht="15">
      <c r="A3408" s="114"/>
      <c r="B3408" s="1"/>
      <c r="C3408" s="1"/>
      <c r="D3408" s="1"/>
      <c r="E3408" s="1"/>
      <c r="F3408" s="1"/>
      <c r="G3408" s="1"/>
      <c r="H3408" s="3"/>
      <c r="I3408" s="3"/>
      <c r="J3408" s="3"/>
      <c r="BA3408" s="117"/>
      <c r="BB3408" s="117"/>
      <c r="BC3408" s="117"/>
      <c r="BD3408" s="117"/>
    </row>
    <row r="3409" spans="1:56" ht="16.5" thickBot="1">
      <c r="A3409" s="114"/>
      <c r="B3409" s="115"/>
      <c r="C3409" s="115"/>
      <c r="D3409" s="115"/>
      <c r="E3409" s="115"/>
      <c r="F3409" s="115"/>
      <c r="G3409" s="115"/>
      <c r="H3409" s="115"/>
      <c r="I3409" s="115"/>
      <c r="J3409" s="114"/>
      <c r="BA3409" s="117"/>
      <c r="BB3409" s="117"/>
      <c r="BC3409" s="117"/>
      <c r="BD3409" s="117"/>
    </row>
    <row r="3410" spans="1:56">
      <c r="A3410" s="114"/>
      <c r="B3410" s="1285" t="s">
        <v>320</v>
      </c>
      <c r="C3410" s="1286"/>
      <c r="D3410" s="1286"/>
      <c r="E3410" s="1286"/>
      <c r="F3410" s="1287"/>
      <c r="G3410" s="115"/>
      <c r="H3410" s="115"/>
      <c r="I3410" s="386"/>
      <c r="J3410" s="114"/>
      <c r="BA3410" s="117"/>
      <c r="BB3410" s="117"/>
      <c r="BC3410" s="117"/>
      <c r="BD3410" s="117"/>
    </row>
    <row r="3411" spans="1:56">
      <c r="A3411" s="114"/>
      <c r="B3411" s="690"/>
      <c r="C3411" s="115"/>
      <c r="D3411" s="115"/>
      <c r="E3411" s="115"/>
      <c r="F3411" s="182"/>
      <c r="G3411" s="115"/>
      <c r="H3411" s="115"/>
      <c r="I3411" s="386"/>
      <c r="J3411" s="114"/>
      <c r="BA3411" s="117"/>
      <c r="BB3411" s="117"/>
      <c r="BC3411" s="117"/>
      <c r="BD3411" s="117"/>
    </row>
    <row r="3412" spans="1:56" ht="15">
      <c r="A3412" s="114"/>
      <c r="B3412" s="691" t="s">
        <v>2050</v>
      </c>
      <c r="C3412" s="196"/>
      <c r="D3412" s="196"/>
      <c r="E3412" s="196"/>
      <c r="F3412" s="284"/>
      <c r="G3412" s="196"/>
      <c r="H3412" s="196"/>
      <c r="I3412" s="196"/>
      <c r="J3412" s="114"/>
      <c r="BA3412" s="117"/>
      <c r="BB3412" s="117"/>
      <c r="BC3412" s="117"/>
      <c r="BD3412" s="117"/>
    </row>
    <row r="3413" spans="1:56" ht="15">
      <c r="A3413" s="114"/>
      <c r="B3413" s="692" t="s">
        <v>352</v>
      </c>
      <c r="C3413" s="280">
        <v>491</v>
      </c>
      <c r="D3413" s="286" t="s">
        <v>12</v>
      </c>
      <c r="E3413" s="1291" t="s">
        <v>2156</v>
      </c>
      <c r="F3413" s="1292"/>
      <c r="G3413" s="196"/>
      <c r="H3413"/>
      <c r="I3413" s="196"/>
      <c r="J3413" s="114"/>
      <c r="BA3413" s="117"/>
      <c r="BB3413" s="117"/>
      <c r="BC3413" s="117"/>
      <c r="BD3413" s="117"/>
    </row>
    <row r="3414" spans="1:56">
      <c r="A3414" s="114"/>
      <c r="B3414" s="690"/>
      <c r="C3414" s="115"/>
      <c r="D3414" s="115"/>
      <c r="E3414" s="115"/>
      <c r="F3414" s="182"/>
      <c r="G3414" s="115"/>
      <c r="H3414" s="115"/>
      <c r="I3414" s="386"/>
      <c r="J3414" s="114"/>
      <c r="BA3414" s="117"/>
      <c r="BB3414" s="117"/>
      <c r="BC3414" s="117"/>
      <c r="BD3414" s="117"/>
    </row>
    <row r="3415" spans="1:56" ht="15">
      <c r="A3415" s="114"/>
      <c r="B3415" s="691" t="s">
        <v>351</v>
      </c>
      <c r="C3415" s="211"/>
      <c r="D3415" s="196"/>
      <c r="E3415" s="288"/>
      <c r="F3415" s="284"/>
      <c r="G3415" s="196"/>
      <c r="H3415" s="196"/>
      <c r="I3415" s="196"/>
      <c r="J3415" s="114"/>
      <c r="BA3415" s="117"/>
      <c r="BB3415" s="117"/>
      <c r="BC3415" s="117"/>
      <c r="BD3415" s="117"/>
    </row>
    <row r="3416" spans="1:56" ht="16.5" thickBot="1">
      <c r="A3416" s="114"/>
      <c r="B3416" s="695" t="s">
        <v>352</v>
      </c>
      <c r="C3416" s="817"/>
      <c r="D3416" s="818"/>
      <c r="E3416" s="847">
        <f>C3413</f>
        <v>491</v>
      </c>
      <c r="F3416" s="820" t="s">
        <v>12</v>
      </c>
      <c r="G3416" s="115"/>
      <c r="H3416" s="998"/>
      <c r="I3416" s="3"/>
      <c r="J3416" s="114"/>
      <c r="BA3416" s="117"/>
      <c r="BB3416" s="117"/>
      <c r="BC3416" s="117"/>
      <c r="BD3416" s="117"/>
    </row>
    <row r="3417" spans="1:56">
      <c r="A3417" s="114"/>
      <c r="B3417" s="140"/>
      <c r="C3417" s="1002"/>
      <c r="D3417" s="1002"/>
      <c r="E3417"/>
      <c r="F3417" s="1003"/>
      <c r="G3417" s="115"/>
      <c r="H3417" s="998"/>
      <c r="I3417" s="3"/>
      <c r="J3417" s="114"/>
      <c r="BA3417" s="117"/>
      <c r="BB3417" s="117"/>
      <c r="BC3417" s="117"/>
      <c r="BD3417" s="117"/>
    </row>
    <row r="3418" spans="1:56" customFormat="1" ht="12.75"/>
    <row r="3419" spans="1:56" s="800" customFormat="1" ht="12.75">
      <c r="A3419"/>
      <c r="B3419" s="867"/>
      <c r="C3419" s="387"/>
      <c r="D3419" s="387"/>
      <c r="E3419" s="387"/>
      <c r="F3419" s="387"/>
      <c r="G3419" s="387"/>
      <c r="H3419" s="386"/>
      <c r="I3419" s="386"/>
      <c r="J3419" s="386"/>
      <c r="K3419" s="848"/>
    </row>
    <row r="3420" spans="1:56" s="800" customFormat="1" ht="16.5" customHeight="1">
      <c r="A3420"/>
      <c r="B3420" s="1180" t="s">
        <v>2302</v>
      </c>
      <c r="C3420" s="1180"/>
      <c r="D3420" s="1180"/>
      <c r="E3420" s="1180"/>
      <c r="F3420" s="1180"/>
      <c r="G3420" s="1180"/>
      <c r="H3420" s="1180"/>
      <c r="I3420" s="1180"/>
      <c r="J3420" s="1180"/>
      <c r="K3420" s="848"/>
    </row>
    <row r="3421" spans="1:56" s="800" customFormat="1" ht="12.75">
      <c r="A3421"/>
      <c r="B3421" s="1"/>
      <c r="C3421" s="1"/>
      <c r="D3421" s="1"/>
      <c r="E3421" s="1"/>
      <c r="F3421" s="1"/>
      <c r="G3421" s="1"/>
      <c r="H3421" s="3"/>
      <c r="I3421" s="3"/>
      <c r="J3421" s="3"/>
      <c r="K3421" s="848"/>
    </row>
    <row r="3422" spans="1:56" s="848" customFormat="1" ht="12.75">
      <c r="A3422"/>
      <c r="B3422" s="1"/>
      <c r="C3422" s="1"/>
      <c r="D3422" s="1"/>
      <c r="E3422" s="1"/>
      <c r="F3422" s="1"/>
      <c r="G3422" s="3"/>
      <c r="H3422" s="3"/>
      <c r="I3422" s="3"/>
      <c r="J3422" s="4"/>
    </row>
    <row r="3423" spans="1:56" s="848" customFormat="1" ht="12.75">
      <c r="A3423"/>
      <c r="B3423" s="1"/>
      <c r="C3423" s="1"/>
      <c r="D3423" s="1"/>
      <c r="E3423" s="1"/>
      <c r="F3423" s="1"/>
      <c r="G3423" s="3"/>
      <c r="H3423" s="3"/>
      <c r="I3423" s="3"/>
      <c r="J3423" s="4"/>
    </row>
    <row r="3424" spans="1:56" s="800" customFormat="1" ht="14.25">
      <c r="A3424"/>
      <c r="B3424" s="849" t="s">
        <v>2051</v>
      </c>
      <c r="C3424" s="850" t="s">
        <v>61</v>
      </c>
      <c r="D3424" s="850" t="s">
        <v>66</v>
      </c>
      <c r="E3424" s="850" t="s">
        <v>2044</v>
      </c>
      <c r="F3424" s="850" t="s">
        <v>2045</v>
      </c>
      <c r="G3424" s="851" t="s">
        <v>99</v>
      </c>
      <c r="H3424" s="851" t="s">
        <v>68</v>
      </c>
      <c r="I3424" s="851" t="s">
        <v>2046</v>
      </c>
      <c r="J3424" s="848"/>
    </row>
    <row r="3425" spans="1:56" s="800" customFormat="1" ht="12.75">
      <c r="A3425"/>
      <c r="B3425" s="852" t="s">
        <v>2052</v>
      </c>
      <c r="C3425" s="853">
        <v>1</v>
      </c>
      <c r="D3425" s="175">
        <v>0.5</v>
      </c>
      <c r="E3425" s="175">
        <v>8</v>
      </c>
      <c r="F3425" s="854">
        <v>3</v>
      </c>
      <c r="G3425" s="855">
        <f>C3425*D3425*E3425*F3425</f>
        <v>12</v>
      </c>
      <c r="H3425" s="855">
        <f>2*(E3425+F3425)*C3425*D3425</f>
        <v>11</v>
      </c>
      <c r="I3425" s="856">
        <f>E3425*F3425*0.05</f>
        <v>1.2000000000000002</v>
      </c>
      <c r="J3425" s="848"/>
    </row>
    <row r="3426" spans="1:56" s="800" customFormat="1" ht="13.5" thickBot="1">
      <c r="A3426"/>
      <c r="B3426" s="300"/>
      <c r="C3426" s="235"/>
      <c r="D3426" s="138"/>
      <c r="E3426" s="138"/>
      <c r="F3426" s="138"/>
      <c r="G3426" s="858"/>
      <c r="H3426" s="859"/>
      <c r="I3426" s="6"/>
      <c r="J3426"/>
      <c r="K3426" s="848"/>
    </row>
    <row r="3427" spans="1:56" s="800" customFormat="1" ht="16.5" thickBot="1">
      <c r="A3427"/>
      <c r="B3427" s="1280" t="s">
        <v>98</v>
      </c>
      <c r="C3427" s="1281"/>
      <c r="D3427" s="1281"/>
      <c r="E3427" s="1281"/>
      <c r="F3427" s="1282"/>
      <c r="G3427"/>
      <c r="H3427"/>
      <c r="I3427"/>
      <c r="J3427"/>
      <c r="K3427" s="848"/>
    </row>
    <row r="3428" spans="1:56" s="800" customFormat="1" ht="12.75">
      <c r="A3428"/>
      <c r="B3428" s="40"/>
      <c r="C3428" s="793"/>
      <c r="D3428" s="793"/>
      <c r="E3428" s="793"/>
      <c r="F3428" s="424"/>
      <c r="G3428"/>
      <c r="H3428"/>
      <c r="I3428" s="863"/>
      <c r="J3428"/>
      <c r="K3428" s="848"/>
    </row>
    <row r="3429" spans="1:56" s="800" customFormat="1">
      <c r="A3429"/>
      <c r="B3429" s="703" t="s">
        <v>1129</v>
      </c>
      <c r="C3429" s="172"/>
      <c r="D3429" s="173"/>
      <c r="E3429" s="864">
        <f>H3425</f>
        <v>11</v>
      </c>
      <c r="F3429" s="139" t="s">
        <v>13</v>
      </c>
      <c r="G3429"/>
      <c r="H3429"/>
      <c r="I3429"/>
      <c r="J3429"/>
      <c r="K3429" s="848"/>
    </row>
    <row r="3430" spans="1:56" s="800" customFormat="1" ht="18">
      <c r="A3430"/>
      <c r="B3430" s="718" t="s">
        <v>1130</v>
      </c>
      <c r="C3430" s="289"/>
      <c r="D3430" s="290"/>
      <c r="E3430" s="864">
        <f>G3425</f>
        <v>12</v>
      </c>
      <c r="F3430" s="700" t="s">
        <v>1124</v>
      </c>
      <c r="G3430"/>
      <c r="H3430"/>
      <c r="I3430"/>
      <c r="J3430"/>
      <c r="K3430" s="848"/>
    </row>
    <row r="3431" spans="1:56" s="800" customFormat="1" ht="18">
      <c r="A3431"/>
      <c r="B3431" s="718" t="s">
        <v>2048</v>
      </c>
      <c r="C3431" s="289"/>
      <c r="D3431" s="289"/>
      <c r="E3431" s="864">
        <f>I3425</f>
        <v>1.2000000000000002</v>
      </c>
      <c r="F3431" s="700" t="s">
        <v>1124</v>
      </c>
      <c r="G3431"/>
      <c r="H3431"/>
      <c r="I3431"/>
      <c r="J3431"/>
      <c r="K3431" s="848"/>
    </row>
    <row r="3432" spans="1:56" s="848" customFormat="1" ht="16.5" thickBot="1">
      <c r="A3432"/>
      <c r="B3432" s="720"/>
      <c r="C3432" s="174"/>
      <c r="D3432" s="174"/>
      <c r="E3432" s="866"/>
      <c r="F3432" s="440"/>
      <c r="G3432"/>
      <c r="H3432"/>
      <c r="I3432"/>
      <c r="J3432"/>
    </row>
    <row r="3433" spans="1:56" s="848" customFormat="1" ht="12.75">
      <c r="A3433"/>
      <c r="B3433" s="1"/>
      <c r="C3433" s="1"/>
      <c r="D3433" s="1"/>
      <c r="E3433" s="1"/>
      <c r="F3433" s="1"/>
      <c r="G3433" s="1"/>
      <c r="H3433" s="3"/>
      <c r="I3433" s="3"/>
      <c r="J3433" s="3"/>
    </row>
    <row r="3434" spans="1:56" ht="16.5" thickBot="1">
      <c r="A3434" s="114"/>
      <c r="B3434" s="115"/>
      <c r="C3434" s="115"/>
      <c r="D3434" s="115"/>
      <c r="E3434" s="115"/>
      <c r="F3434" s="115"/>
      <c r="G3434" s="115"/>
      <c r="H3434" s="115"/>
      <c r="I3434" s="115"/>
      <c r="J3434" s="114"/>
      <c r="BA3434" s="117"/>
      <c r="BB3434" s="117"/>
      <c r="BC3434" s="117"/>
      <c r="BD3434" s="117"/>
    </row>
    <row r="3435" spans="1:56">
      <c r="A3435" s="114"/>
      <c r="B3435" s="1285" t="s">
        <v>320</v>
      </c>
      <c r="C3435" s="1286"/>
      <c r="D3435" s="1286"/>
      <c r="E3435" s="1286"/>
      <c r="F3435" s="1287"/>
      <c r="G3435" s="115"/>
      <c r="H3435" s="115"/>
      <c r="I3435" s="386"/>
      <c r="J3435" s="114"/>
      <c r="BA3435" s="117"/>
      <c r="BB3435" s="117"/>
      <c r="BC3435" s="117"/>
      <c r="BD3435" s="117"/>
    </row>
    <row r="3436" spans="1:56">
      <c r="A3436" s="114"/>
      <c r="B3436" s="690"/>
      <c r="C3436" s="115"/>
      <c r="D3436" s="115"/>
      <c r="E3436" s="115"/>
      <c r="F3436" s="182"/>
      <c r="G3436" s="115"/>
      <c r="H3436" s="115"/>
      <c r="I3436" s="386"/>
      <c r="J3436" s="114"/>
      <c r="BA3436" s="117"/>
      <c r="BB3436" s="117"/>
      <c r="BC3436" s="117"/>
      <c r="BD3436" s="117"/>
    </row>
    <row r="3437" spans="1:56" ht="15">
      <c r="A3437" s="114"/>
      <c r="B3437" s="691" t="s">
        <v>2053</v>
      </c>
      <c r="C3437" s="196"/>
      <c r="D3437" s="196"/>
      <c r="E3437" s="196"/>
      <c r="F3437" s="284"/>
      <c r="G3437" s="196"/>
      <c r="H3437" s="196"/>
      <c r="I3437" s="196"/>
      <c r="J3437" s="114"/>
      <c r="BA3437" s="117"/>
      <c r="BB3437" s="117"/>
      <c r="BC3437" s="117"/>
      <c r="BD3437" s="117"/>
    </row>
    <row r="3438" spans="1:56" ht="15">
      <c r="A3438" s="114"/>
      <c r="B3438" s="692" t="s">
        <v>352</v>
      </c>
      <c r="C3438" s="280">
        <v>953</v>
      </c>
      <c r="D3438" s="286" t="s">
        <v>12</v>
      </c>
      <c r="E3438" s="1325" t="s">
        <v>2149</v>
      </c>
      <c r="F3438" s="1326"/>
      <c r="G3438" s="196"/>
      <c r="H3438" s="196"/>
      <c r="I3438" s="196"/>
      <c r="J3438" s="114"/>
      <c r="BA3438" s="117"/>
      <c r="BB3438" s="117"/>
      <c r="BC3438" s="117"/>
      <c r="BD3438" s="117"/>
    </row>
    <row r="3439" spans="1:56">
      <c r="A3439" s="114"/>
      <c r="B3439" s="690"/>
      <c r="C3439" s="115"/>
      <c r="D3439" s="115"/>
      <c r="E3439" s="115"/>
      <c r="F3439" s="182"/>
      <c r="G3439" s="115"/>
      <c r="H3439" s="115"/>
      <c r="I3439" s="386"/>
      <c r="J3439" s="114"/>
      <c r="BA3439" s="117"/>
      <c r="BB3439" s="117"/>
      <c r="BC3439" s="117"/>
      <c r="BD3439" s="117"/>
    </row>
    <row r="3440" spans="1:56" ht="15">
      <c r="A3440" s="114"/>
      <c r="B3440" s="691" t="s">
        <v>351</v>
      </c>
      <c r="C3440" s="211"/>
      <c r="D3440" s="196"/>
      <c r="E3440" s="288"/>
      <c r="F3440" s="284"/>
      <c r="G3440" s="196"/>
      <c r="H3440" s="196"/>
      <c r="I3440" s="196"/>
      <c r="J3440" s="114"/>
      <c r="BA3440" s="117"/>
      <c r="BB3440" s="117"/>
      <c r="BC3440" s="117"/>
      <c r="BD3440" s="117"/>
    </row>
    <row r="3441" spans="1:56" ht="16.5" thickBot="1">
      <c r="A3441" s="114"/>
      <c r="B3441" s="695" t="s">
        <v>352</v>
      </c>
      <c r="C3441" s="817"/>
      <c r="D3441" s="818"/>
      <c r="E3441" s="847">
        <f>C3438</f>
        <v>953</v>
      </c>
      <c r="F3441" s="820" t="s">
        <v>12</v>
      </c>
      <c r="G3441" s="115"/>
      <c r="H3441" s="236"/>
      <c r="I3441" s="3"/>
      <c r="J3441" s="114"/>
      <c r="BA3441" s="117"/>
      <c r="BB3441" s="117"/>
      <c r="BC3441" s="117"/>
      <c r="BD3441" s="117"/>
    </row>
    <row r="3442" spans="1:56" customFormat="1" ht="12.75"/>
    <row r="3443" spans="1:56" s="800" customFormat="1" ht="12.75">
      <c r="A3443"/>
      <c r="B3443" s="564"/>
      <c r="C3443" s="180"/>
      <c r="D3443" s="180"/>
      <c r="E3443" s="180"/>
      <c r="F3443" s="180"/>
      <c r="G3443" s="180"/>
      <c r="H3443" s="234"/>
      <c r="I3443" s="234"/>
      <c r="J3443" s="234"/>
      <c r="K3443" s="848"/>
    </row>
    <row r="3444" spans="1:56" s="800" customFormat="1" ht="16.5" customHeight="1">
      <c r="A3444"/>
      <c r="B3444" s="1180" t="s">
        <v>2303</v>
      </c>
      <c r="C3444" s="1180"/>
      <c r="D3444" s="1180"/>
      <c r="E3444" s="1180"/>
      <c r="F3444" s="1180"/>
      <c r="G3444" s="1180"/>
      <c r="H3444" s="1180"/>
      <c r="I3444" s="1180"/>
      <c r="J3444" s="1180"/>
      <c r="K3444" s="848"/>
    </row>
    <row r="3445" spans="1:56" s="800" customFormat="1" ht="12.75">
      <c r="A3445"/>
      <c r="B3445" s="1"/>
      <c r="C3445" s="1"/>
      <c r="D3445" s="1"/>
      <c r="E3445" s="1"/>
      <c r="F3445" s="1"/>
      <c r="G3445" s="1"/>
      <c r="H3445" s="3"/>
      <c r="I3445" s="3"/>
      <c r="J3445" s="3"/>
      <c r="K3445" s="848"/>
    </row>
    <row r="3446" spans="1:56" s="848" customFormat="1" ht="12.75">
      <c r="A3446"/>
      <c r="B3446" s="1"/>
      <c r="C3446" s="1"/>
      <c r="D3446" s="1"/>
      <c r="E3446" s="1"/>
      <c r="F3446" s="1"/>
      <c r="G3446" s="3"/>
      <c r="H3446" s="3"/>
      <c r="I3446" s="3"/>
      <c r="J3446" s="4"/>
    </row>
    <row r="3447" spans="1:56" s="848" customFormat="1" ht="12.75">
      <c r="A3447"/>
      <c r="B3447" s="1"/>
      <c r="C3447" s="1"/>
      <c r="D3447" s="1"/>
      <c r="E3447" s="1"/>
      <c r="F3447" s="1"/>
      <c r="G3447" s="3"/>
      <c r="H3447" s="3"/>
      <c r="I3447" s="3"/>
      <c r="J3447" s="4"/>
    </row>
    <row r="3448" spans="1:56" s="800" customFormat="1" ht="14.25">
      <c r="A3448"/>
      <c r="B3448" s="849" t="s">
        <v>2043</v>
      </c>
      <c r="C3448" s="850" t="s">
        <v>61</v>
      </c>
      <c r="D3448" s="850" t="s">
        <v>66</v>
      </c>
      <c r="E3448" s="850" t="s">
        <v>2044</v>
      </c>
      <c r="F3448" s="850" t="s">
        <v>2045</v>
      </c>
      <c r="G3448" s="851" t="s">
        <v>99</v>
      </c>
      <c r="H3448" s="851" t="s">
        <v>68</v>
      </c>
      <c r="I3448" s="851" t="s">
        <v>2046</v>
      </c>
      <c r="J3448" s="848"/>
    </row>
    <row r="3449" spans="1:56" s="800" customFormat="1" ht="12.75">
      <c r="A3449"/>
      <c r="B3449" s="852" t="s">
        <v>2054</v>
      </c>
      <c r="C3449" s="853">
        <v>1</v>
      </c>
      <c r="D3449" s="175">
        <v>0.2</v>
      </c>
      <c r="E3449" s="175">
        <v>1.6</v>
      </c>
      <c r="F3449" s="854">
        <v>1.2</v>
      </c>
      <c r="G3449" s="855">
        <f>C3449*D3449*E3449*F3449</f>
        <v>0.38400000000000006</v>
      </c>
      <c r="H3449" s="855">
        <f>2*(E3449+F3449)*C3449*D3449</f>
        <v>1.1199999999999999</v>
      </c>
      <c r="I3449" s="857">
        <f>E3449*F3449*0.05</f>
        <v>9.6000000000000002E-2</v>
      </c>
      <c r="J3449" s="848"/>
    </row>
    <row r="3450" spans="1:56" s="800" customFormat="1" ht="12.75">
      <c r="A3450"/>
      <c r="B3450" s="852" t="s">
        <v>2055</v>
      </c>
      <c r="C3450" s="853">
        <v>5</v>
      </c>
      <c r="D3450" s="175">
        <v>0.12</v>
      </c>
      <c r="E3450" s="175">
        <v>1.2</v>
      </c>
      <c r="F3450" s="854">
        <v>0.32</v>
      </c>
      <c r="G3450" s="855">
        <f>C3450*D3450*E3450*F3450</f>
        <v>0.23039999999999999</v>
      </c>
      <c r="H3450" s="855">
        <f>C3450*((E3450*F3450)+2*(E3450+F3450))</f>
        <v>17.12</v>
      </c>
      <c r="I3450" s="857"/>
      <c r="J3450" s="848"/>
    </row>
    <row r="3451" spans="1:56" s="800" customFormat="1" ht="12.75">
      <c r="A3451"/>
      <c r="B3451" s="852" t="s">
        <v>2056</v>
      </c>
      <c r="C3451" s="853">
        <v>1</v>
      </c>
      <c r="D3451" s="175">
        <v>0.4</v>
      </c>
      <c r="E3451" s="175">
        <v>1.6</v>
      </c>
      <c r="F3451" s="854">
        <v>2.2000000000000002</v>
      </c>
      <c r="G3451" s="475">
        <f>C3451*D3451*E3451*F3451</f>
        <v>1.4080000000000004</v>
      </c>
      <c r="H3451" s="475">
        <f>2*(E3451+F3451)*D3451*C3451</f>
        <v>3.0400000000000005</v>
      </c>
      <c r="I3451" s="857">
        <v>0</v>
      </c>
      <c r="J3451" s="848"/>
    </row>
    <row r="3452" spans="1:56" s="800" customFormat="1" ht="12.75">
      <c r="A3452"/>
      <c r="B3452" s="852" t="s">
        <v>2057</v>
      </c>
      <c r="C3452" s="853">
        <v>1</v>
      </c>
      <c r="D3452" s="175">
        <v>0.6</v>
      </c>
      <c r="E3452" s="175">
        <v>2.2000000000000002</v>
      </c>
      <c r="F3452" s="854">
        <v>2.2000000000000002</v>
      </c>
      <c r="G3452" s="475">
        <f>C3452*D3452*E3452*F3452</f>
        <v>2.9040000000000004</v>
      </c>
      <c r="H3452" s="475">
        <f>2*(E3452+F3452)*D3452*C3452</f>
        <v>5.28</v>
      </c>
      <c r="I3452" s="857">
        <v>0</v>
      </c>
      <c r="J3452" s="848"/>
    </row>
    <row r="3453" spans="1:56" s="800" customFormat="1" ht="12.75">
      <c r="A3453"/>
      <c r="B3453" s="300"/>
      <c r="C3453" s="235"/>
      <c r="D3453" s="138"/>
      <c r="E3453" s="138"/>
      <c r="G3453" s="236"/>
      <c r="H3453" s="236"/>
      <c r="I3453" s="236"/>
      <c r="J3453" s="848"/>
    </row>
    <row r="3454" spans="1:56" s="800" customFormat="1" ht="12.75">
      <c r="A3454"/>
      <c r="B3454" s="300"/>
      <c r="C3454" s="235"/>
      <c r="D3454" s="138"/>
      <c r="E3454" s="138"/>
      <c r="F3454" s="138"/>
      <c r="G3454" s="858"/>
      <c r="H3454" s="859"/>
      <c r="I3454" s="6"/>
      <c r="J3454"/>
      <c r="K3454" s="848"/>
    </row>
    <row r="3455" spans="1:56" s="800" customFormat="1" ht="14.25">
      <c r="A3455"/>
      <c r="B3455" s="849" t="s">
        <v>160</v>
      </c>
      <c r="C3455" s="850" t="s">
        <v>61</v>
      </c>
      <c r="D3455" s="850" t="s">
        <v>82</v>
      </c>
      <c r="E3455" s="850" t="s">
        <v>66</v>
      </c>
      <c r="F3455" s="850" t="s">
        <v>62</v>
      </c>
      <c r="G3455" s="851" t="s">
        <v>99</v>
      </c>
      <c r="H3455" s="851" t="s">
        <v>68</v>
      </c>
      <c r="I3455" s="860"/>
      <c r="J3455"/>
    </row>
    <row r="3456" spans="1:56" s="800" customFormat="1" ht="12.75">
      <c r="A3456"/>
      <c r="B3456" s="852" t="s">
        <v>161</v>
      </c>
      <c r="C3456" s="853">
        <v>1</v>
      </c>
      <c r="D3456" s="861">
        <v>0.2</v>
      </c>
      <c r="E3456" s="175">
        <v>1.2</v>
      </c>
      <c r="F3456" s="175">
        <v>1</v>
      </c>
      <c r="G3456" s="855">
        <f>D3456*E3456*F3456*C3456</f>
        <v>0.24</v>
      </c>
      <c r="H3456" s="855">
        <f>C3456*2*E3456*F3456</f>
        <v>2.4</v>
      </c>
      <c r="I3456" s="138"/>
      <c r="J3456"/>
    </row>
    <row r="3457" spans="1:56" s="800" customFormat="1" ht="12.75">
      <c r="A3457"/>
      <c r="B3457" s="852" t="s">
        <v>162</v>
      </c>
      <c r="C3457" s="853">
        <v>1</v>
      </c>
      <c r="D3457" s="861">
        <v>0.2</v>
      </c>
      <c r="E3457" s="175">
        <v>1.2</v>
      </c>
      <c r="F3457" s="175">
        <v>1</v>
      </c>
      <c r="G3457" s="855">
        <f>D3457*E3457*F3457*C3457</f>
        <v>0.24</v>
      </c>
      <c r="H3457" s="855">
        <f>C3457*2*E3457*F3457</f>
        <v>2.4</v>
      </c>
      <c r="I3457" s="138"/>
      <c r="J3457"/>
    </row>
    <row r="3458" spans="1:56" s="800" customFormat="1" ht="12.75">
      <c r="A3458"/>
      <c r="B3458" s="852" t="s">
        <v>163</v>
      </c>
      <c r="C3458" s="853">
        <v>1</v>
      </c>
      <c r="D3458" s="861">
        <v>0.2</v>
      </c>
      <c r="E3458" s="175">
        <v>1.2</v>
      </c>
      <c r="F3458" s="175">
        <v>1</v>
      </c>
      <c r="G3458" s="855">
        <f>D3458*E3458*F3458*C3458</f>
        <v>0.24</v>
      </c>
      <c r="H3458" s="855">
        <f>C3458*2*E3458*F3458</f>
        <v>2.4</v>
      </c>
      <c r="I3458" s="138"/>
      <c r="J3458"/>
    </row>
    <row r="3459" spans="1:56" s="800" customFormat="1" ht="12.75">
      <c r="A3459"/>
      <c r="B3459" s="852" t="s">
        <v>164</v>
      </c>
      <c r="C3459" s="853">
        <v>1</v>
      </c>
      <c r="D3459" s="861">
        <v>0.2</v>
      </c>
      <c r="E3459" s="175">
        <v>1.2</v>
      </c>
      <c r="F3459" s="175">
        <v>1</v>
      </c>
      <c r="G3459" s="855">
        <f>D3459*E3459*F3459*C3459</f>
        <v>0.24</v>
      </c>
      <c r="H3459" s="855">
        <f>C3459*2*E3459*F3459</f>
        <v>2.4</v>
      </c>
      <c r="I3459" s="138"/>
      <c r="J3459"/>
    </row>
    <row r="3460" spans="1:56" s="800" customFormat="1" ht="12.75">
      <c r="A3460"/>
      <c r="B3460" s="300"/>
      <c r="C3460" s="235"/>
      <c r="D3460" s="862"/>
      <c r="E3460" s="138"/>
      <c r="F3460" s="138"/>
      <c r="G3460" s="138"/>
      <c r="H3460" s="138"/>
      <c r="I3460" s="138"/>
      <c r="J3460" s="860"/>
      <c r="K3460" s="848"/>
    </row>
    <row r="3461" spans="1:56" s="800" customFormat="1" ht="12.75">
      <c r="A3461"/>
      <c r="B3461" s="300"/>
      <c r="C3461" s="235"/>
      <c r="D3461" s="138"/>
      <c r="E3461" s="138"/>
      <c r="F3461" s="138"/>
      <c r="G3461" s="858"/>
      <c r="H3461" s="859"/>
      <c r="I3461" s="6"/>
      <c r="J3461"/>
      <c r="K3461" s="848"/>
    </row>
    <row r="3462" spans="1:56" s="800" customFormat="1" ht="13.5" thickBot="1">
      <c r="A3462"/>
      <c r="B3462" s="300"/>
      <c r="C3462" s="235"/>
      <c r="D3462" s="138"/>
      <c r="E3462" s="138"/>
      <c r="F3462" s="138"/>
      <c r="G3462" s="858"/>
      <c r="H3462" s="859"/>
      <c r="I3462" s="6"/>
      <c r="J3462"/>
      <c r="K3462" s="848"/>
    </row>
    <row r="3463" spans="1:56" s="800" customFormat="1" ht="16.5" thickBot="1">
      <c r="A3463"/>
      <c r="B3463" s="1280" t="s">
        <v>98</v>
      </c>
      <c r="C3463" s="1281"/>
      <c r="D3463" s="1281"/>
      <c r="E3463" s="1281"/>
      <c r="F3463" s="1282"/>
      <c r="G3463"/>
      <c r="H3463"/>
      <c r="I3463"/>
      <c r="J3463"/>
      <c r="K3463" s="848"/>
    </row>
    <row r="3464" spans="1:56" s="800" customFormat="1" ht="12.75">
      <c r="A3464"/>
      <c r="B3464" s="40"/>
      <c r="C3464" s="793"/>
      <c r="D3464" s="793"/>
      <c r="E3464" s="793"/>
      <c r="F3464" s="424"/>
      <c r="G3464"/>
      <c r="H3464"/>
      <c r="I3464" s="863"/>
      <c r="J3464"/>
      <c r="K3464" s="848"/>
    </row>
    <row r="3465" spans="1:56" s="800" customFormat="1">
      <c r="A3465"/>
      <c r="B3465" s="703" t="s">
        <v>1129</v>
      </c>
      <c r="C3465" s="172"/>
      <c r="D3465" s="173"/>
      <c r="E3465" s="864">
        <f>SUM(H3449:H3452)+SUM(H3456:H3459)</f>
        <v>36.160000000000004</v>
      </c>
      <c r="F3465" s="139" t="s">
        <v>13</v>
      </c>
      <c r="G3465"/>
      <c r="H3465"/>
      <c r="I3465"/>
      <c r="J3465"/>
      <c r="K3465" s="848"/>
    </row>
    <row r="3466" spans="1:56" s="800" customFormat="1" ht="18">
      <c r="A3466"/>
      <c r="B3466" s="718" t="s">
        <v>1130</v>
      </c>
      <c r="C3466" s="289"/>
      <c r="D3466" s="289"/>
      <c r="E3466" s="1047">
        <f>SUM(G3449:G3452)+SUM(G3456:G3459)</f>
        <v>5.886400000000001</v>
      </c>
      <c r="F3466" s="700" t="s">
        <v>1124</v>
      </c>
      <c r="G3466"/>
      <c r="H3466"/>
      <c r="I3466"/>
      <c r="J3466"/>
      <c r="K3466" s="848"/>
    </row>
    <row r="3467" spans="1:56" s="800" customFormat="1" ht="18">
      <c r="A3467"/>
      <c r="B3467" s="718" t="s">
        <v>2048</v>
      </c>
      <c r="C3467" s="289"/>
      <c r="D3467" s="289"/>
      <c r="E3467" s="868">
        <f>SUM(I3449)</f>
        <v>9.6000000000000002E-2</v>
      </c>
      <c r="F3467" s="700" t="s">
        <v>1124</v>
      </c>
      <c r="G3467"/>
      <c r="H3467"/>
      <c r="I3467"/>
      <c r="J3467"/>
      <c r="K3467" s="848"/>
    </row>
    <row r="3468" spans="1:56" s="848" customFormat="1" ht="16.5" thickBot="1">
      <c r="A3468"/>
      <c r="B3468" s="720"/>
      <c r="C3468" s="174"/>
      <c r="D3468" s="174"/>
      <c r="E3468" s="866"/>
      <c r="F3468" s="440"/>
      <c r="G3468"/>
      <c r="H3468"/>
      <c r="I3468"/>
      <c r="J3468"/>
    </row>
    <row r="3469" spans="1:56" s="848" customFormat="1" ht="12.75">
      <c r="A3469"/>
      <c r="B3469" s="1"/>
      <c r="C3469" s="1"/>
      <c r="D3469" s="1"/>
      <c r="E3469" s="1"/>
      <c r="F3469" s="1"/>
      <c r="G3469" s="1"/>
      <c r="H3469" s="3"/>
      <c r="I3469" s="3"/>
      <c r="J3469" s="3"/>
    </row>
    <row r="3470" spans="1:56" ht="16.5" thickBot="1">
      <c r="A3470" s="114"/>
      <c r="B3470" s="115"/>
      <c r="C3470" s="115"/>
      <c r="D3470" s="115"/>
      <c r="E3470" s="115"/>
      <c r="F3470" s="115"/>
      <c r="G3470" s="115"/>
      <c r="H3470" s="115"/>
      <c r="I3470" s="115"/>
      <c r="J3470" s="114"/>
      <c r="BA3470" s="117"/>
      <c r="BB3470" s="117"/>
      <c r="BC3470" s="117"/>
      <c r="BD3470" s="117"/>
    </row>
    <row r="3471" spans="1:56">
      <c r="A3471" s="114"/>
      <c r="B3471" s="1285" t="s">
        <v>320</v>
      </c>
      <c r="C3471" s="1286"/>
      <c r="D3471" s="1286"/>
      <c r="E3471" s="1286"/>
      <c r="F3471" s="1287"/>
      <c r="G3471" s="115"/>
      <c r="H3471" s="115"/>
      <c r="I3471" s="386"/>
      <c r="J3471" s="114"/>
      <c r="BA3471" s="117"/>
      <c r="BB3471" s="117"/>
      <c r="BC3471" s="117"/>
      <c r="BD3471" s="117"/>
    </row>
    <row r="3472" spans="1:56">
      <c r="A3472" s="114"/>
      <c r="B3472" s="690"/>
      <c r="C3472" s="115"/>
      <c r="D3472" s="115"/>
      <c r="E3472" s="115"/>
      <c r="F3472" s="182"/>
      <c r="G3472" s="115"/>
      <c r="H3472" s="115"/>
      <c r="I3472" s="386"/>
      <c r="J3472" s="114"/>
      <c r="BA3472" s="117"/>
      <c r="BB3472" s="117"/>
      <c r="BC3472" s="117"/>
      <c r="BD3472" s="117"/>
    </row>
    <row r="3473" spans="1:56" ht="15">
      <c r="A3473" s="114"/>
      <c r="B3473" s="691" t="s">
        <v>2058</v>
      </c>
      <c r="C3473" s="196"/>
      <c r="D3473" s="196"/>
      <c r="E3473" s="196"/>
      <c r="F3473" s="284"/>
      <c r="G3473" s="196"/>
      <c r="H3473" s="196"/>
      <c r="I3473" s="196"/>
      <c r="J3473" s="114"/>
      <c r="BA3473" s="117"/>
      <c r="BB3473" s="117"/>
      <c r="BC3473" s="117"/>
      <c r="BD3473" s="117"/>
    </row>
    <row r="3474" spans="1:56" ht="15">
      <c r="A3474" s="114"/>
      <c r="B3474" s="692" t="s">
        <v>352</v>
      </c>
      <c r="C3474" s="280">
        <v>534</v>
      </c>
      <c r="D3474" s="286" t="s">
        <v>12</v>
      </c>
      <c r="E3474" s="1199" t="s">
        <v>2152</v>
      </c>
      <c r="F3474" s="1200"/>
      <c r="G3474" s="196"/>
      <c r="H3474" s="196"/>
      <c r="I3474" s="196"/>
      <c r="J3474" s="114"/>
      <c r="BA3474" s="117"/>
      <c r="BB3474" s="117"/>
      <c r="BC3474" s="117"/>
      <c r="BD3474" s="117"/>
    </row>
    <row r="3475" spans="1:56" ht="15">
      <c r="A3475" s="114"/>
      <c r="B3475" s="692" t="s">
        <v>2059</v>
      </c>
      <c r="C3475" s="280">
        <v>2</v>
      </c>
      <c r="D3475" s="286" t="s">
        <v>12</v>
      </c>
      <c r="E3475" s="1201"/>
      <c r="F3475" s="1202"/>
      <c r="G3475" s="196"/>
      <c r="H3475" s="196"/>
      <c r="I3475" s="196"/>
      <c r="J3475" s="114"/>
      <c r="BA3475" s="117"/>
      <c r="BB3475" s="117"/>
      <c r="BC3475" s="117"/>
      <c r="BD3475" s="117"/>
    </row>
    <row r="3476" spans="1:56">
      <c r="A3476" s="114"/>
      <c r="B3476" s="690"/>
      <c r="C3476" s="115"/>
      <c r="D3476" s="115"/>
      <c r="E3476" s="115"/>
      <c r="F3476" s="182"/>
      <c r="G3476" s="115"/>
      <c r="H3476" s="115"/>
      <c r="I3476" s="386"/>
      <c r="J3476" s="114"/>
      <c r="BA3476" s="117"/>
      <c r="BB3476" s="117"/>
      <c r="BC3476" s="117"/>
      <c r="BD3476" s="117"/>
    </row>
    <row r="3477" spans="1:56" ht="15">
      <c r="A3477" s="114"/>
      <c r="B3477" s="691" t="s">
        <v>351</v>
      </c>
      <c r="C3477" s="211"/>
      <c r="D3477" s="196"/>
      <c r="E3477" s="288"/>
      <c r="F3477" s="284"/>
      <c r="G3477" s="196"/>
      <c r="H3477" s="196"/>
      <c r="I3477" s="196"/>
      <c r="J3477" s="114"/>
      <c r="BA3477" s="117"/>
      <c r="BB3477" s="117"/>
      <c r="BC3477" s="117"/>
      <c r="BD3477" s="117"/>
    </row>
    <row r="3478" spans="1:56">
      <c r="A3478" s="114"/>
      <c r="B3478" s="692" t="s">
        <v>352</v>
      </c>
      <c r="C3478" s="812"/>
      <c r="D3478" s="813"/>
      <c r="E3478" s="843">
        <f>C3474</f>
        <v>534</v>
      </c>
      <c r="F3478" s="815" t="s">
        <v>12</v>
      </c>
      <c r="G3478" s="115"/>
      <c r="H3478" s="236"/>
      <c r="I3478" s="3"/>
      <c r="J3478" s="114"/>
      <c r="BA3478" s="117"/>
      <c r="BB3478" s="117"/>
      <c r="BC3478" s="117"/>
      <c r="BD3478" s="117"/>
    </row>
    <row r="3479" spans="1:56" ht="16.5" thickBot="1">
      <c r="A3479" s="114"/>
      <c r="B3479" s="784" t="s">
        <v>2059</v>
      </c>
      <c r="C3479" s="829"/>
      <c r="D3479" s="830"/>
      <c r="E3479" s="869">
        <f>C3475</f>
        <v>2</v>
      </c>
      <c r="F3479" s="831" t="s">
        <v>12</v>
      </c>
      <c r="G3479" s="115"/>
      <c r="H3479" s="236"/>
      <c r="I3479" s="3"/>
      <c r="J3479" s="114"/>
      <c r="BA3479" s="117"/>
      <c r="BB3479" s="117"/>
      <c r="BC3479" s="117"/>
      <c r="BD3479" s="117"/>
    </row>
    <row r="3480" spans="1:56" customFormat="1" ht="12.75"/>
    <row r="3481" spans="1:56" s="800" customFormat="1" ht="12.75">
      <c r="A3481"/>
      <c r="B3481" s="564"/>
      <c r="C3481" s="180"/>
      <c r="D3481" s="180"/>
      <c r="E3481" s="180"/>
      <c r="F3481" s="180"/>
      <c r="G3481" s="180"/>
      <c r="H3481" s="234"/>
      <c r="I3481" s="234"/>
      <c r="J3481" s="234"/>
      <c r="K3481" s="848"/>
    </row>
    <row r="3482" spans="1:56" s="800" customFormat="1" ht="17.25" customHeight="1">
      <c r="A3482"/>
      <c r="B3482" s="1180" t="s">
        <v>2304</v>
      </c>
      <c r="C3482" s="1180"/>
      <c r="D3482" s="1180"/>
      <c r="E3482" s="1180"/>
      <c r="F3482" s="1180"/>
      <c r="G3482" s="1180"/>
      <c r="H3482" s="1180"/>
      <c r="I3482" s="1180"/>
      <c r="J3482" s="1180"/>
      <c r="K3482" s="848"/>
    </row>
    <row r="3483" spans="1:56" s="800" customFormat="1" ht="12.75">
      <c r="A3483"/>
      <c r="B3483" s="1"/>
      <c r="C3483" s="1"/>
      <c r="D3483" s="1"/>
      <c r="E3483" s="1"/>
      <c r="F3483" s="1"/>
      <c r="G3483" s="1"/>
      <c r="H3483" s="3"/>
      <c r="I3483" s="3"/>
      <c r="J3483" s="3"/>
      <c r="K3483" s="848"/>
    </row>
    <row r="3484" spans="1:56" s="848" customFormat="1" ht="12.75">
      <c r="A3484"/>
      <c r="B3484" s="1"/>
      <c r="C3484" s="1"/>
      <c r="D3484" s="1"/>
      <c r="E3484" s="1"/>
      <c r="F3484" s="1"/>
      <c r="G3484" s="3"/>
      <c r="H3484" s="3"/>
      <c r="I3484" s="3"/>
      <c r="J3484" s="4"/>
    </row>
    <row r="3485" spans="1:56" s="800" customFormat="1" ht="14.25">
      <c r="A3485"/>
      <c r="B3485" s="849" t="s">
        <v>2043</v>
      </c>
      <c r="C3485" s="850" t="s">
        <v>61</v>
      </c>
      <c r="D3485" s="850" t="s">
        <v>66</v>
      </c>
      <c r="E3485" s="850" t="s">
        <v>2044</v>
      </c>
      <c r="F3485" s="850" t="s">
        <v>2045</v>
      </c>
      <c r="G3485" s="851" t="s">
        <v>99</v>
      </c>
      <c r="H3485" s="851" t="s">
        <v>68</v>
      </c>
      <c r="I3485" s="851" t="s">
        <v>2046</v>
      </c>
      <c r="J3485" s="848"/>
    </row>
    <row r="3486" spans="1:56" s="800" customFormat="1" ht="12.75">
      <c r="A3486"/>
      <c r="B3486" s="852" t="s">
        <v>2060</v>
      </c>
      <c r="C3486" s="853">
        <v>1</v>
      </c>
      <c r="D3486" s="175">
        <v>0.3</v>
      </c>
      <c r="E3486" s="175">
        <v>3.85</v>
      </c>
      <c r="F3486" s="854">
        <v>3.45</v>
      </c>
      <c r="G3486" s="855">
        <f>C3486*D3486*E3486*F3486</f>
        <v>3.9847500000000005</v>
      </c>
      <c r="H3486" s="855">
        <f>2*(E3486+F3486)*C3486*D3486</f>
        <v>4.38</v>
      </c>
      <c r="I3486" s="857">
        <f>E3486*F3486*0.05</f>
        <v>0.66412500000000008</v>
      </c>
      <c r="J3486" s="848"/>
    </row>
    <row r="3487" spans="1:56" s="800" customFormat="1" ht="12.75">
      <c r="A3487"/>
      <c r="B3487" s="852" t="s">
        <v>2061</v>
      </c>
      <c r="C3487" s="853">
        <v>1</v>
      </c>
      <c r="D3487" s="175"/>
      <c r="E3487" s="175"/>
      <c r="F3487" s="854"/>
      <c r="G3487" s="855">
        <f>C3487*D3487*E3487*F3487</f>
        <v>0</v>
      </c>
      <c r="H3487" s="855">
        <f>2*(E3487+F3487)*C3487*D3487</f>
        <v>0</v>
      </c>
      <c r="I3487" s="857">
        <v>1.74</v>
      </c>
      <c r="J3487" s="848"/>
    </row>
    <row r="3488" spans="1:56" s="800" customFormat="1" ht="12.75">
      <c r="A3488"/>
      <c r="B3488" s="852" t="s">
        <v>87</v>
      </c>
      <c r="C3488" s="853">
        <v>1</v>
      </c>
      <c r="D3488" s="175">
        <v>0.25</v>
      </c>
      <c r="E3488" s="175">
        <v>3</v>
      </c>
      <c r="F3488" s="854">
        <v>0.45</v>
      </c>
      <c r="G3488" s="855">
        <f>C3488*D3488*E3488*F3488</f>
        <v>0.33750000000000002</v>
      </c>
      <c r="H3488" s="855">
        <f>E3488*F3488*C3488</f>
        <v>1.35</v>
      </c>
      <c r="I3488" s="857"/>
      <c r="J3488" s="848"/>
    </row>
    <row r="3489" spans="1:56" s="800" customFormat="1" ht="12.75">
      <c r="A3489"/>
      <c r="B3489" s="852" t="s">
        <v>88</v>
      </c>
      <c r="C3489" s="853">
        <v>1</v>
      </c>
      <c r="D3489" s="175">
        <v>0.25</v>
      </c>
      <c r="E3489" s="175">
        <v>3</v>
      </c>
      <c r="F3489" s="854">
        <v>0.85</v>
      </c>
      <c r="G3489" s="855">
        <f>C3489*D3489*E3489*F3489</f>
        <v>0.63749999999999996</v>
      </c>
      <c r="H3489" s="855">
        <f>E3489*F3489*C3489</f>
        <v>2.5499999999999998</v>
      </c>
      <c r="I3489" s="857"/>
      <c r="J3489" s="848"/>
    </row>
    <row r="3490" spans="1:56" s="800" customFormat="1" ht="12.75">
      <c r="A3490"/>
      <c r="B3490" s="852"/>
      <c r="C3490" s="853"/>
      <c r="D3490" s="175"/>
      <c r="E3490" s="175"/>
      <c r="F3490" s="854"/>
      <c r="G3490" s="175"/>
      <c r="H3490" s="175"/>
      <c r="I3490" s="226"/>
      <c r="J3490" s="848"/>
    </row>
    <row r="3491" spans="1:56" s="800" customFormat="1" ht="12.75">
      <c r="A3491"/>
      <c r="B3491" s="300"/>
      <c r="C3491" s="235"/>
      <c r="D3491" s="138"/>
      <c r="E3491" s="138"/>
      <c r="G3491" s="1288"/>
      <c r="H3491" s="1288"/>
      <c r="I3491" s="1288"/>
      <c r="J3491" s="848"/>
    </row>
    <row r="3492" spans="1:56" s="800" customFormat="1" ht="12.75">
      <c r="A3492"/>
      <c r="B3492" s="300"/>
      <c r="C3492" s="235"/>
      <c r="D3492" s="138"/>
      <c r="E3492" s="138"/>
      <c r="G3492" s="1289"/>
      <c r="H3492" s="1289"/>
      <c r="I3492" s="1289"/>
      <c r="J3492" s="848"/>
    </row>
    <row r="3493" spans="1:56" s="800" customFormat="1" ht="12.75">
      <c r="A3493"/>
      <c r="B3493" s="300"/>
      <c r="C3493" s="235"/>
      <c r="D3493" s="138"/>
      <c r="E3493" s="138"/>
      <c r="F3493" s="138"/>
      <c r="G3493" s="858"/>
      <c r="H3493" s="859"/>
      <c r="I3493" s="6"/>
      <c r="J3493"/>
      <c r="K3493" s="848"/>
    </row>
    <row r="3494" spans="1:56" s="800" customFormat="1" ht="14.25">
      <c r="A3494"/>
      <c r="B3494" s="849" t="s">
        <v>160</v>
      </c>
      <c r="C3494" s="850" t="s">
        <v>61</v>
      </c>
      <c r="D3494" s="850" t="s">
        <v>82</v>
      </c>
      <c r="E3494" s="850" t="s">
        <v>66</v>
      </c>
      <c r="F3494" s="850" t="s">
        <v>62</v>
      </c>
      <c r="G3494" s="851" t="s">
        <v>99</v>
      </c>
      <c r="H3494" s="851" t="s">
        <v>68</v>
      </c>
      <c r="I3494" s="860"/>
      <c r="J3494"/>
    </row>
    <row r="3495" spans="1:56" s="800" customFormat="1" ht="12.75">
      <c r="A3495"/>
      <c r="B3495" s="852" t="s">
        <v>161</v>
      </c>
      <c r="C3495" s="853">
        <v>1</v>
      </c>
      <c r="D3495" s="861">
        <v>0.25</v>
      </c>
      <c r="E3495" s="175">
        <v>6.35</v>
      </c>
      <c r="F3495" s="175">
        <v>3.5</v>
      </c>
      <c r="G3495" s="855">
        <f>D3495*E3495*F3495*C3495</f>
        <v>5.5562499999999995</v>
      </c>
      <c r="H3495" s="855">
        <f>C3495*2*E3495*F3495</f>
        <v>44.449999999999996</v>
      </c>
      <c r="I3495" s="138"/>
      <c r="J3495"/>
    </row>
    <row r="3496" spans="1:56" s="800" customFormat="1" ht="12.75">
      <c r="A3496"/>
      <c r="B3496" s="852" t="s">
        <v>162</v>
      </c>
      <c r="C3496" s="853">
        <v>1</v>
      </c>
      <c r="D3496" s="861">
        <v>0.25</v>
      </c>
      <c r="E3496" s="175">
        <v>6.35</v>
      </c>
      <c r="F3496" s="175">
        <v>3.5</v>
      </c>
      <c r="G3496" s="855">
        <f>D3496*E3496*F3496*C3496</f>
        <v>5.5562499999999995</v>
      </c>
      <c r="H3496" s="855">
        <f>C3496*2*E3496*F3496</f>
        <v>44.449999999999996</v>
      </c>
      <c r="I3496" s="138"/>
      <c r="J3496"/>
    </row>
    <row r="3497" spans="1:56" s="800" customFormat="1" ht="12.75">
      <c r="A3497"/>
      <c r="B3497" s="852" t="s">
        <v>163</v>
      </c>
      <c r="C3497" s="853">
        <v>1</v>
      </c>
      <c r="D3497" s="861">
        <v>0.25</v>
      </c>
      <c r="E3497" s="175">
        <v>6.35</v>
      </c>
      <c r="F3497" s="175">
        <v>2.6</v>
      </c>
      <c r="G3497" s="855">
        <f>D3497*E3497*F3497*C3497</f>
        <v>4.1274999999999995</v>
      </c>
      <c r="H3497" s="855">
        <f>C3497*2*E3497*F3497</f>
        <v>33.019999999999996</v>
      </c>
      <c r="I3497" s="138"/>
      <c r="J3497"/>
    </row>
    <row r="3498" spans="1:56" s="800" customFormat="1" ht="12.75">
      <c r="A3498"/>
      <c r="B3498" s="852" t="s">
        <v>164</v>
      </c>
      <c r="C3498" s="853">
        <v>1</v>
      </c>
      <c r="D3498" s="861">
        <v>0.25</v>
      </c>
      <c r="E3498" s="175">
        <v>6.35</v>
      </c>
      <c r="F3498" s="175">
        <v>2.6</v>
      </c>
      <c r="G3498" s="855">
        <f>D3498*E3498*F3498*C3498</f>
        <v>4.1274999999999995</v>
      </c>
      <c r="H3498" s="855">
        <f>C3498*2*E3498*F3498</f>
        <v>33.019999999999996</v>
      </c>
      <c r="I3498" s="138"/>
      <c r="J3498"/>
    </row>
    <row r="3499" spans="1:56" s="800" customFormat="1" ht="12.75">
      <c r="A3499"/>
      <c r="B3499" s="300"/>
      <c r="C3499" s="235"/>
      <c r="D3499" s="862"/>
      <c r="E3499" s="138"/>
      <c r="F3499" s="138"/>
      <c r="G3499" s="1288"/>
      <c r="H3499" s="1288"/>
      <c r="I3499"/>
      <c r="J3499"/>
    </row>
    <row r="3500" spans="1:56" ht="15">
      <c r="A3500" s="114"/>
      <c r="B3500" s="801" t="s">
        <v>2062</v>
      </c>
      <c r="C3500" s="751" t="s">
        <v>2063</v>
      </c>
      <c r="D3500" s="751" t="s">
        <v>82</v>
      </c>
      <c r="E3500" s="802" t="s">
        <v>99</v>
      </c>
      <c r="F3500" s="802" t="s">
        <v>68</v>
      </c>
      <c r="G3500" s="386"/>
      <c r="H3500" s="793"/>
      <c r="I3500" s="114"/>
      <c r="J3500" s="114"/>
      <c r="AZ3500" s="117"/>
      <c r="BA3500" s="117"/>
      <c r="BB3500" s="117"/>
      <c r="BC3500" s="117"/>
      <c r="BD3500" s="117"/>
    </row>
    <row r="3501" spans="1:56" ht="15">
      <c r="A3501" s="114"/>
      <c r="B3501" s="803" t="s">
        <v>2064</v>
      </c>
      <c r="C3501" s="755">
        <v>0.63619999999999999</v>
      </c>
      <c r="D3501" s="756">
        <v>0.25</v>
      </c>
      <c r="E3501" s="828">
        <f>C3501*D3501</f>
        <v>0.15905</v>
      </c>
      <c r="F3501" s="828">
        <f>C3501*2</f>
        <v>1.2724</v>
      </c>
      <c r="G3501" s="386"/>
      <c r="H3501" s="793"/>
      <c r="I3501" s="114"/>
      <c r="J3501" s="114"/>
      <c r="AZ3501" s="117"/>
      <c r="BA3501" s="117"/>
      <c r="BB3501" s="117"/>
      <c r="BC3501" s="117"/>
      <c r="BD3501" s="117"/>
    </row>
    <row r="3502" spans="1:56" ht="15">
      <c r="A3502" s="114"/>
      <c r="B3502" s="803" t="s">
        <v>552</v>
      </c>
      <c r="C3502" s="755">
        <f>0.0835*2</f>
        <v>0.16700000000000001</v>
      </c>
      <c r="D3502" s="756">
        <v>0.25</v>
      </c>
      <c r="E3502" s="828">
        <f t="shared" ref="E3502:E3503" si="354">C3502*D3502</f>
        <v>4.1750000000000002E-2</v>
      </c>
      <c r="F3502" s="828">
        <f t="shared" ref="F3502:F3503" si="355">C3502*2</f>
        <v>0.33400000000000002</v>
      </c>
      <c r="G3502" s="386"/>
      <c r="H3502" s="793"/>
      <c r="I3502" s="114"/>
      <c r="J3502" s="114"/>
      <c r="AZ3502" s="117"/>
      <c r="BA3502" s="117"/>
      <c r="BB3502" s="117"/>
      <c r="BC3502" s="117"/>
      <c r="BD3502" s="117"/>
    </row>
    <row r="3503" spans="1:56" ht="15">
      <c r="A3503" s="114"/>
      <c r="B3503" s="803" t="s">
        <v>2065</v>
      </c>
      <c r="C3503" s="755">
        <v>0.95</v>
      </c>
      <c r="D3503" s="756">
        <v>0.25</v>
      </c>
      <c r="E3503" s="828">
        <f t="shared" si="354"/>
        <v>0.23749999999999999</v>
      </c>
      <c r="F3503" s="828">
        <f t="shared" si="355"/>
        <v>1.9</v>
      </c>
      <c r="G3503" s="386"/>
      <c r="H3503" s="793"/>
      <c r="I3503" s="114"/>
      <c r="J3503" s="114"/>
      <c r="AZ3503" s="117"/>
      <c r="BA3503" s="117"/>
      <c r="BB3503" s="117"/>
      <c r="BC3503" s="117"/>
      <c r="BD3503" s="117"/>
    </row>
    <row r="3504" spans="1:56" ht="15">
      <c r="A3504" s="114"/>
      <c r="B3504" s="114"/>
      <c r="C3504" s="114"/>
      <c r="D3504" s="758" t="s">
        <v>76</v>
      </c>
      <c r="E3504" s="228">
        <f>-SUM(E3501:E3503)</f>
        <v>-0.43830000000000002</v>
      </c>
      <c r="F3504" s="228">
        <f>-SUM(F3501:F3503)</f>
        <v>-3.5064000000000002</v>
      </c>
      <c r="G3504" s="386"/>
      <c r="H3504" s="793"/>
      <c r="I3504" s="114"/>
      <c r="J3504" s="114"/>
      <c r="AZ3504" s="117"/>
      <c r="BA3504" s="117"/>
      <c r="BB3504" s="117"/>
      <c r="BC3504" s="117"/>
      <c r="BD3504" s="117"/>
    </row>
    <row r="3505" spans="1:56" customFormat="1" ht="12.75"/>
    <row r="3506" spans="1:56" s="800" customFormat="1" ht="12.75">
      <c r="A3506"/>
      <c r="B3506" s="300"/>
      <c r="C3506" s="235"/>
      <c r="D3506" s="862"/>
      <c r="E3506" s="138"/>
      <c r="F3506" s="138"/>
      <c r="G3506" s="1289"/>
      <c r="H3506" s="1289"/>
      <c r="I3506" s="7"/>
      <c r="J3506"/>
    </row>
    <row r="3507" spans="1:56" s="800" customFormat="1" ht="12.75">
      <c r="A3507"/>
      <c r="B3507" s="300"/>
      <c r="C3507" s="235"/>
      <c r="D3507" s="862"/>
      <c r="E3507" s="138"/>
      <c r="F3507" s="138"/>
      <c r="G3507" s="138"/>
      <c r="H3507" s="138"/>
      <c r="I3507" s="138"/>
      <c r="J3507" s="860"/>
      <c r="K3507" s="848"/>
    </row>
    <row r="3508" spans="1:56" s="800" customFormat="1" ht="12.75">
      <c r="A3508"/>
      <c r="B3508" s="300"/>
      <c r="C3508" s="235"/>
      <c r="D3508" s="138"/>
      <c r="E3508" s="138"/>
      <c r="F3508" s="138"/>
      <c r="G3508" s="858"/>
      <c r="H3508" s="859"/>
      <c r="I3508" s="6"/>
      <c r="J3508"/>
      <c r="K3508" s="848"/>
    </row>
    <row r="3509" spans="1:56" s="800" customFormat="1" ht="13.5" thickBot="1">
      <c r="A3509"/>
      <c r="B3509" s="300"/>
      <c r="C3509" s="235"/>
      <c r="D3509" s="138"/>
      <c r="E3509" s="138"/>
      <c r="F3509" s="138"/>
      <c r="G3509" s="858"/>
      <c r="H3509" s="859"/>
      <c r="I3509" s="6"/>
      <c r="J3509"/>
      <c r="K3509" s="848"/>
    </row>
    <row r="3510" spans="1:56" s="800" customFormat="1" ht="16.5" thickBot="1">
      <c r="A3510"/>
      <c r="B3510" s="1280" t="s">
        <v>98</v>
      </c>
      <c r="C3510" s="1281"/>
      <c r="D3510" s="1281"/>
      <c r="E3510" s="1281"/>
      <c r="F3510" s="1282"/>
      <c r="G3510"/>
      <c r="H3510"/>
      <c r="I3510"/>
      <c r="J3510"/>
      <c r="K3510" s="848"/>
    </row>
    <row r="3511" spans="1:56" s="800" customFormat="1" ht="12.75">
      <c r="A3511"/>
      <c r="B3511" s="40"/>
      <c r="C3511" s="793"/>
      <c r="D3511" s="793"/>
      <c r="E3511" s="793"/>
      <c r="F3511" s="424"/>
      <c r="G3511"/>
      <c r="H3511"/>
      <c r="I3511" s="863"/>
      <c r="J3511"/>
      <c r="K3511" s="848"/>
    </row>
    <row r="3512" spans="1:56" s="800" customFormat="1">
      <c r="A3512"/>
      <c r="B3512" s="703" t="s">
        <v>1129</v>
      </c>
      <c r="C3512" s="172"/>
      <c r="D3512" s="173"/>
      <c r="E3512" s="864">
        <f>SUM(H3486:H3489)+SUM(H3495:H3498)+F3504</f>
        <v>159.71359999999999</v>
      </c>
      <c r="F3512" s="139" t="s">
        <v>13</v>
      </c>
      <c r="G3512"/>
      <c r="H3512"/>
      <c r="I3512"/>
      <c r="J3512"/>
      <c r="K3512" s="848"/>
    </row>
    <row r="3513" spans="1:56" s="800" customFormat="1" ht="18">
      <c r="A3513"/>
      <c r="B3513" s="718" t="s">
        <v>1130</v>
      </c>
      <c r="C3513" s="289"/>
      <c r="D3513" s="290"/>
      <c r="E3513" s="1046">
        <f>SUM(G3486:G3489)+SUM(G3495:G3498)+E3504</f>
        <v>23.888949999999998</v>
      </c>
      <c r="F3513" s="700" t="s">
        <v>1124</v>
      </c>
      <c r="G3513"/>
      <c r="H3513"/>
      <c r="I3513"/>
      <c r="J3513"/>
      <c r="K3513" s="848"/>
    </row>
    <row r="3514" spans="1:56" s="800" customFormat="1" ht="18">
      <c r="A3514"/>
      <c r="B3514" s="718" t="s">
        <v>2048</v>
      </c>
      <c r="C3514" s="289"/>
      <c r="D3514" s="289"/>
      <c r="E3514" s="1047">
        <f>SUM(I3486:I3487)</f>
        <v>2.4041250000000001</v>
      </c>
      <c r="F3514" s="700" t="s">
        <v>1124</v>
      </c>
      <c r="G3514"/>
      <c r="H3514"/>
      <c r="I3514"/>
      <c r="J3514"/>
      <c r="K3514" s="848"/>
    </row>
    <row r="3515" spans="1:56" s="848" customFormat="1" ht="16.5" thickBot="1">
      <c r="A3515"/>
      <c r="B3515" s="720"/>
      <c r="C3515" s="174"/>
      <c r="D3515" s="174"/>
      <c r="E3515" s="866"/>
      <c r="F3515" s="440"/>
      <c r="G3515"/>
      <c r="H3515"/>
      <c r="I3515"/>
      <c r="J3515"/>
    </row>
    <row r="3516" spans="1:56" s="848" customFormat="1" ht="12.75">
      <c r="A3516"/>
      <c r="B3516" s="1"/>
      <c r="C3516" s="1"/>
      <c r="D3516" s="1"/>
      <c r="E3516" s="1"/>
      <c r="F3516" s="1"/>
      <c r="G3516" s="1"/>
      <c r="H3516" s="3"/>
      <c r="I3516" s="3"/>
      <c r="J3516" s="3"/>
    </row>
    <row r="3517" spans="1:56" ht="16.5" thickBot="1">
      <c r="A3517" s="114"/>
      <c r="B3517" s="115"/>
      <c r="C3517" s="115"/>
      <c r="D3517" s="115"/>
      <c r="E3517" s="115"/>
      <c r="F3517" s="115"/>
      <c r="G3517" s="115"/>
      <c r="H3517" s="115"/>
      <c r="I3517" s="115"/>
      <c r="J3517" s="114"/>
      <c r="BA3517" s="117"/>
      <c r="BB3517" s="117"/>
      <c r="BC3517" s="117"/>
      <c r="BD3517" s="117"/>
    </row>
    <row r="3518" spans="1:56">
      <c r="A3518" s="114"/>
      <c r="B3518" s="1285" t="s">
        <v>320</v>
      </c>
      <c r="C3518" s="1286"/>
      <c r="D3518" s="1286"/>
      <c r="E3518" s="1286"/>
      <c r="F3518" s="1287"/>
      <c r="G3518" s="115"/>
      <c r="H3518" s="115"/>
      <c r="I3518" s="386"/>
      <c r="J3518" s="114"/>
      <c r="BA3518" s="117"/>
      <c r="BB3518" s="117"/>
      <c r="BC3518" s="117"/>
      <c r="BD3518" s="117"/>
    </row>
    <row r="3519" spans="1:56">
      <c r="A3519" s="114"/>
      <c r="B3519" s="690"/>
      <c r="C3519" s="115"/>
      <c r="D3519" s="115"/>
      <c r="E3519" s="115"/>
      <c r="F3519" s="182"/>
      <c r="G3519" s="115"/>
      <c r="H3519" s="115"/>
      <c r="I3519" s="386"/>
      <c r="J3519" s="114"/>
      <c r="BA3519" s="117"/>
      <c r="BB3519" s="117"/>
      <c r="BC3519" s="117"/>
      <c r="BD3519" s="117"/>
    </row>
    <row r="3520" spans="1:56" ht="15">
      <c r="A3520" s="114"/>
      <c r="B3520" s="691" t="s">
        <v>2058</v>
      </c>
      <c r="C3520" s="196"/>
      <c r="D3520" s="196"/>
      <c r="E3520" s="196"/>
      <c r="F3520" s="284"/>
      <c r="G3520" s="196"/>
      <c r="H3520" s="196"/>
      <c r="I3520" s="196"/>
      <c r="J3520" s="114"/>
      <c r="BA3520" s="117"/>
      <c r="BB3520" s="117"/>
      <c r="BC3520" s="117"/>
      <c r="BD3520" s="117"/>
    </row>
    <row r="3521" spans="1:56" ht="15">
      <c r="A3521" s="114"/>
      <c r="B3521" s="692" t="s">
        <v>352</v>
      </c>
      <c r="C3521" s="280">
        <v>2643</v>
      </c>
      <c r="D3521" s="286" t="s">
        <v>12</v>
      </c>
      <c r="E3521" s="1305" t="s">
        <v>2154</v>
      </c>
      <c r="F3521" s="1306"/>
      <c r="G3521" s="196"/>
      <c r="H3521" s="196"/>
      <c r="I3521" s="196"/>
      <c r="J3521" s="114"/>
      <c r="BA3521" s="117"/>
      <c r="BB3521" s="117"/>
      <c r="BC3521" s="117"/>
      <c r="BD3521" s="117"/>
    </row>
    <row r="3522" spans="1:56">
      <c r="A3522" s="114"/>
      <c r="B3522" s="690"/>
      <c r="C3522" s="115"/>
      <c r="D3522" s="115"/>
      <c r="E3522" s="115"/>
      <c r="F3522" s="182"/>
      <c r="G3522" s="115"/>
      <c r="H3522" s="115"/>
      <c r="I3522" s="386"/>
      <c r="J3522" s="114"/>
      <c r="BA3522" s="117"/>
      <c r="BB3522" s="117"/>
      <c r="BC3522" s="117"/>
      <c r="BD3522" s="117"/>
    </row>
    <row r="3523" spans="1:56" ht="15">
      <c r="A3523" s="114"/>
      <c r="B3523" s="691" t="s">
        <v>351</v>
      </c>
      <c r="C3523" s="211"/>
      <c r="D3523" s="196"/>
      <c r="E3523" s="288"/>
      <c r="F3523" s="284"/>
      <c r="G3523" s="196"/>
      <c r="H3523" s="196"/>
      <c r="I3523" s="196"/>
      <c r="J3523" s="114"/>
      <c r="BA3523" s="117"/>
      <c r="BB3523" s="117"/>
      <c r="BC3523" s="117"/>
      <c r="BD3523" s="117"/>
    </row>
    <row r="3524" spans="1:56" ht="16.5" thickBot="1">
      <c r="A3524" s="114"/>
      <c r="B3524" s="695" t="s">
        <v>352</v>
      </c>
      <c r="C3524" s="817"/>
      <c r="D3524" s="818"/>
      <c r="E3524" s="847">
        <f>C3521</f>
        <v>2643</v>
      </c>
      <c r="F3524" s="820" t="s">
        <v>12</v>
      </c>
      <c r="G3524" s="115"/>
      <c r="H3524" s="236"/>
      <c r="I3524" s="3"/>
      <c r="J3524" s="114"/>
      <c r="BA3524" s="117"/>
      <c r="BB3524" s="117"/>
      <c r="BC3524" s="117"/>
      <c r="BD3524" s="117"/>
    </row>
    <row r="3525" spans="1:56" customFormat="1" ht="12.75"/>
    <row r="3526" spans="1:56" customFormat="1" ht="12.75"/>
    <row r="3527" spans="1:56" ht="15.75" customHeight="1">
      <c r="A3527" s="114"/>
      <c r="B3527" s="760" t="s">
        <v>2305</v>
      </c>
      <c r="C3527" s="382"/>
      <c r="D3527" s="382"/>
      <c r="E3527" s="382"/>
      <c r="F3527" s="382"/>
      <c r="G3527" s="382"/>
      <c r="H3527" s="383"/>
      <c r="I3527" s="383"/>
      <c r="J3527" s="351"/>
      <c r="AW3527" s="117"/>
      <c r="AX3527" s="117"/>
      <c r="AY3527" s="117"/>
      <c r="AZ3527" s="117"/>
      <c r="BA3527" s="117"/>
      <c r="BB3527" s="117"/>
      <c r="BC3527" s="117"/>
      <c r="BD3527" s="117"/>
    </row>
    <row r="3528" spans="1:56" s="848" customFormat="1" ht="12.75">
      <c r="A3528"/>
      <c r="B3528" s="1"/>
      <c r="C3528" s="1"/>
      <c r="D3528" s="1"/>
      <c r="E3528" s="1"/>
      <c r="F3528" s="1"/>
      <c r="G3528" s="3"/>
      <c r="H3528" s="3"/>
      <c r="I3528" s="3"/>
      <c r="J3528" s="4"/>
    </row>
    <row r="3529" spans="1:56" s="848" customFormat="1" ht="12.75">
      <c r="A3529"/>
      <c r="B3529" s="1"/>
      <c r="C3529" s="1"/>
      <c r="D3529" s="1"/>
      <c r="E3529" s="1"/>
      <c r="F3529" s="1"/>
      <c r="G3529" s="3"/>
      <c r="H3529" s="3"/>
      <c r="I3529" s="3"/>
      <c r="J3529" s="4"/>
    </row>
    <row r="3530" spans="1:56" s="848" customFormat="1" ht="12.75">
      <c r="A3530"/>
      <c r="B3530" s="881" t="s">
        <v>96</v>
      </c>
      <c r="C3530" s="882" t="s">
        <v>83</v>
      </c>
      <c r="D3530" s="882" t="s">
        <v>86</v>
      </c>
      <c r="E3530" s="882" t="s">
        <v>1566</v>
      </c>
      <c r="F3530" s="882" t="s">
        <v>104</v>
      </c>
      <c r="G3530" s="882" t="s">
        <v>105</v>
      </c>
      <c r="H3530" s="234"/>
      <c r="I3530" s="3"/>
      <c r="J3530" s="4"/>
    </row>
    <row r="3531" spans="1:56" s="848" customFormat="1" ht="12.75">
      <c r="A3531"/>
      <c r="B3531" s="883" t="s">
        <v>2069</v>
      </c>
      <c r="C3531" s="884">
        <v>0.3</v>
      </c>
      <c r="D3531" s="884">
        <v>0.3</v>
      </c>
      <c r="E3531" s="884">
        <v>5.2</v>
      </c>
      <c r="F3531" s="885">
        <f t="shared" ref="F3531:F3536" si="356">C3531*D3531*E3531</f>
        <v>0.46799999999999997</v>
      </c>
      <c r="G3531" s="885">
        <f t="shared" ref="G3531:G3536" si="357">2*(C3531+D3531)*E3531</f>
        <v>6.24</v>
      </c>
      <c r="H3531" s="234"/>
      <c r="I3531" s="3"/>
      <c r="J3531" s="4"/>
    </row>
    <row r="3532" spans="1:56" s="848" customFormat="1" ht="12.75">
      <c r="A3532"/>
      <c r="B3532" s="883" t="s">
        <v>2070</v>
      </c>
      <c r="C3532" s="884">
        <v>0.3</v>
      </c>
      <c r="D3532" s="884">
        <v>0.3</v>
      </c>
      <c r="E3532" s="884">
        <v>5.2</v>
      </c>
      <c r="F3532" s="885">
        <f t="shared" si="356"/>
        <v>0.46799999999999997</v>
      </c>
      <c r="G3532" s="885">
        <f t="shared" si="357"/>
        <v>6.24</v>
      </c>
      <c r="H3532" s="234"/>
      <c r="I3532" s="3"/>
      <c r="J3532" s="4"/>
    </row>
    <row r="3533" spans="1:56" s="848" customFormat="1" ht="12.75">
      <c r="A3533"/>
      <c r="B3533" s="883" t="s">
        <v>2071</v>
      </c>
      <c r="C3533" s="884">
        <v>0.3</v>
      </c>
      <c r="D3533" s="884">
        <v>0.3</v>
      </c>
      <c r="E3533" s="884">
        <v>5.2</v>
      </c>
      <c r="F3533" s="885">
        <f t="shared" si="356"/>
        <v>0.46799999999999997</v>
      </c>
      <c r="G3533" s="885">
        <f t="shared" si="357"/>
        <v>6.24</v>
      </c>
      <c r="H3533" s="234"/>
      <c r="I3533" s="3"/>
      <c r="J3533" s="4"/>
    </row>
    <row r="3534" spans="1:56" s="848" customFormat="1" ht="12.75">
      <c r="A3534"/>
      <c r="B3534" s="883" t="s">
        <v>2072</v>
      </c>
      <c r="C3534" s="884">
        <v>0.3</v>
      </c>
      <c r="D3534" s="884">
        <v>0.3</v>
      </c>
      <c r="E3534" s="884">
        <v>5.2</v>
      </c>
      <c r="F3534" s="885">
        <f t="shared" si="356"/>
        <v>0.46799999999999997</v>
      </c>
      <c r="G3534" s="885">
        <f t="shared" si="357"/>
        <v>6.24</v>
      </c>
      <c r="H3534" s="234"/>
      <c r="I3534" s="3"/>
      <c r="J3534" s="4"/>
    </row>
    <row r="3535" spans="1:56" s="800" customFormat="1" ht="12.75">
      <c r="A3535"/>
      <c r="B3535" s="883" t="s">
        <v>2073</v>
      </c>
      <c r="C3535" s="884">
        <v>0.3</v>
      </c>
      <c r="D3535" s="884">
        <v>0.3</v>
      </c>
      <c r="E3535" s="884">
        <v>5.2</v>
      </c>
      <c r="F3535" s="885">
        <f t="shared" si="356"/>
        <v>0.46799999999999997</v>
      </c>
      <c r="G3535" s="885">
        <f t="shared" si="357"/>
        <v>6.24</v>
      </c>
      <c r="H3535" s="234"/>
      <c r="I3535" s="3"/>
      <c r="J3535" s="4"/>
      <c r="K3535" s="848"/>
    </row>
    <row r="3536" spans="1:56" s="800" customFormat="1" ht="12.75">
      <c r="A3536"/>
      <c r="B3536" s="883" t="s">
        <v>2074</v>
      </c>
      <c r="C3536" s="884">
        <v>0.3</v>
      </c>
      <c r="D3536" s="884">
        <v>0.3</v>
      </c>
      <c r="E3536" s="884">
        <v>5.2</v>
      </c>
      <c r="F3536" s="885">
        <f t="shared" si="356"/>
        <v>0.46799999999999997</v>
      </c>
      <c r="G3536" s="885">
        <f t="shared" si="357"/>
        <v>6.24</v>
      </c>
      <c r="H3536" s="234"/>
      <c r="I3536" s="3"/>
      <c r="J3536" s="4"/>
      <c r="K3536" s="848"/>
    </row>
    <row r="3537" spans="1:11" s="800" customFormat="1" ht="12.75">
      <c r="A3537"/>
      <c r="B3537" s="886"/>
      <c r="C3537" s="887"/>
      <c r="D3537" s="887"/>
      <c r="E3537" s="887"/>
      <c r="F3537" s="887"/>
      <c r="G3537" s="887"/>
      <c r="H3537" s="887"/>
      <c r="I3537" s="3"/>
      <c r="J3537" s="4"/>
      <c r="K3537" s="848"/>
    </row>
    <row r="3538" spans="1:11" s="800" customFormat="1" ht="12.75">
      <c r="A3538"/>
      <c r="B3538" s="300"/>
      <c r="C3538" s="235"/>
      <c r="D3538" s="210"/>
      <c r="E3538" s="138"/>
      <c r="F3538" s="210"/>
      <c r="G3538" s="138"/>
      <c r="H3538" s="138"/>
      <c r="I3538" s="6"/>
      <c r="J3538"/>
      <c r="K3538" s="848"/>
    </row>
    <row r="3539" spans="1:11" s="800" customFormat="1" ht="14.25">
      <c r="A3539"/>
      <c r="B3539" s="849" t="s">
        <v>2043</v>
      </c>
      <c r="C3539" s="850" t="s">
        <v>61</v>
      </c>
      <c r="D3539" s="850" t="s">
        <v>66</v>
      </c>
      <c r="E3539" s="850" t="s">
        <v>2075</v>
      </c>
      <c r="F3539" s="850" t="s">
        <v>2076</v>
      </c>
      <c r="G3539" s="851" t="s">
        <v>99</v>
      </c>
      <c r="H3539" s="851" t="s">
        <v>68</v>
      </c>
      <c r="I3539" s="851" t="s">
        <v>2046</v>
      </c>
      <c r="J3539" s="848"/>
    </row>
    <row r="3540" spans="1:11" s="800" customFormat="1" ht="12.75">
      <c r="A3540"/>
      <c r="B3540" s="852" t="s">
        <v>2077</v>
      </c>
      <c r="C3540" s="853">
        <v>1</v>
      </c>
      <c r="D3540" s="175">
        <v>0.15</v>
      </c>
      <c r="E3540" s="175">
        <v>9.3000000000000007</v>
      </c>
      <c r="F3540" s="854">
        <v>6.5</v>
      </c>
      <c r="G3540" s="855">
        <f>C3540*D3540*E3540*F3540</f>
        <v>9.0675000000000008</v>
      </c>
      <c r="H3540" s="855">
        <f>2*(E3540+F3540)*D3540*C3540</f>
        <v>4.74</v>
      </c>
      <c r="I3540" s="888">
        <f>E3540*F3540*0.05</f>
        <v>3.0225000000000004</v>
      </c>
      <c r="J3540" s="848"/>
    </row>
    <row r="3541" spans="1:11" s="800" customFormat="1" ht="12.75">
      <c r="A3541"/>
      <c r="B3541" s="852" t="s">
        <v>2078</v>
      </c>
      <c r="C3541" s="853">
        <v>1</v>
      </c>
      <c r="D3541" s="175">
        <v>0.4</v>
      </c>
      <c r="E3541" s="175">
        <v>7.2</v>
      </c>
      <c r="F3541" s="854">
        <v>30.2</v>
      </c>
      <c r="G3541" s="855">
        <f t="shared" ref="G3541:G3555" si="358">C3541*D3541*E3541*F3541</f>
        <v>86.976000000000013</v>
      </c>
      <c r="H3541" s="855">
        <f>2*(E3541+F3541)*D3541*C3541</f>
        <v>29.92</v>
      </c>
      <c r="I3541" s="857">
        <f>E3541*F3541*0.05</f>
        <v>10.872</v>
      </c>
      <c r="J3541" s="848"/>
    </row>
    <row r="3542" spans="1:11" s="800" customFormat="1" ht="12.75">
      <c r="A3542"/>
      <c r="B3542" s="852" t="s">
        <v>89</v>
      </c>
      <c r="C3542" s="853">
        <v>1</v>
      </c>
      <c r="D3542" s="175">
        <v>0.15</v>
      </c>
      <c r="E3542" s="175">
        <v>2.2000000000000002</v>
      </c>
      <c r="F3542" s="854">
        <v>0.8</v>
      </c>
      <c r="G3542" s="855">
        <f t="shared" si="358"/>
        <v>0.26400000000000001</v>
      </c>
      <c r="H3542" s="855">
        <f>C3542*E3542*F3542</f>
        <v>1.7600000000000002</v>
      </c>
      <c r="I3542" s="857">
        <f>C3542*E3542*F3542*0.05</f>
        <v>8.8000000000000023E-2</v>
      </c>
      <c r="J3542" s="848"/>
    </row>
    <row r="3543" spans="1:11" s="800" customFormat="1" ht="12.75">
      <c r="A3543"/>
      <c r="B3543" s="852" t="s">
        <v>2079</v>
      </c>
      <c r="C3543" s="853">
        <v>4</v>
      </c>
      <c r="D3543" s="175">
        <v>0.25</v>
      </c>
      <c r="E3543" s="175">
        <v>1.1499999999999999</v>
      </c>
      <c r="F3543" s="854">
        <v>1.3</v>
      </c>
      <c r="G3543" s="855">
        <f t="shared" si="358"/>
        <v>1.4949999999999999</v>
      </c>
      <c r="H3543" s="855">
        <f t="shared" ref="H3543:H3555" si="359">C3543*E3543*F3543</f>
        <v>5.9799999999999995</v>
      </c>
      <c r="I3543" s="857">
        <f>C3543*E3543*F3543*0.05</f>
        <v>0.29899999999999999</v>
      </c>
      <c r="J3543" s="848"/>
    </row>
    <row r="3544" spans="1:11" s="800" customFormat="1" ht="12.75">
      <c r="A3544"/>
      <c r="B3544" s="852" t="s">
        <v>2080</v>
      </c>
      <c r="C3544" s="853">
        <v>2</v>
      </c>
      <c r="D3544" s="175">
        <v>0.25</v>
      </c>
      <c r="E3544" s="175">
        <v>1.1499999999999999</v>
      </c>
      <c r="F3544" s="854">
        <v>2.2999999999999998</v>
      </c>
      <c r="G3544" s="855">
        <f t="shared" si="358"/>
        <v>1.3224999999999998</v>
      </c>
      <c r="H3544" s="855">
        <f t="shared" si="359"/>
        <v>5.2899999999999991</v>
      </c>
      <c r="I3544" s="857">
        <f>C3544*E3544*F3544*0.05</f>
        <v>0.26449999999999996</v>
      </c>
      <c r="J3544" s="848"/>
    </row>
    <row r="3545" spans="1:11" s="800" customFormat="1" ht="12.75">
      <c r="A3545"/>
      <c r="B3545" s="852" t="s">
        <v>2081</v>
      </c>
      <c r="C3545" s="853">
        <v>1</v>
      </c>
      <c r="D3545" s="175">
        <v>0.25</v>
      </c>
      <c r="E3545" s="175">
        <v>4.3250000000000002</v>
      </c>
      <c r="F3545" s="854">
        <v>2.8</v>
      </c>
      <c r="G3545" s="855">
        <f t="shared" si="358"/>
        <v>3.0274999999999999</v>
      </c>
      <c r="H3545" s="855">
        <f t="shared" si="359"/>
        <v>12.11</v>
      </c>
      <c r="I3545" s="857">
        <v>0</v>
      </c>
      <c r="J3545" s="848"/>
    </row>
    <row r="3546" spans="1:11" s="800" customFormat="1" ht="12.75">
      <c r="A3546"/>
      <c r="B3546" s="852" t="s">
        <v>2082</v>
      </c>
      <c r="C3546" s="853">
        <v>1</v>
      </c>
      <c r="D3546" s="175">
        <v>0.25</v>
      </c>
      <c r="E3546" s="175">
        <v>4.375</v>
      </c>
      <c r="F3546" s="854">
        <v>2.8</v>
      </c>
      <c r="G3546" s="855">
        <f t="shared" si="358"/>
        <v>3.0625</v>
      </c>
      <c r="H3546" s="855">
        <f t="shared" si="359"/>
        <v>12.25</v>
      </c>
      <c r="I3546" s="857">
        <v>0</v>
      </c>
      <c r="J3546" s="848"/>
    </row>
    <row r="3547" spans="1:11" s="800" customFormat="1" ht="12.75">
      <c r="A3547"/>
      <c r="B3547" s="852" t="s">
        <v>2083</v>
      </c>
      <c r="C3547" s="853">
        <v>1</v>
      </c>
      <c r="D3547" s="175">
        <v>0.25</v>
      </c>
      <c r="E3547" s="175">
        <v>4.3250000000000002</v>
      </c>
      <c r="F3547" s="854">
        <v>2.8</v>
      </c>
      <c r="G3547" s="855">
        <f t="shared" si="358"/>
        <v>3.0274999999999999</v>
      </c>
      <c r="H3547" s="855">
        <f t="shared" si="359"/>
        <v>12.11</v>
      </c>
      <c r="I3547" s="857">
        <v>0</v>
      </c>
      <c r="J3547" s="848"/>
    </row>
    <row r="3548" spans="1:11" s="800" customFormat="1" ht="12.75">
      <c r="A3548"/>
      <c r="B3548" s="852" t="s">
        <v>2084</v>
      </c>
      <c r="C3548" s="853">
        <v>1</v>
      </c>
      <c r="D3548" s="175">
        <v>0.25</v>
      </c>
      <c r="E3548" s="175">
        <v>4.375</v>
      </c>
      <c r="F3548" s="854">
        <v>2.8</v>
      </c>
      <c r="G3548" s="855">
        <f t="shared" si="358"/>
        <v>3.0625</v>
      </c>
      <c r="H3548" s="855">
        <f t="shared" si="359"/>
        <v>12.25</v>
      </c>
      <c r="I3548" s="857">
        <v>0</v>
      </c>
      <c r="J3548" s="848"/>
    </row>
    <row r="3549" spans="1:11" s="800" customFormat="1" ht="12.75">
      <c r="A3549"/>
      <c r="B3549" s="852" t="s">
        <v>2085</v>
      </c>
      <c r="C3549" s="853">
        <v>1</v>
      </c>
      <c r="D3549" s="175">
        <v>0.25</v>
      </c>
      <c r="E3549" s="175">
        <v>1</v>
      </c>
      <c r="F3549" s="854">
        <v>18.72</v>
      </c>
      <c r="G3549" s="855">
        <f t="shared" si="358"/>
        <v>4.68</v>
      </c>
      <c r="H3549" s="855">
        <f t="shared" si="359"/>
        <v>18.72</v>
      </c>
      <c r="I3549" s="857">
        <v>0</v>
      </c>
      <c r="J3549" s="848"/>
    </row>
    <row r="3550" spans="1:11" s="800" customFormat="1" ht="12.75">
      <c r="A3550"/>
      <c r="B3550" s="852" t="s">
        <v>2086</v>
      </c>
      <c r="C3550" s="853">
        <v>1</v>
      </c>
      <c r="D3550" s="175">
        <v>0.25</v>
      </c>
      <c r="E3550" s="175">
        <v>1.2</v>
      </c>
      <c r="F3550" s="854">
        <v>6</v>
      </c>
      <c r="G3550" s="855">
        <f t="shared" si="358"/>
        <v>1.7999999999999998</v>
      </c>
      <c r="H3550" s="855">
        <f t="shared" si="359"/>
        <v>7.1999999999999993</v>
      </c>
      <c r="I3550" s="857">
        <v>0</v>
      </c>
      <c r="J3550" s="848"/>
    </row>
    <row r="3551" spans="1:11" s="800" customFormat="1" ht="12.75">
      <c r="A3551"/>
      <c r="B3551" s="852" t="s">
        <v>2087</v>
      </c>
      <c r="C3551" s="853">
        <v>1</v>
      </c>
      <c r="D3551" s="175">
        <v>0.25</v>
      </c>
      <c r="E3551" s="175">
        <v>1.2</v>
      </c>
      <c r="F3551" s="854">
        <v>6</v>
      </c>
      <c r="G3551" s="855">
        <f t="shared" si="358"/>
        <v>1.7999999999999998</v>
      </c>
      <c r="H3551" s="855">
        <f t="shared" si="359"/>
        <v>7.1999999999999993</v>
      </c>
      <c r="I3551" s="857">
        <v>0</v>
      </c>
      <c r="J3551" s="848"/>
    </row>
    <row r="3552" spans="1:11" s="800" customFormat="1" ht="12.75">
      <c r="A3552"/>
      <c r="B3552" s="852" t="s">
        <v>2088</v>
      </c>
      <c r="C3552" s="853">
        <v>1</v>
      </c>
      <c r="D3552" s="175">
        <v>0.25</v>
      </c>
      <c r="E3552" s="175">
        <v>1.2</v>
      </c>
      <c r="F3552" s="854">
        <v>6</v>
      </c>
      <c r="G3552" s="855">
        <f t="shared" si="358"/>
        <v>1.7999999999999998</v>
      </c>
      <c r="H3552" s="855">
        <f t="shared" si="359"/>
        <v>7.1999999999999993</v>
      </c>
      <c r="I3552" s="857">
        <v>0</v>
      </c>
      <c r="J3552" s="848"/>
    </row>
    <row r="3553" spans="1:11" s="800" customFormat="1" ht="12.75">
      <c r="A3553"/>
      <c r="B3553" s="852" t="s">
        <v>2089</v>
      </c>
      <c r="C3553" s="853">
        <v>1</v>
      </c>
      <c r="D3553" s="175">
        <v>0.25</v>
      </c>
      <c r="E3553" s="175">
        <v>1.2</v>
      </c>
      <c r="F3553" s="854">
        <v>6</v>
      </c>
      <c r="G3553" s="855">
        <f t="shared" si="358"/>
        <v>1.7999999999999998</v>
      </c>
      <c r="H3553" s="855">
        <f t="shared" si="359"/>
        <v>7.1999999999999993</v>
      </c>
      <c r="I3553" s="857">
        <v>0</v>
      </c>
      <c r="J3553" s="848"/>
    </row>
    <row r="3554" spans="1:11" s="800" customFormat="1" ht="12.75">
      <c r="A3554"/>
      <c r="B3554" s="852" t="s">
        <v>2090</v>
      </c>
      <c r="C3554" s="853">
        <v>1</v>
      </c>
      <c r="D3554" s="175">
        <v>0.25</v>
      </c>
      <c r="E3554" s="175">
        <v>1</v>
      </c>
      <c r="F3554" s="854">
        <v>18.72</v>
      </c>
      <c r="G3554" s="855">
        <f t="shared" si="358"/>
        <v>4.68</v>
      </c>
      <c r="H3554" s="855">
        <f t="shared" si="359"/>
        <v>18.72</v>
      </c>
      <c r="I3554" s="857">
        <v>0</v>
      </c>
      <c r="J3554" s="848"/>
    </row>
    <row r="3555" spans="1:11" s="800" customFormat="1" ht="12.75">
      <c r="A3555"/>
      <c r="B3555" s="852" t="s">
        <v>2091</v>
      </c>
      <c r="C3555" s="853">
        <v>1</v>
      </c>
      <c r="D3555" s="175">
        <v>0.18</v>
      </c>
      <c r="E3555" s="175">
        <v>1.9</v>
      </c>
      <c r="F3555" s="854">
        <v>1</v>
      </c>
      <c r="G3555" s="855">
        <f t="shared" si="358"/>
        <v>0.34199999999999997</v>
      </c>
      <c r="H3555" s="855">
        <f t="shared" si="359"/>
        <v>1.9</v>
      </c>
      <c r="I3555" s="857">
        <v>0</v>
      </c>
      <c r="J3555" s="848"/>
    </row>
    <row r="3556" spans="1:11" s="800" customFormat="1" ht="12.75">
      <c r="A3556"/>
      <c r="B3556" s="852" t="s">
        <v>152</v>
      </c>
      <c r="C3556" s="853">
        <v>1</v>
      </c>
      <c r="D3556" s="175"/>
      <c r="E3556" s="175">
        <v>1</v>
      </c>
      <c r="F3556" s="854">
        <v>1.88</v>
      </c>
      <c r="G3556" s="475">
        <f>E3556*F3556*C3556</f>
        <v>1.88</v>
      </c>
      <c r="H3556" s="475">
        <v>12.67</v>
      </c>
      <c r="I3556" s="857">
        <v>0</v>
      </c>
      <c r="J3556" s="848"/>
    </row>
    <row r="3557" spans="1:11" s="800" customFormat="1" ht="12.75">
      <c r="A3557"/>
      <c r="B3557" s="852" t="s">
        <v>2092</v>
      </c>
      <c r="C3557" s="853">
        <v>1</v>
      </c>
      <c r="D3557" s="175"/>
      <c r="E3557" s="175"/>
      <c r="F3557" s="854"/>
      <c r="G3557" s="475"/>
      <c r="H3557" s="475"/>
      <c r="I3557" s="857">
        <v>0.96</v>
      </c>
      <c r="J3557" s="848"/>
    </row>
    <row r="3558" spans="1:11" s="800" customFormat="1" ht="12.75">
      <c r="A3558"/>
      <c r="B3558" s="300"/>
      <c r="C3558" s="235"/>
      <c r="D3558" s="138"/>
      <c r="E3558" s="138"/>
      <c r="F3558" s="138"/>
      <c r="G3558" s="858"/>
      <c r="H3558" s="859"/>
      <c r="I3558" s="6"/>
      <c r="J3558"/>
      <c r="K3558" s="848"/>
    </row>
    <row r="3559" spans="1:11" s="800" customFormat="1" ht="14.25">
      <c r="A3559"/>
      <c r="B3559" s="849" t="s">
        <v>97</v>
      </c>
      <c r="C3559" s="850" t="s">
        <v>61</v>
      </c>
      <c r="D3559" s="850" t="s">
        <v>82</v>
      </c>
      <c r="E3559" s="850" t="s">
        <v>66</v>
      </c>
      <c r="F3559" s="850" t="s">
        <v>62</v>
      </c>
      <c r="G3559" s="851" t="s">
        <v>99</v>
      </c>
      <c r="H3559" s="851" t="s">
        <v>68</v>
      </c>
      <c r="I3559" s="870"/>
      <c r="J3559"/>
    </row>
    <row r="3560" spans="1:11" s="800" customFormat="1" ht="12.75">
      <c r="A3560"/>
      <c r="B3560" s="852" t="s">
        <v>974</v>
      </c>
      <c r="C3560" s="853">
        <v>1</v>
      </c>
      <c r="D3560" s="861">
        <v>0.3</v>
      </c>
      <c r="E3560" s="175">
        <v>0.95</v>
      </c>
      <c r="F3560" s="175">
        <v>8.6999999999999993</v>
      </c>
      <c r="G3560" s="855">
        <f>D3560*E3560*F3560*C3560</f>
        <v>2.4794999999999994</v>
      </c>
      <c r="H3560" s="855">
        <f>((E3560*2)+D3560)*F3560*C3560</f>
        <v>19.139999999999997</v>
      </c>
      <c r="I3560" s="138"/>
      <c r="J3560"/>
    </row>
    <row r="3561" spans="1:11" s="800" customFormat="1" ht="12.75">
      <c r="A3561"/>
      <c r="B3561" s="852" t="s">
        <v>593</v>
      </c>
      <c r="C3561" s="853">
        <v>1</v>
      </c>
      <c r="D3561" s="861">
        <v>0.3</v>
      </c>
      <c r="E3561" s="175">
        <v>0.8</v>
      </c>
      <c r="F3561" s="175">
        <v>8.6999999999999993</v>
      </c>
      <c r="G3561" s="855">
        <f>D3561*E3561*F3561*C3561</f>
        <v>2.0879999999999996</v>
      </c>
      <c r="H3561" s="855">
        <f>((E3561*2)+D3561)*F3561*C3561</f>
        <v>16.53</v>
      </c>
      <c r="I3561" s="138"/>
      <c r="J3561"/>
    </row>
    <row r="3562" spans="1:11" s="800" customFormat="1" ht="12.75">
      <c r="A3562"/>
      <c r="B3562" s="852" t="s">
        <v>594</v>
      </c>
      <c r="C3562" s="853">
        <v>1</v>
      </c>
      <c r="D3562" s="861">
        <v>0.3</v>
      </c>
      <c r="E3562" s="175">
        <v>0.95</v>
      </c>
      <c r="F3562" s="175">
        <v>8.6999999999999993</v>
      </c>
      <c r="G3562" s="855">
        <f>D3562*E3562*F3562*C3562</f>
        <v>2.4794999999999994</v>
      </c>
      <c r="H3562" s="855">
        <f>((E3562*2)+D3562)*F3562*C3562</f>
        <v>19.139999999999997</v>
      </c>
      <c r="I3562" s="138"/>
      <c r="J3562"/>
    </row>
    <row r="3563" spans="1:11" s="800" customFormat="1" ht="12.75">
      <c r="A3563"/>
      <c r="B3563" s="852" t="s">
        <v>595</v>
      </c>
      <c r="C3563" s="853">
        <v>1</v>
      </c>
      <c r="D3563" s="861">
        <v>0.3</v>
      </c>
      <c r="E3563" s="175">
        <v>0.95</v>
      </c>
      <c r="F3563" s="175">
        <v>5.6</v>
      </c>
      <c r="G3563" s="855">
        <f>D3563*E3563*F3563*C3563</f>
        <v>1.5959999999999999</v>
      </c>
      <c r="H3563" s="855">
        <f>((E3563*2)+D3563)*F3563*C3563</f>
        <v>12.319999999999999</v>
      </c>
      <c r="I3563" s="138"/>
      <c r="J3563"/>
    </row>
    <row r="3564" spans="1:11" s="800" customFormat="1" ht="12.75">
      <c r="A3564"/>
      <c r="B3564" s="852" t="s">
        <v>773</v>
      </c>
      <c r="C3564" s="853">
        <v>1</v>
      </c>
      <c r="D3564" s="861">
        <v>0.3</v>
      </c>
      <c r="E3564" s="175">
        <v>0.8</v>
      </c>
      <c r="F3564" s="175">
        <v>5.6</v>
      </c>
      <c r="G3564" s="855">
        <f>D3564*E3564*F3564*C3564</f>
        <v>1.3439999999999999</v>
      </c>
      <c r="H3564" s="855">
        <f>((E3564*2)+D3564)*F3564*C3564</f>
        <v>10.64</v>
      </c>
      <c r="I3564" s="138"/>
      <c r="J3564"/>
    </row>
    <row r="3565" spans="1:11" s="800" customFormat="1" ht="12.75">
      <c r="A3565"/>
      <c r="B3565" s="300"/>
      <c r="C3565" s="235"/>
      <c r="D3565" s="862"/>
      <c r="E3565" s="138"/>
      <c r="F3565" s="138"/>
      <c r="G3565" s="138"/>
      <c r="H3565" s="138"/>
      <c r="I3565" s="138"/>
      <c r="J3565"/>
    </row>
    <row r="3566" spans="1:11" s="800" customFormat="1" ht="14.25">
      <c r="A3566"/>
      <c r="B3566" s="849" t="s">
        <v>160</v>
      </c>
      <c r="C3566" s="850" t="s">
        <v>61</v>
      </c>
      <c r="D3566" s="850" t="s">
        <v>82</v>
      </c>
      <c r="E3566" s="850" t="s">
        <v>66</v>
      </c>
      <c r="F3566" s="850" t="s">
        <v>62</v>
      </c>
      <c r="G3566" s="851" t="s">
        <v>99</v>
      </c>
      <c r="H3566" s="851" t="s">
        <v>68</v>
      </c>
      <c r="I3566" s="138"/>
      <c r="J3566"/>
    </row>
    <row r="3567" spans="1:11" s="800" customFormat="1" ht="12.75">
      <c r="A3567"/>
      <c r="B3567" s="852" t="s">
        <v>161</v>
      </c>
      <c r="C3567" s="853">
        <v>1</v>
      </c>
      <c r="D3567" s="861">
        <v>0.3</v>
      </c>
      <c r="E3567" s="175">
        <v>2.4</v>
      </c>
      <c r="F3567" s="175">
        <v>6.6</v>
      </c>
      <c r="G3567" s="855">
        <f>D3567*E3567*F3567*C3567</f>
        <v>4.7519999999999998</v>
      </c>
      <c r="H3567" s="855">
        <f t="shared" ref="H3567:H3584" si="360">E3567*2*F3567*C3567</f>
        <v>31.679999999999996</v>
      </c>
      <c r="I3567" s="138"/>
      <c r="J3567"/>
    </row>
    <row r="3568" spans="1:11" s="800" customFormat="1" ht="12.75">
      <c r="A3568"/>
      <c r="B3568" s="852" t="s">
        <v>162</v>
      </c>
      <c r="C3568" s="853">
        <v>1</v>
      </c>
      <c r="D3568" s="861">
        <v>0.3</v>
      </c>
      <c r="E3568" s="175">
        <v>2.4</v>
      </c>
      <c r="F3568" s="175">
        <v>5.2</v>
      </c>
      <c r="G3568" s="855">
        <f t="shared" ref="G3568:G3584" si="361">D3568*E3568*F3568*C3568</f>
        <v>3.7439999999999998</v>
      </c>
      <c r="H3568" s="855">
        <f t="shared" si="360"/>
        <v>24.96</v>
      </c>
      <c r="I3568" s="138"/>
      <c r="J3568"/>
    </row>
    <row r="3569" spans="1:10" s="800" customFormat="1" ht="12.75">
      <c r="A3569"/>
      <c r="B3569" s="852" t="s">
        <v>163</v>
      </c>
      <c r="C3569" s="853">
        <v>1</v>
      </c>
      <c r="D3569" s="861">
        <v>0.3</v>
      </c>
      <c r="E3569" s="175">
        <v>2.4</v>
      </c>
      <c r="F3569" s="175">
        <v>5.2</v>
      </c>
      <c r="G3569" s="855">
        <f t="shared" si="361"/>
        <v>3.7439999999999998</v>
      </c>
      <c r="H3569" s="855">
        <f t="shared" si="360"/>
        <v>24.96</v>
      </c>
      <c r="I3569" s="138"/>
      <c r="J3569"/>
    </row>
    <row r="3570" spans="1:10" s="800" customFormat="1" ht="12.75">
      <c r="A3570"/>
      <c r="B3570" s="852" t="s">
        <v>164</v>
      </c>
      <c r="C3570" s="853">
        <v>1</v>
      </c>
      <c r="D3570" s="861">
        <v>0.3</v>
      </c>
      <c r="E3570" s="175">
        <v>2.4</v>
      </c>
      <c r="F3570" s="175">
        <v>5.2</v>
      </c>
      <c r="G3570" s="855">
        <f t="shared" si="361"/>
        <v>3.7439999999999998</v>
      </c>
      <c r="H3570" s="855">
        <f t="shared" si="360"/>
        <v>24.96</v>
      </c>
      <c r="I3570" s="138"/>
      <c r="J3570"/>
    </row>
    <row r="3571" spans="1:10" s="800" customFormat="1" ht="12.75">
      <c r="A3571"/>
      <c r="B3571" s="852" t="s">
        <v>165</v>
      </c>
      <c r="C3571" s="853">
        <v>1</v>
      </c>
      <c r="D3571" s="861">
        <v>0.3</v>
      </c>
      <c r="E3571" s="175">
        <v>7.05</v>
      </c>
      <c r="F3571" s="175">
        <v>6</v>
      </c>
      <c r="G3571" s="855">
        <f t="shared" si="361"/>
        <v>12.689999999999998</v>
      </c>
      <c r="H3571" s="855">
        <f t="shared" si="360"/>
        <v>84.6</v>
      </c>
      <c r="I3571" s="138"/>
      <c r="J3571"/>
    </row>
    <row r="3572" spans="1:10" s="800" customFormat="1" ht="12.75">
      <c r="A3572"/>
      <c r="B3572" s="852" t="s">
        <v>2093</v>
      </c>
      <c r="C3572" s="853">
        <v>1</v>
      </c>
      <c r="D3572" s="861">
        <v>0.3</v>
      </c>
      <c r="E3572" s="175">
        <v>7.05</v>
      </c>
      <c r="F3572" s="175">
        <v>6</v>
      </c>
      <c r="G3572" s="855">
        <f t="shared" si="361"/>
        <v>12.689999999999998</v>
      </c>
      <c r="H3572" s="855">
        <f t="shared" si="360"/>
        <v>84.6</v>
      </c>
      <c r="I3572" s="138"/>
      <c r="J3572"/>
    </row>
    <row r="3573" spans="1:10" s="800" customFormat="1" ht="12.75">
      <c r="A3573"/>
      <c r="B3573" s="852" t="s">
        <v>2094</v>
      </c>
      <c r="C3573" s="853">
        <v>1</v>
      </c>
      <c r="D3573" s="861">
        <v>0.3</v>
      </c>
      <c r="E3573" s="175">
        <v>7.05</v>
      </c>
      <c r="F3573" s="175">
        <v>6</v>
      </c>
      <c r="G3573" s="855">
        <f t="shared" si="361"/>
        <v>12.689999999999998</v>
      </c>
      <c r="H3573" s="855">
        <f t="shared" si="360"/>
        <v>84.6</v>
      </c>
      <c r="I3573" s="138"/>
      <c r="J3573"/>
    </row>
    <row r="3574" spans="1:10" s="800" customFormat="1" ht="12.75">
      <c r="A3574"/>
      <c r="B3574" s="852" t="s">
        <v>2095</v>
      </c>
      <c r="C3574" s="853">
        <v>1</v>
      </c>
      <c r="D3574" s="861">
        <v>0.3</v>
      </c>
      <c r="E3574" s="175">
        <v>7.05</v>
      </c>
      <c r="F3574" s="175">
        <v>6</v>
      </c>
      <c r="G3574" s="855">
        <f t="shared" si="361"/>
        <v>12.689999999999998</v>
      </c>
      <c r="H3574" s="855">
        <f t="shared" si="360"/>
        <v>84.6</v>
      </c>
      <c r="I3574" s="138"/>
      <c r="J3574"/>
    </row>
    <row r="3575" spans="1:10" s="800" customFormat="1" ht="12.75">
      <c r="A3575"/>
      <c r="B3575" s="852" t="s">
        <v>2096</v>
      </c>
      <c r="C3575" s="853">
        <v>1</v>
      </c>
      <c r="D3575" s="861">
        <v>0.3</v>
      </c>
      <c r="E3575" s="175">
        <v>7.05</v>
      </c>
      <c r="F3575" s="175">
        <v>6.6</v>
      </c>
      <c r="G3575" s="855">
        <f t="shared" si="361"/>
        <v>13.958999999999998</v>
      </c>
      <c r="H3575" s="855">
        <f t="shared" si="360"/>
        <v>93.059999999999988</v>
      </c>
      <c r="I3575" s="138"/>
      <c r="J3575"/>
    </row>
    <row r="3576" spans="1:10" s="800" customFormat="1" ht="12.75">
      <c r="A3576"/>
      <c r="B3576" s="852" t="s">
        <v>2097</v>
      </c>
      <c r="C3576" s="853">
        <v>1</v>
      </c>
      <c r="D3576" s="861">
        <v>0.3</v>
      </c>
      <c r="E3576" s="175">
        <v>7.05</v>
      </c>
      <c r="F3576" s="175">
        <v>29.6</v>
      </c>
      <c r="G3576" s="855">
        <f t="shared" si="361"/>
        <v>62.603999999999999</v>
      </c>
      <c r="H3576" s="855">
        <f t="shared" si="360"/>
        <v>417.36</v>
      </c>
      <c r="I3576" s="138"/>
      <c r="J3576"/>
    </row>
    <row r="3577" spans="1:10" s="800" customFormat="1" ht="12.75">
      <c r="A3577"/>
      <c r="B3577" s="852" t="s">
        <v>2098</v>
      </c>
      <c r="C3577" s="853">
        <v>1</v>
      </c>
      <c r="D3577" s="861">
        <v>0.25</v>
      </c>
      <c r="E3577" s="175">
        <v>1.95</v>
      </c>
      <c r="F3577" s="175">
        <v>0.8</v>
      </c>
      <c r="G3577" s="855">
        <f t="shared" si="361"/>
        <v>0.39</v>
      </c>
      <c r="H3577" s="855">
        <f t="shared" si="360"/>
        <v>3.12</v>
      </c>
      <c r="I3577" s="138"/>
      <c r="J3577"/>
    </row>
    <row r="3578" spans="1:10" s="800" customFormat="1" ht="12.75">
      <c r="A3578"/>
      <c r="B3578" s="852" t="s">
        <v>2099</v>
      </c>
      <c r="C3578" s="853">
        <v>1</v>
      </c>
      <c r="D3578" s="861">
        <v>0.3</v>
      </c>
      <c r="E3578" s="175">
        <v>7.05</v>
      </c>
      <c r="F3578" s="175">
        <v>29.6</v>
      </c>
      <c r="G3578" s="855">
        <f t="shared" si="361"/>
        <v>62.603999999999999</v>
      </c>
      <c r="H3578" s="855">
        <f t="shared" si="360"/>
        <v>417.36</v>
      </c>
      <c r="I3578" s="138"/>
      <c r="J3578"/>
    </row>
    <row r="3579" spans="1:10" s="800" customFormat="1" ht="12.75">
      <c r="A3579"/>
      <c r="B3579" s="852" t="s">
        <v>2100</v>
      </c>
      <c r="C3579" s="853">
        <v>8</v>
      </c>
      <c r="D3579" s="861">
        <v>0.25</v>
      </c>
      <c r="E3579" s="175">
        <v>2.7</v>
      </c>
      <c r="F3579" s="175">
        <v>1.1499999999999999</v>
      </c>
      <c r="G3579" s="855">
        <f t="shared" si="361"/>
        <v>6.21</v>
      </c>
      <c r="H3579" s="855">
        <f t="shared" si="360"/>
        <v>49.68</v>
      </c>
      <c r="I3579" s="138"/>
      <c r="J3579"/>
    </row>
    <row r="3580" spans="1:10" s="800" customFormat="1" ht="12.75">
      <c r="A3580"/>
      <c r="B3580" s="852" t="s">
        <v>2101</v>
      </c>
      <c r="C3580" s="853">
        <v>4</v>
      </c>
      <c r="D3580" s="861">
        <v>0.25</v>
      </c>
      <c r="E3580" s="175">
        <v>2.7</v>
      </c>
      <c r="F3580" s="175">
        <v>0.8</v>
      </c>
      <c r="G3580" s="855">
        <f t="shared" si="361"/>
        <v>2.16</v>
      </c>
      <c r="H3580" s="855">
        <f t="shared" si="360"/>
        <v>17.28</v>
      </c>
      <c r="I3580" s="138"/>
      <c r="J3580"/>
    </row>
    <row r="3581" spans="1:10" s="800" customFormat="1" ht="12.75">
      <c r="A3581"/>
      <c r="B3581" s="852" t="s">
        <v>2102</v>
      </c>
      <c r="C3581" s="853">
        <v>4</v>
      </c>
      <c r="D3581" s="861">
        <v>0.25</v>
      </c>
      <c r="E3581" s="175">
        <v>1</v>
      </c>
      <c r="F3581" s="175">
        <v>1.1499999999999999</v>
      </c>
      <c r="G3581" s="855">
        <f t="shared" si="361"/>
        <v>1.1499999999999999</v>
      </c>
      <c r="H3581" s="855">
        <f t="shared" si="360"/>
        <v>9.1999999999999993</v>
      </c>
      <c r="I3581" s="138"/>
      <c r="J3581"/>
    </row>
    <row r="3582" spans="1:10" s="800" customFormat="1" ht="12.75">
      <c r="A3582"/>
      <c r="B3582" s="852" t="s">
        <v>2103</v>
      </c>
      <c r="C3582" s="853">
        <v>2</v>
      </c>
      <c r="D3582" s="861">
        <v>0.25</v>
      </c>
      <c r="E3582" s="175">
        <v>1</v>
      </c>
      <c r="F3582" s="175">
        <v>1.8</v>
      </c>
      <c r="G3582" s="855">
        <f t="shared" si="361"/>
        <v>0.9</v>
      </c>
      <c r="H3582" s="855">
        <f t="shared" si="360"/>
        <v>7.2</v>
      </c>
      <c r="I3582" s="138"/>
      <c r="J3582"/>
    </row>
    <row r="3583" spans="1:10" s="800" customFormat="1" ht="12.75">
      <c r="A3583"/>
      <c r="B3583" s="852" t="s">
        <v>2104</v>
      </c>
      <c r="C3583" s="853">
        <v>1</v>
      </c>
      <c r="D3583" s="861">
        <v>0.25</v>
      </c>
      <c r="E3583" s="175">
        <v>0.8</v>
      </c>
      <c r="F3583" s="175">
        <v>1.7</v>
      </c>
      <c r="G3583" s="855">
        <f t="shared" si="361"/>
        <v>0.34</v>
      </c>
      <c r="H3583" s="855">
        <f t="shared" si="360"/>
        <v>2.72</v>
      </c>
      <c r="I3583" s="138"/>
      <c r="J3583"/>
    </row>
    <row r="3584" spans="1:10" s="800" customFormat="1" ht="12.75">
      <c r="A3584"/>
      <c r="B3584" s="852" t="s">
        <v>2105</v>
      </c>
      <c r="C3584" s="853">
        <v>1</v>
      </c>
      <c r="D3584" s="861">
        <v>0.25</v>
      </c>
      <c r="E3584" s="175">
        <v>0.8</v>
      </c>
      <c r="F3584" s="175">
        <v>0.5</v>
      </c>
      <c r="G3584" s="855">
        <f t="shared" si="361"/>
        <v>0.1</v>
      </c>
      <c r="H3584" s="855">
        <f t="shared" si="360"/>
        <v>0.8</v>
      </c>
      <c r="I3584" s="138"/>
      <c r="J3584"/>
    </row>
    <row r="3585" spans="1:56" s="800" customFormat="1" ht="12.75">
      <c r="A3585"/>
      <c r="B3585" s="300"/>
      <c r="C3585" s="235"/>
      <c r="D3585" s="862"/>
      <c r="E3585" s="138"/>
      <c r="F3585" s="138"/>
      <c r="G3585" s="138"/>
      <c r="H3585" s="138"/>
      <c r="I3585" s="138"/>
      <c r="J3585"/>
    </row>
    <row r="3586" spans="1:56" ht="15" customHeight="1">
      <c r="A3586" s="114"/>
      <c r="B3586" s="293"/>
      <c r="C3586" s="387"/>
      <c r="D3586" s="387"/>
      <c r="E3586" s="387"/>
      <c r="F3586" s="387"/>
      <c r="G3586" s="387"/>
      <c r="H3586" s="386"/>
      <c r="I3586" s="386"/>
      <c r="J3586" s="114"/>
      <c r="BB3586" s="117"/>
      <c r="BC3586" s="117"/>
      <c r="BD3586" s="117"/>
    </row>
    <row r="3587" spans="1:56" ht="15" customHeight="1">
      <c r="A3587" s="114"/>
      <c r="B3587" s="801" t="s">
        <v>152</v>
      </c>
      <c r="C3587" s="751" t="s">
        <v>155</v>
      </c>
      <c r="D3587" s="751" t="s">
        <v>82</v>
      </c>
      <c r="E3587" s="751" t="s">
        <v>62</v>
      </c>
      <c r="F3587" s="751" t="s">
        <v>2133</v>
      </c>
      <c r="G3587" s="801" t="s">
        <v>104</v>
      </c>
      <c r="H3587" s="801" t="s">
        <v>105</v>
      </c>
      <c r="I3587" s="3"/>
      <c r="J3587" s="4"/>
      <c r="BC3587" s="117"/>
      <c r="BD3587" s="117"/>
    </row>
    <row r="3588" spans="1:56" ht="15" customHeight="1">
      <c r="A3588" s="114"/>
      <c r="B3588" s="898" t="s">
        <v>2134</v>
      </c>
      <c r="C3588" s="899">
        <v>1.9179999999999999</v>
      </c>
      <c r="D3588" s="899">
        <v>4.49</v>
      </c>
      <c r="E3588" s="899">
        <v>1</v>
      </c>
      <c r="F3588" s="899">
        <v>7.3777699999999999</v>
      </c>
      <c r="G3588" s="900">
        <f t="shared" ref="G3588" si="362">C3588*E3588</f>
        <v>1.9179999999999999</v>
      </c>
      <c r="H3588" s="900">
        <f t="shared" ref="H3588" si="363">2*C3588+D3588*E3588+F3588*E3588</f>
        <v>15.70377</v>
      </c>
      <c r="I3588" s="3"/>
      <c r="J3588" s="4"/>
      <c r="BC3588" s="117"/>
      <c r="BD3588" s="117"/>
    </row>
    <row r="3589" spans="1:56" ht="15" customHeight="1">
      <c r="A3589" s="114"/>
      <c r="B3589" s="140"/>
      <c r="C3589" s="213"/>
      <c r="D3589" s="213"/>
      <c r="E3589" s="115"/>
      <c r="F3589" s="758" t="s">
        <v>76</v>
      </c>
      <c r="G3589" s="633">
        <f>SUM(G3588:G3588)*3</f>
        <v>5.7539999999999996</v>
      </c>
      <c r="H3589" s="633">
        <f>SUM(H3588:H3588)*3</f>
        <v>47.111310000000003</v>
      </c>
      <c r="I3589" s="3"/>
      <c r="J3589" s="114"/>
      <c r="AZ3589" s="117"/>
      <c r="BA3589" s="117"/>
      <c r="BB3589" s="117"/>
      <c r="BC3589" s="117"/>
      <c r="BD3589" s="117"/>
    </row>
    <row r="3590" spans="1:56" ht="15" customHeight="1">
      <c r="A3590" s="114"/>
      <c r="B3590" s="140"/>
      <c r="C3590" s="213"/>
      <c r="D3590" s="213"/>
      <c r="E3590" s="871"/>
      <c r="F3590" s="213"/>
      <c r="G3590" s="212"/>
      <c r="H3590" s="210"/>
      <c r="I3590" s="3"/>
      <c r="J3590" s="114"/>
      <c r="AZ3590" s="117"/>
      <c r="BA3590" s="117"/>
      <c r="BB3590" s="117"/>
      <c r="BC3590" s="117"/>
      <c r="BD3590" s="117"/>
    </row>
    <row r="3591" spans="1:56" s="800" customFormat="1" ht="13.5" thickBot="1">
      <c r="A3591"/>
      <c r="B3591" s="300"/>
      <c r="C3591" s="235"/>
      <c r="D3591" s="138"/>
      <c r="E3591" s="138"/>
      <c r="F3591" s="138"/>
      <c r="G3591" s="858"/>
      <c r="H3591" s="859"/>
      <c r="I3591" s="6"/>
      <c r="J3591"/>
      <c r="K3591" s="848"/>
    </row>
    <row r="3592" spans="1:56" s="800" customFormat="1" ht="16.5" thickBot="1">
      <c r="A3592"/>
      <c r="B3592" s="1280" t="s">
        <v>98</v>
      </c>
      <c r="C3592" s="1281"/>
      <c r="D3592" s="1281"/>
      <c r="E3592" s="1281"/>
      <c r="F3592" s="1282"/>
      <c r="G3592"/>
      <c r="H3592"/>
      <c r="I3592"/>
      <c r="J3592"/>
      <c r="K3592" s="848"/>
    </row>
    <row r="3593" spans="1:56" s="800" customFormat="1" ht="12.75">
      <c r="A3593"/>
      <c r="B3593" s="40"/>
      <c r="C3593" s="795"/>
      <c r="D3593" s="795"/>
      <c r="E3593" s="795"/>
      <c r="F3593" s="424"/>
      <c r="G3593"/>
      <c r="H3593"/>
      <c r="I3593" s="863"/>
      <c r="J3593"/>
      <c r="K3593" s="848"/>
    </row>
    <row r="3594" spans="1:56" s="800" customFormat="1">
      <c r="A3594"/>
      <c r="B3594" s="703" t="s">
        <v>1129</v>
      </c>
      <c r="C3594" s="172"/>
      <c r="D3594" s="173"/>
      <c r="E3594" s="864">
        <f>SUM(G3531:G3536,H3560:H3564,H3540:H3557,H3567:H3584,H3589)</f>
        <v>1802.2813100000001</v>
      </c>
      <c r="F3594" s="139" t="s">
        <v>13</v>
      </c>
      <c r="G3594"/>
      <c r="H3594"/>
      <c r="I3594"/>
      <c r="J3594"/>
      <c r="K3594" s="848"/>
    </row>
    <row r="3595" spans="1:56" s="800" customFormat="1" ht="18">
      <c r="A3595"/>
      <c r="B3595" s="718" t="s">
        <v>1130</v>
      </c>
      <c r="C3595" s="289"/>
      <c r="D3595" s="290"/>
      <c r="E3595" s="1061">
        <f>SUM(F3531:F3536,G3540:G3557,G3560:G3564,G3567:G3584,G3589)</f>
        <v>365.79699999999997</v>
      </c>
      <c r="F3595" s="700" t="s">
        <v>1124</v>
      </c>
      <c r="G3595"/>
      <c r="H3595"/>
      <c r="I3595"/>
      <c r="J3595"/>
      <c r="K3595" s="848"/>
    </row>
    <row r="3596" spans="1:56" s="800" customFormat="1" ht="18.75" thickBot="1">
      <c r="A3596"/>
      <c r="B3596" s="720" t="s">
        <v>2048</v>
      </c>
      <c r="C3596" s="174"/>
      <c r="D3596" s="174"/>
      <c r="E3596" s="1062">
        <f>SUM(I3540:I3557)</f>
        <v>15.506</v>
      </c>
      <c r="F3596" s="440" t="s">
        <v>1124</v>
      </c>
      <c r="G3596"/>
      <c r="H3596"/>
      <c r="I3596"/>
      <c r="J3596"/>
      <c r="K3596" s="848"/>
    </row>
    <row r="3597" spans="1:56" s="800" customFormat="1" ht="12.75">
      <c r="A3597"/>
      <c r="B3597" s="1"/>
      <c r="C3597" s="1"/>
      <c r="D3597" s="1"/>
      <c r="E3597" s="1"/>
      <c r="F3597" s="1"/>
      <c r="G3597" s="1"/>
      <c r="H3597" s="3"/>
      <c r="I3597" s="3"/>
      <c r="J3597" s="3"/>
      <c r="K3597" s="848"/>
    </row>
    <row r="3598" spans="1:56" ht="16.5" thickBot="1">
      <c r="A3598" s="114"/>
      <c r="B3598" s="115"/>
      <c r="C3598" s="115"/>
      <c r="D3598" s="115"/>
      <c r="E3598" s="115"/>
      <c r="F3598" s="115"/>
      <c r="G3598" s="115"/>
      <c r="H3598" s="115"/>
      <c r="I3598" s="115"/>
      <c r="J3598" s="114"/>
      <c r="BA3598" s="117"/>
      <c r="BB3598" s="117"/>
      <c r="BC3598" s="117"/>
      <c r="BD3598" s="117"/>
    </row>
    <row r="3599" spans="1:56">
      <c r="A3599" s="114"/>
      <c r="B3599" s="1285" t="s">
        <v>320</v>
      </c>
      <c r="C3599" s="1286"/>
      <c r="D3599" s="1286"/>
      <c r="E3599" s="1286"/>
      <c r="F3599" s="1287"/>
      <c r="G3599" s="115"/>
      <c r="H3599" s="115"/>
      <c r="I3599" s="386"/>
      <c r="J3599" s="114"/>
      <c r="BA3599" s="117"/>
      <c r="BB3599" s="117"/>
      <c r="BC3599" s="117"/>
      <c r="BD3599" s="117"/>
    </row>
    <row r="3600" spans="1:56">
      <c r="A3600" s="114"/>
      <c r="B3600" s="690"/>
      <c r="C3600" s="115"/>
      <c r="D3600" s="115"/>
      <c r="E3600" s="115"/>
      <c r="F3600" s="182"/>
      <c r="G3600" s="115"/>
      <c r="H3600" s="115"/>
      <c r="I3600" s="386"/>
      <c r="J3600" s="114"/>
      <c r="BA3600" s="117"/>
      <c r="BB3600" s="117"/>
      <c r="BC3600" s="117"/>
      <c r="BD3600" s="117"/>
    </row>
    <row r="3601" spans="1:56" ht="15">
      <c r="A3601" s="114"/>
      <c r="B3601" s="691" t="s">
        <v>2107</v>
      </c>
      <c r="C3601" s="196"/>
      <c r="D3601" s="196"/>
      <c r="E3601" s="196"/>
      <c r="F3601" s="284"/>
      <c r="G3601" s="196"/>
      <c r="H3601" s="196"/>
      <c r="I3601" s="196"/>
      <c r="J3601" s="114"/>
      <c r="BA3601" s="117"/>
      <c r="BB3601" s="117"/>
      <c r="BC3601" s="117"/>
      <c r="BD3601" s="117"/>
    </row>
    <row r="3602" spans="1:56" ht="15">
      <c r="A3602" s="114"/>
      <c r="B3602" s="692" t="s">
        <v>352</v>
      </c>
      <c r="C3602" s="280">
        <v>1134</v>
      </c>
      <c r="D3602" s="286" t="s">
        <v>12</v>
      </c>
      <c r="E3602" s="1199" t="s">
        <v>2157</v>
      </c>
      <c r="F3602" s="1200"/>
      <c r="G3602" s="196"/>
      <c r="H3602" s="196"/>
      <c r="I3602" s="196"/>
      <c r="J3602" s="114"/>
      <c r="BA3602" s="117"/>
      <c r="BB3602" s="117"/>
      <c r="BC3602" s="117"/>
      <c r="BD3602" s="117"/>
    </row>
    <row r="3603" spans="1:56" ht="15">
      <c r="A3603" s="114"/>
      <c r="B3603" s="692" t="s">
        <v>353</v>
      </c>
      <c r="C3603" s="280">
        <v>48</v>
      </c>
      <c r="D3603" s="286" t="s">
        <v>12</v>
      </c>
      <c r="E3603" s="1201"/>
      <c r="F3603" s="1202"/>
      <c r="G3603" s="196"/>
      <c r="H3603" s="196"/>
      <c r="I3603" s="196"/>
      <c r="J3603" s="114"/>
      <c r="BA3603" s="117"/>
      <c r="BB3603" s="117"/>
      <c r="BC3603" s="117"/>
      <c r="BD3603" s="117"/>
    </row>
    <row r="3604" spans="1:56">
      <c r="A3604" s="114"/>
      <c r="B3604" s="690"/>
      <c r="C3604" s="115"/>
      <c r="D3604" s="115"/>
      <c r="E3604" s="115"/>
      <c r="F3604" s="182"/>
      <c r="G3604" s="115"/>
      <c r="H3604" s="115"/>
      <c r="I3604" s="386"/>
      <c r="J3604" s="114"/>
      <c r="BA3604" s="117"/>
      <c r="BB3604" s="117"/>
      <c r="BC3604" s="117"/>
      <c r="BD3604" s="117"/>
    </row>
    <row r="3605" spans="1:56" ht="15">
      <c r="A3605" s="114"/>
      <c r="B3605" s="691" t="s">
        <v>2106</v>
      </c>
      <c r="C3605" s="196"/>
      <c r="D3605" s="196"/>
      <c r="E3605" s="196"/>
      <c r="F3605" s="284"/>
      <c r="G3605" s="196"/>
      <c r="H3605" s="196"/>
      <c r="I3605" s="196"/>
      <c r="J3605" s="114"/>
      <c r="BA3605" s="117"/>
      <c r="BB3605" s="117"/>
      <c r="BC3605" s="117"/>
      <c r="BD3605" s="117"/>
    </row>
    <row r="3606" spans="1:56" ht="15">
      <c r="A3606" s="114"/>
      <c r="B3606" s="692" t="s">
        <v>352</v>
      </c>
      <c r="C3606" s="280">
        <v>1441</v>
      </c>
      <c r="D3606" s="286" t="s">
        <v>12</v>
      </c>
      <c r="E3606" s="1199" t="s">
        <v>2158</v>
      </c>
      <c r="F3606" s="1200"/>
      <c r="G3606" s="196"/>
      <c r="H3606" s="196"/>
      <c r="I3606" s="196"/>
      <c r="J3606" s="114"/>
      <c r="BA3606" s="117"/>
      <c r="BB3606" s="117"/>
      <c r="BC3606" s="117"/>
      <c r="BD3606" s="117"/>
    </row>
    <row r="3607" spans="1:56" ht="15">
      <c r="A3607" s="114"/>
      <c r="B3607" s="692" t="s">
        <v>353</v>
      </c>
      <c r="C3607" s="280">
        <v>53</v>
      </c>
      <c r="D3607" s="286" t="s">
        <v>12</v>
      </c>
      <c r="E3607" s="1201"/>
      <c r="F3607" s="1202"/>
      <c r="G3607" s="196"/>
      <c r="H3607" s="196"/>
      <c r="I3607" s="196"/>
      <c r="J3607" s="114"/>
      <c r="BA3607" s="117"/>
      <c r="BB3607" s="117"/>
      <c r="BC3607" s="117"/>
      <c r="BD3607" s="117"/>
    </row>
    <row r="3608" spans="1:56">
      <c r="A3608" s="114"/>
      <c r="B3608" s="690"/>
      <c r="C3608" s="115"/>
      <c r="D3608" s="115"/>
      <c r="E3608" s="115"/>
      <c r="F3608" s="182"/>
      <c r="G3608" s="115"/>
      <c r="H3608" s="115"/>
      <c r="I3608" s="386"/>
      <c r="J3608" s="114"/>
      <c r="BA3608" s="117"/>
      <c r="BB3608" s="117"/>
      <c r="BC3608" s="117"/>
      <c r="BD3608" s="117"/>
    </row>
    <row r="3609" spans="1:56" ht="15">
      <c r="A3609" s="114"/>
      <c r="B3609" s="691" t="s">
        <v>347</v>
      </c>
      <c r="C3609" s="196"/>
      <c r="D3609" s="196"/>
      <c r="E3609" s="196"/>
      <c r="F3609" s="284"/>
      <c r="G3609" s="196"/>
      <c r="H3609" s="196"/>
      <c r="I3609" s="196"/>
      <c r="J3609" s="114"/>
      <c r="BA3609" s="117"/>
      <c r="BB3609" s="117"/>
      <c r="BC3609" s="117"/>
      <c r="BD3609" s="117"/>
    </row>
    <row r="3610" spans="1:56" ht="15">
      <c r="A3610" s="114"/>
      <c r="B3610" s="692" t="s">
        <v>352</v>
      </c>
      <c r="C3610" s="280">
        <v>247</v>
      </c>
      <c r="D3610" s="286" t="s">
        <v>12</v>
      </c>
      <c r="E3610" s="1199" t="s">
        <v>2159</v>
      </c>
      <c r="F3610" s="1200"/>
      <c r="G3610" s="196"/>
      <c r="H3610" s="196"/>
      <c r="I3610" s="196"/>
      <c r="J3610" s="114"/>
      <c r="BA3610" s="117"/>
      <c r="BB3610" s="117"/>
      <c r="BC3610" s="117"/>
      <c r="BD3610" s="117"/>
    </row>
    <row r="3611" spans="1:56">
      <c r="A3611" s="114"/>
      <c r="B3611" s="690"/>
      <c r="C3611" s="115"/>
      <c r="D3611" s="115"/>
      <c r="E3611" s="115"/>
      <c r="F3611" s="182"/>
      <c r="G3611" s="115"/>
      <c r="H3611" s="115"/>
      <c r="I3611" s="386"/>
      <c r="J3611" s="114"/>
      <c r="BA3611" s="117"/>
      <c r="BB3611" s="117"/>
      <c r="BC3611" s="117"/>
      <c r="BD3611" s="117"/>
    </row>
    <row r="3612" spans="1:56" ht="15">
      <c r="A3612" s="114"/>
      <c r="B3612" s="691" t="s">
        <v>2160</v>
      </c>
      <c r="C3612" s="196"/>
      <c r="D3612" s="196"/>
      <c r="E3612" s="196"/>
      <c r="F3612" s="284"/>
      <c r="G3612" s="196"/>
      <c r="H3612" s="196"/>
      <c r="I3612" s="196"/>
      <c r="J3612" s="114"/>
      <c r="BA3612" s="117"/>
      <c r="BB3612" s="117"/>
      <c r="BC3612" s="117"/>
      <c r="BD3612" s="117"/>
    </row>
    <row r="3613" spans="1:56" ht="15">
      <c r="A3613" s="114"/>
      <c r="B3613" s="730" t="s">
        <v>352</v>
      </c>
      <c r="C3613" s="359">
        <v>43056</v>
      </c>
      <c r="D3613" s="286" t="s">
        <v>12</v>
      </c>
      <c r="E3613" s="1199" t="s">
        <v>2161</v>
      </c>
      <c r="F3613" s="1200"/>
      <c r="G3613" s="196"/>
      <c r="H3613" s="196"/>
      <c r="I3613" s="196"/>
      <c r="J3613" s="114"/>
      <c r="BA3613" s="117"/>
      <c r="BB3613" s="117"/>
      <c r="BC3613" s="117"/>
      <c r="BD3613" s="117"/>
    </row>
    <row r="3614" spans="1:56" ht="15">
      <c r="A3614" s="114"/>
      <c r="B3614" s="732"/>
      <c r="C3614" s="359">
        <v>118</v>
      </c>
      <c r="D3614" s="286" t="s">
        <v>12</v>
      </c>
      <c r="E3614" s="1305" t="s">
        <v>2162</v>
      </c>
      <c r="F3614" s="1306"/>
      <c r="G3614" s="196"/>
      <c r="H3614" s="196"/>
      <c r="I3614" s="196"/>
      <c r="J3614" s="114"/>
      <c r="BA3614" s="117"/>
      <c r="BB3614" s="117"/>
      <c r="BC3614" s="117"/>
      <c r="BD3614" s="117"/>
    </row>
    <row r="3615" spans="1:56">
      <c r="A3615" s="114"/>
      <c r="B3615" s="690"/>
      <c r="C3615" s="115"/>
      <c r="D3615" s="115"/>
      <c r="E3615" s="115"/>
      <c r="F3615" s="182"/>
      <c r="G3615" s="115"/>
      <c r="H3615" s="115"/>
      <c r="I3615" s="386"/>
      <c r="J3615" s="114"/>
      <c r="BA3615" s="117"/>
      <c r="BB3615" s="117"/>
      <c r="BC3615" s="117"/>
      <c r="BD3615" s="117"/>
    </row>
    <row r="3616" spans="1:56" ht="15">
      <c r="A3616" s="114"/>
      <c r="B3616" s="691" t="s">
        <v>351</v>
      </c>
      <c r="C3616" s="211"/>
      <c r="D3616" s="196"/>
      <c r="E3616" s="288"/>
      <c r="F3616" s="284"/>
      <c r="G3616" s="196"/>
      <c r="H3616" s="196"/>
      <c r="I3616" s="196"/>
      <c r="J3616" s="114"/>
      <c r="BA3616" s="117"/>
      <c r="BB3616" s="117"/>
      <c r="BC3616" s="117"/>
      <c r="BD3616" s="117"/>
    </row>
    <row r="3617" spans="1:56">
      <c r="A3617" s="114"/>
      <c r="B3617" s="692" t="s">
        <v>352</v>
      </c>
      <c r="C3617" s="812"/>
      <c r="D3617" s="813"/>
      <c r="E3617" s="843">
        <f>C3602+C3606+C3610+C3613+C3614</f>
        <v>45996</v>
      </c>
      <c r="F3617" s="815" t="s">
        <v>12</v>
      </c>
      <c r="G3617" s="115"/>
      <c r="H3617" s="871"/>
      <c r="I3617" s="3"/>
      <c r="J3617" s="114"/>
      <c r="BA3617" s="117"/>
      <c r="BB3617" s="117"/>
      <c r="BC3617" s="117"/>
      <c r="BD3617" s="117"/>
    </row>
    <row r="3618" spans="1:56" ht="16.5" thickBot="1">
      <c r="A3618" s="114"/>
      <c r="B3618" s="784" t="s">
        <v>353</v>
      </c>
      <c r="C3618" s="829"/>
      <c r="D3618" s="830"/>
      <c r="E3618" s="869">
        <f>C3603+C3607</f>
        <v>101</v>
      </c>
      <c r="F3618" s="831" t="s">
        <v>12</v>
      </c>
      <c r="G3618" s="115"/>
      <c r="H3618" s="871"/>
      <c r="I3618" s="3"/>
      <c r="J3618" s="114"/>
      <c r="BA3618" s="117"/>
      <c r="BB3618" s="117"/>
      <c r="BC3618" s="117"/>
      <c r="BD3618" s="117"/>
    </row>
    <row r="3619" spans="1:56" customFormat="1" ht="12.75"/>
    <row r="3620" spans="1:56" customFormat="1" ht="12.75"/>
    <row r="3621" spans="1:56" s="800" customFormat="1" ht="16.5" customHeight="1">
      <c r="A3621"/>
      <c r="B3621" s="1180" t="s">
        <v>2306</v>
      </c>
      <c r="C3621" s="1180"/>
      <c r="D3621" s="1180"/>
      <c r="E3621" s="1180"/>
      <c r="F3621" s="1180"/>
      <c r="G3621" s="1180"/>
      <c r="H3621" s="1180"/>
      <c r="I3621" s="1180"/>
      <c r="J3621" s="1180"/>
      <c r="K3621" s="848"/>
    </row>
    <row r="3622" spans="1:56" s="800" customFormat="1" ht="12.75">
      <c r="A3622"/>
      <c r="B3622" s="1"/>
      <c r="C3622" s="1"/>
      <c r="D3622" s="1"/>
      <c r="E3622" s="1"/>
      <c r="F3622" s="1"/>
      <c r="G3622" s="1"/>
      <c r="H3622" s="3"/>
      <c r="I3622" s="3"/>
      <c r="J3622" s="3"/>
      <c r="K3622" s="848"/>
    </row>
    <row r="3623" spans="1:56" s="848" customFormat="1" ht="12.75">
      <c r="A3623"/>
      <c r="B3623" s="1"/>
      <c r="C3623" s="1"/>
      <c r="D3623" s="1"/>
      <c r="E3623" s="1"/>
      <c r="F3623" s="1"/>
      <c r="G3623" s="3"/>
      <c r="H3623" s="3"/>
      <c r="I3623" s="3"/>
      <c r="J3623" s="4"/>
    </row>
    <row r="3624" spans="1:56" s="848" customFormat="1" ht="12.75">
      <c r="A3624"/>
      <c r="B3624" s="1"/>
      <c r="C3624" s="1"/>
      <c r="D3624" s="1"/>
      <c r="E3624" s="1"/>
      <c r="F3624" s="1"/>
      <c r="G3624" s="3"/>
      <c r="H3624" s="3"/>
      <c r="I3624" s="3"/>
      <c r="J3624" s="4"/>
    </row>
    <row r="3625" spans="1:56" s="800" customFormat="1" ht="14.25">
      <c r="A3625"/>
      <c r="B3625" s="849" t="s">
        <v>2043</v>
      </c>
      <c r="C3625" s="850" t="s">
        <v>61</v>
      </c>
      <c r="D3625" s="850" t="s">
        <v>66</v>
      </c>
      <c r="E3625" s="850" t="s">
        <v>2044</v>
      </c>
      <c r="F3625" s="850" t="s">
        <v>2045</v>
      </c>
      <c r="G3625" s="851" t="s">
        <v>99</v>
      </c>
      <c r="H3625" s="851" t="s">
        <v>68</v>
      </c>
      <c r="I3625" s="851" t="s">
        <v>305</v>
      </c>
      <c r="J3625" s="848"/>
    </row>
    <row r="3626" spans="1:56" s="800" customFormat="1" ht="12.75">
      <c r="A3626"/>
      <c r="B3626" s="852" t="s">
        <v>2047</v>
      </c>
      <c r="C3626" s="853">
        <v>1</v>
      </c>
      <c r="D3626" s="175">
        <v>0.4</v>
      </c>
      <c r="E3626" s="175">
        <v>11.1</v>
      </c>
      <c r="F3626" s="854">
        <v>11.25</v>
      </c>
      <c r="G3626" s="855">
        <f>C3626*D3626*E3626*F3626</f>
        <v>49.95</v>
      </c>
      <c r="H3626" s="855"/>
      <c r="I3626" s="856">
        <f>E3626*F3626*0.05</f>
        <v>6.2437500000000004</v>
      </c>
      <c r="J3626" s="848"/>
    </row>
    <row r="3627" spans="1:56" s="800" customFormat="1" ht="12.75">
      <c r="A3627"/>
      <c r="B3627" s="852" t="s">
        <v>2114</v>
      </c>
      <c r="C3627" s="853">
        <v>1</v>
      </c>
      <c r="D3627" s="175">
        <v>0.4</v>
      </c>
      <c r="E3627" s="175">
        <v>3.4</v>
      </c>
      <c r="F3627" s="854">
        <v>11.25</v>
      </c>
      <c r="G3627" s="855">
        <f>C3627*D3627*E3627*F3627</f>
        <v>15.3</v>
      </c>
      <c r="H3627" s="855"/>
      <c r="I3627" s="856">
        <f>E3627*F3627*0.05</f>
        <v>1.9125000000000001</v>
      </c>
      <c r="J3627" s="848"/>
    </row>
    <row r="3628" spans="1:56" s="800" customFormat="1" ht="12.75">
      <c r="A3628"/>
      <c r="B3628" s="852" t="s">
        <v>2115</v>
      </c>
      <c r="C3628" s="853"/>
      <c r="D3628" s="175"/>
      <c r="E3628" s="175"/>
      <c r="F3628" s="854"/>
      <c r="G3628" s="475"/>
      <c r="H3628" s="475"/>
      <c r="I3628" s="857">
        <v>14.6</v>
      </c>
      <c r="J3628" s="848"/>
    </row>
    <row r="3629" spans="1:56" s="800" customFormat="1" ht="12.75">
      <c r="A3629"/>
      <c r="B3629" s="852" t="s">
        <v>87</v>
      </c>
      <c r="C3629" s="853">
        <v>1</v>
      </c>
      <c r="D3629" s="175">
        <v>0.2</v>
      </c>
      <c r="E3629" s="175">
        <v>3.05</v>
      </c>
      <c r="F3629" s="854">
        <v>5</v>
      </c>
      <c r="G3629" s="855">
        <f t="shared" ref="G3629:G3636" si="364">C3629*D3629*E3629*F3629</f>
        <v>3.05</v>
      </c>
      <c r="H3629" s="855">
        <f t="shared" ref="H3629:H3636" si="365">C3629*E3629*F3629</f>
        <v>15.25</v>
      </c>
      <c r="I3629" s="856"/>
      <c r="J3629" s="848"/>
    </row>
    <row r="3630" spans="1:56" s="800" customFormat="1" ht="12.75">
      <c r="A3630"/>
      <c r="B3630" s="852" t="s">
        <v>88</v>
      </c>
      <c r="C3630" s="853">
        <v>1</v>
      </c>
      <c r="D3630" s="175">
        <v>0.2</v>
      </c>
      <c r="E3630" s="175">
        <v>3</v>
      </c>
      <c r="F3630" s="854">
        <v>5</v>
      </c>
      <c r="G3630" s="855">
        <f t="shared" si="364"/>
        <v>3.0000000000000004</v>
      </c>
      <c r="H3630" s="855">
        <f t="shared" si="365"/>
        <v>15</v>
      </c>
      <c r="I3630" s="856"/>
      <c r="J3630" s="848"/>
    </row>
    <row r="3631" spans="1:56" s="800" customFormat="1" ht="12.75">
      <c r="A3631"/>
      <c r="B3631" s="852" t="s">
        <v>131</v>
      </c>
      <c r="C3631" s="853">
        <v>1</v>
      </c>
      <c r="D3631" s="175">
        <v>0.2</v>
      </c>
      <c r="E3631" s="175">
        <v>3</v>
      </c>
      <c r="F3631" s="854">
        <v>5</v>
      </c>
      <c r="G3631" s="855">
        <f t="shared" si="364"/>
        <v>3.0000000000000004</v>
      </c>
      <c r="H3631" s="855">
        <f t="shared" si="365"/>
        <v>15</v>
      </c>
      <c r="I3631" s="856"/>
      <c r="J3631" s="848"/>
    </row>
    <row r="3632" spans="1:56" s="800" customFormat="1" ht="12.75">
      <c r="A3632"/>
      <c r="B3632" s="852" t="s">
        <v>132</v>
      </c>
      <c r="C3632" s="853">
        <v>1</v>
      </c>
      <c r="D3632" s="175">
        <v>0.2</v>
      </c>
      <c r="E3632" s="175">
        <v>3.05</v>
      </c>
      <c r="F3632" s="854">
        <v>5</v>
      </c>
      <c r="G3632" s="855">
        <f t="shared" si="364"/>
        <v>3.05</v>
      </c>
      <c r="H3632" s="855">
        <f t="shared" si="365"/>
        <v>15.25</v>
      </c>
      <c r="I3632" s="856"/>
      <c r="J3632" s="848"/>
    </row>
    <row r="3633" spans="1:11" s="800" customFormat="1" ht="12.75">
      <c r="A3633"/>
      <c r="B3633" s="852" t="s">
        <v>133</v>
      </c>
      <c r="C3633" s="853">
        <v>1</v>
      </c>
      <c r="D3633" s="175">
        <v>0.2</v>
      </c>
      <c r="E3633" s="175">
        <v>3.05</v>
      </c>
      <c r="F3633" s="854">
        <v>5</v>
      </c>
      <c r="G3633" s="855">
        <f t="shared" si="364"/>
        <v>3.05</v>
      </c>
      <c r="H3633" s="855">
        <f t="shared" si="365"/>
        <v>15.25</v>
      </c>
      <c r="I3633" s="856"/>
      <c r="J3633" s="848"/>
    </row>
    <row r="3634" spans="1:11" s="800" customFormat="1" ht="12.75">
      <c r="A3634"/>
      <c r="B3634" s="852" t="s">
        <v>134</v>
      </c>
      <c r="C3634" s="853">
        <v>1</v>
      </c>
      <c r="D3634" s="175">
        <v>0.2</v>
      </c>
      <c r="E3634" s="175">
        <v>3</v>
      </c>
      <c r="F3634" s="854">
        <v>5</v>
      </c>
      <c r="G3634" s="855">
        <f t="shared" si="364"/>
        <v>3.0000000000000004</v>
      </c>
      <c r="H3634" s="855">
        <f t="shared" si="365"/>
        <v>15</v>
      </c>
      <c r="I3634" s="856"/>
      <c r="J3634" s="848"/>
    </row>
    <row r="3635" spans="1:11" s="800" customFormat="1" ht="12.75">
      <c r="A3635"/>
      <c r="B3635" s="852" t="s">
        <v>2116</v>
      </c>
      <c r="C3635" s="853">
        <v>1</v>
      </c>
      <c r="D3635" s="175">
        <v>0.2</v>
      </c>
      <c r="E3635" s="175">
        <v>3</v>
      </c>
      <c r="F3635" s="854">
        <v>5</v>
      </c>
      <c r="G3635" s="855">
        <f t="shared" si="364"/>
        <v>3.0000000000000004</v>
      </c>
      <c r="H3635" s="855">
        <f t="shared" si="365"/>
        <v>15</v>
      </c>
      <c r="I3635" s="856"/>
      <c r="J3635" s="848"/>
    </row>
    <row r="3636" spans="1:11" s="800" customFormat="1" ht="12.75">
      <c r="A3636"/>
      <c r="B3636" s="852" t="s">
        <v>2117</v>
      </c>
      <c r="C3636" s="853">
        <v>1</v>
      </c>
      <c r="D3636" s="175">
        <v>0.2</v>
      </c>
      <c r="E3636" s="175">
        <v>3.05</v>
      </c>
      <c r="F3636" s="854">
        <v>5</v>
      </c>
      <c r="G3636" s="855">
        <f t="shared" si="364"/>
        <v>3.05</v>
      </c>
      <c r="H3636" s="855">
        <f t="shared" si="365"/>
        <v>15.25</v>
      </c>
      <c r="I3636" s="856"/>
      <c r="J3636" s="848"/>
    </row>
    <row r="3637" spans="1:11" s="800" customFormat="1" ht="12.75">
      <c r="A3637"/>
      <c r="J3637" s="848"/>
    </row>
    <row r="3638" spans="1:11" s="800" customFormat="1" ht="12.75">
      <c r="A3638"/>
      <c r="B3638" s="300"/>
      <c r="C3638" s="235"/>
      <c r="D3638" s="138"/>
      <c r="E3638" s="138"/>
      <c r="F3638" s="138"/>
      <c r="G3638" s="858"/>
      <c r="H3638" s="859"/>
      <c r="I3638" s="6"/>
      <c r="J3638"/>
      <c r="K3638" s="848"/>
    </row>
    <row r="3639" spans="1:11" s="800" customFormat="1" ht="14.25">
      <c r="A3639"/>
      <c r="B3639" s="849" t="s">
        <v>160</v>
      </c>
      <c r="C3639" s="850" t="s">
        <v>61</v>
      </c>
      <c r="D3639" s="850" t="s">
        <v>82</v>
      </c>
      <c r="E3639" s="850" t="s">
        <v>66</v>
      </c>
      <c r="F3639" s="850" t="s">
        <v>62</v>
      </c>
      <c r="G3639" s="851" t="s">
        <v>99</v>
      </c>
      <c r="H3639" s="851" t="s">
        <v>68</v>
      </c>
      <c r="I3639" s="870"/>
      <c r="J3639"/>
    </row>
    <row r="3640" spans="1:11" s="800" customFormat="1" ht="12.75">
      <c r="A3640"/>
      <c r="B3640" s="852" t="s">
        <v>161</v>
      </c>
      <c r="C3640" s="853">
        <v>1</v>
      </c>
      <c r="D3640" s="861">
        <v>0.25</v>
      </c>
      <c r="E3640" s="175">
        <v>3.9</v>
      </c>
      <c r="F3640" s="175">
        <v>10.85</v>
      </c>
      <c r="G3640" s="855">
        <f>D3640*E3640*F3640*C3640</f>
        <v>10.578749999999999</v>
      </c>
      <c r="H3640" s="855">
        <f>C3640*2*E3640*F3640</f>
        <v>84.63</v>
      </c>
      <c r="I3640" s="138"/>
      <c r="J3640"/>
    </row>
    <row r="3641" spans="1:11" s="800" customFormat="1" ht="12.75">
      <c r="A3641"/>
      <c r="B3641" s="852"/>
      <c r="C3641" s="853">
        <v>1</v>
      </c>
      <c r="D3641" s="861">
        <v>0.25</v>
      </c>
      <c r="E3641" s="175">
        <v>4.7</v>
      </c>
      <c r="F3641" s="175">
        <v>2.65</v>
      </c>
      <c r="G3641" s="855">
        <f t="shared" ref="G3641:G3647" si="366">D3641*E3641*F3641*C3641</f>
        <v>3.11375</v>
      </c>
      <c r="H3641" s="855">
        <f t="shared" ref="H3641:H3647" si="367">C3641*2*E3641*F3641</f>
        <v>24.91</v>
      </c>
      <c r="I3641" s="138"/>
      <c r="J3641"/>
    </row>
    <row r="3642" spans="1:11" s="800" customFormat="1" ht="12.75">
      <c r="A3642"/>
      <c r="B3642" s="852" t="s">
        <v>162</v>
      </c>
      <c r="C3642" s="853">
        <v>1</v>
      </c>
      <c r="D3642" s="861">
        <v>0.25</v>
      </c>
      <c r="E3642" s="175">
        <v>3.9</v>
      </c>
      <c r="F3642" s="175">
        <v>10.6</v>
      </c>
      <c r="G3642" s="855">
        <f t="shared" si="366"/>
        <v>10.334999999999999</v>
      </c>
      <c r="H3642" s="855">
        <f t="shared" si="367"/>
        <v>82.679999999999993</v>
      </c>
      <c r="I3642" s="138"/>
      <c r="J3642"/>
    </row>
    <row r="3643" spans="1:11" s="800" customFormat="1" ht="12.75">
      <c r="A3643"/>
      <c r="B3643" s="852"/>
      <c r="C3643" s="853">
        <v>1</v>
      </c>
      <c r="D3643" s="861">
        <v>0.25</v>
      </c>
      <c r="E3643" s="175">
        <v>4.7</v>
      </c>
      <c r="F3643" s="175">
        <v>2.4</v>
      </c>
      <c r="G3643" s="855">
        <f>D3643*E3643*F3643*C3643</f>
        <v>2.82</v>
      </c>
      <c r="H3643" s="855">
        <f>C3643*2*E3643*F3643</f>
        <v>22.56</v>
      </c>
      <c r="I3643" s="138"/>
      <c r="J3643"/>
    </row>
    <row r="3644" spans="1:11" s="800" customFormat="1" ht="12.75">
      <c r="A3644"/>
      <c r="B3644" s="852" t="s">
        <v>163</v>
      </c>
      <c r="C3644" s="853">
        <v>1</v>
      </c>
      <c r="D3644" s="861">
        <v>0.25</v>
      </c>
      <c r="E3644" s="175">
        <v>3.9</v>
      </c>
      <c r="F3644" s="175">
        <v>10.85</v>
      </c>
      <c r="G3644" s="855">
        <f>D3644*E3644*F3644*C3644</f>
        <v>10.578749999999999</v>
      </c>
      <c r="H3644" s="855">
        <f>C3644*2*E3644*F3644</f>
        <v>84.63</v>
      </c>
      <c r="I3644" s="138"/>
      <c r="J3644"/>
    </row>
    <row r="3645" spans="1:11" s="800" customFormat="1" ht="12.75">
      <c r="A3645"/>
      <c r="B3645" s="852"/>
      <c r="C3645" s="853">
        <v>1</v>
      </c>
      <c r="D3645" s="861">
        <v>0.25</v>
      </c>
      <c r="E3645" s="175">
        <v>4.7</v>
      </c>
      <c r="F3645" s="175">
        <v>2.65</v>
      </c>
      <c r="G3645" s="855">
        <f>D3645*E3645*F3645*C3645</f>
        <v>3.11375</v>
      </c>
      <c r="H3645" s="855">
        <f>C3645*2*E3645*F3645</f>
        <v>24.91</v>
      </c>
      <c r="I3645" s="138"/>
      <c r="J3645"/>
    </row>
    <row r="3646" spans="1:11" s="800" customFormat="1" ht="12.75">
      <c r="A3646"/>
      <c r="B3646" s="852" t="s">
        <v>164</v>
      </c>
      <c r="C3646" s="853">
        <v>1</v>
      </c>
      <c r="D3646" s="861">
        <v>0.25</v>
      </c>
      <c r="E3646" s="175">
        <v>3.9</v>
      </c>
      <c r="F3646" s="175">
        <v>10.25</v>
      </c>
      <c r="G3646" s="855">
        <f>D3646*E3646*F3646*C3646</f>
        <v>9.9937500000000004</v>
      </c>
      <c r="H3646" s="855">
        <f>C3646*2*E3646*F3646</f>
        <v>79.95</v>
      </c>
      <c r="I3646" s="138"/>
      <c r="J3646"/>
    </row>
    <row r="3647" spans="1:11" s="800" customFormat="1" ht="12.75">
      <c r="A3647"/>
      <c r="B3647" s="852" t="s">
        <v>165</v>
      </c>
      <c r="C3647" s="853">
        <v>1</v>
      </c>
      <c r="D3647" s="861">
        <v>0.25</v>
      </c>
      <c r="E3647" s="175">
        <v>4.7</v>
      </c>
      <c r="F3647" s="175">
        <v>10.25</v>
      </c>
      <c r="G3647" s="855">
        <f t="shared" si="366"/>
        <v>12.043750000000001</v>
      </c>
      <c r="H3647" s="855">
        <f t="shared" si="367"/>
        <v>96.350000000000009</v>
      </c>
      <c r="I3647" s="138"/>
      <c r="J3647"/>
    </row>
    <row r="3648" spans="1:11" s="800" customFormat="1" ht="12.75">
      <c r="A3648"/>
      <c r="B3648" s="300"/>
      <c r="C3648" s="235"/>
      <c r="D3648" s="862"/>
      <c r="E3648" s="138"/>
      <c r="F3648" s="138"/>
      <c r="G3648" s="138"/>
      <c r="H3648" s="138"/>
      <c r="I3648" s="138"/>
      <c r="J3648"/>
    </row>
    <row r="3649" spans="1:56" s="800" customFormat="1" ht="14.25">
      <c r="A3649"/>
      <c r="B3649" s="849" t="s">
        <v>97</v>
      </c>
      <c r="C3649" s="850" t="s">
        <v>61</v>
      </c>
      <c r="D3649" s="850" t="s">
        <v>82</v>
      </c>
      <c r="E3649" s="850" t="s">
        <v>66</v>
      </c>
      <c r="F3649" s="850" t="s">
        <v>62</v>
      </c>
      <c r="G3649" s="851" t="s">
        <v>99</v>
      </c>
      <c r="H3649" s="851" t="s">
        <v>68</v>
      </c>
      <c r="I3649" s="138"/>
      <c r="J3649"/>
    </row>
    <row r="3650" spans="1:56" s="800" customFormat="1" ht="12.75">
      <c r="A3650"/>
      <c r="B3650" s="852" t="s">
        <v>84</v>
      </c>
      <c r="C3650" s="853">
        <v>1</v>
      </c>
      <c r="D3650" s="861">
        <v>0.25</v>
      </c>
      <c r="E3650" s="175">
        <v>0.4</v>
      </c>
      <c r="F3650" s="175">
        <v>10.25</v>
      </c>
      <c r="G3650" s="855">
        <f>D3650*E3650*F3650*C3650</f>
        <v>1.0250000000000001</v>
      </c>
      <c r="H3650" s="855">
        <f>((E3650*2)+D3650)*F3650*C3650</f>
        <v>10.762500000000001</v>
      </c>
      <c r="I3650" s="138"/>
      <c r="J3650"/>
    </row>
    <row r="3651" spans="1:56" s="800" customFormat="1" ht="12.75">
      <c r="A3651"/>
      <c r="B3651" s="852" t="s">
        <v>184</v>
      </c>
      <c r="C3651" s="853">
        <v>1</v>
      </c>
      <c r="D3651" s="861">
        <v>0.3</v>
      </c>
      <c r="E3651" s="175">
        <v>0.6</v>
      </c>
      <c r="F3651" s="175">
        <v>10</v>
      </c>
      <c r="G3651" s="855">
        <f>D3651*E3651*F3651*C3651</f>
        <v>1.7999999999999998</v>
      </c>
      <c r="H3651" s="855">
        <f>((E3651*2)+D3651)*F3651*C3651</f>
        <v>15</v>
      </c>
      <c r="I3651" s="138"/>
      <c r="J3651"/>
    </row>
    <row r="3652" spans="1:56" s="800" customFormat="1" ht="12.75">
      <c r="A3652"/>
      <c r="B3652" s="852" t="s">
        <v>156</v>
      </c>
      <c r="C3652" s="853">
        <v>1</v>
      </c>
      <c r="D3652" s="861">
        <v>0.3</v>
      </c>
      <c r="E3652" s="175">
        <v>0.6</v>
      </c>
      <c r="F3652" s="175">
        <v>10</v>
      </c>
      <c r="G3652" s="855">
        <f>D3652*E3652*F3652*C3652</f>
        <v>1.7999999999999998</v>
      </c>
      <c r="H3652" s="855">
        <f>((E3652*2)+D3652)*F3652*C3652</f>
        <v>15</v>
      </c>
      <c r="I3652" s="138"/>
      <c r="J3652"/>
    </row>
    <row r="3653" spans="1:56" s="800" customFormat="1" ht="12.75">
      <c r="A3653"/>
      <c r="B3653" s="852" t="s">
        <v>136</v>
      </c>
      <c r="C3653" s="853">
        <v>1</v>
      </c>
      <c r="D3653" s="861">
        <v>0.3</v>
      </c>
      <c r="E3653" s="175">
        <v>0.6</v>
      </c>
      <c r="F3653" s="175">
        <v>10</v>
      </c>
      <c r="G3653" s="855">
        <f>D3653*E3653*F3653*C3653</f>
        <v>1.7999999999999998</v>
      </c>
      <c r="H3653" s="855">
        <f>((E3653*2)+D3653)*F3653*C3653</f>
        <v>15</v>
      </c>
      <c r="I3653" s="138"/>
      <c r="J3653"/>
    </row>
    <row r="3654" spans="1:56" s="848" customFormat="1" ht="12.75">
      <c r="A3654"/>
      <c r="B3654" s="300"/>
      <c r="C3654" s="235"/>
      <c r="D3654" s="862"/>
      <c r="E3654" s="138"/>
      <c r="F3654" s="138"/>
      <c r="G3654" s="138"/>
      <c r="H3654" s="138"/>
      <c r="I3654" s="138"/>
      <c r="J3654" s="870"/>
    </row>
    <row r="3655" spans="1:56" s="848" customFormat="1" ht="12.75">
      <c r="A3655"/>
      <c r="B3655" s="300"/>
      <c r="C3655" s="235"/>
      <c r="D3655" s="138"/>
      <c r="E3655" s="138"/>
      <c r="F3655" s="138"/>
      <c r="G3655" s="858"/>
      <c r="H3655" s="859"/>
      <c r="I3655" s="6"/>
      <c r="J3655"/>
    </row>
    <row r="3656" spans="1:56" s="848" customFormat="1" ht="13.5" thickBot="1">
      <c r="A3656"/>
      <c r="B3656" s="300"/>
      <c r="C3656" s="235"/>
      <c r="D3656" s="138"/>
      <c r="E3656" s="138"/>
      <c r="F3656" s="138"/>
      <c r="G3656" s="858"/>
      <c r="H3656" s="859"/>
      <c r="I3656" s="6"/>
      <c r="J3656"/>
    </row>
    <row r="3657" spans="1:56" s="848" customFormat="1" ht="16.5" thickBot="1">
      <c r="A3657"/>
      <c r="B3657" s="1280" t="s">
        <v>98</v>
      </c>
      <c r="C3657" s="1281"/>
      <c r="D3657" s="1281"/>
      <c r="E3657" s="1281"/>
      <c r="F3657" s="1282"/>
      <c r="G3657"/>
      <c r="H3657"/>
      <c r="I3657"/>
      <c r="J3657"/>
    </row>
    <row r="3658" spans="1:56" s="848" customFormat="1" ht="12.75">
      <c r="A3658"/>
      <c r="B3658" s="40"/>
      <c r="C3658" s="795"/>
      <c r="D3658" s="795"/>
      <c r="E3658" s="795"/>
      <c r="F3658" s="424"/>
      <c r="G3658"/>
      <c r="H3658"/>
      <c r="I3658" s="863"/>
      <c r="J3658"/>
    </row>
    <row r="3659" spans="1:56" s="848" customFormat="1">
      <c r="A3659"/>
      <c r="B3659" s="703" t="s">
        <v>1129</v>
      </c>
      <c r="C3659" s="172"/>
      <c r="D3659" s="173"/>
      <c r="E3659" s="864">
        <f>SUM(H3626:H3636)+SUM(H3640:H3647)+SUM(H3650:H3653)</f>
        <v>677.38250000000005</v>
      </c>
      <c r="F3659" s="139" t="s">
        <v>13</v>
      </c>
      <c r="G3659"/>
      <c r="H3659"/>
      <c r="I3659"/>
      <c r="J3659"/>
    </row>
    <row r="3660" spans="1:56" s="848" customFormat="1" ht="18">
      <c r="A3660"/>
      <c r="B3660" s="718" t="s">
        <v>1130</v>
      </c>
      <c r="C3660" s="289"/>
      <c r="D3660" s="290"/>
      <c r="E3660" s="1046">
        <f>SUM(G3626:G3636)+SUM(G3640:G3647)+SUM(G3650:G3653)</f>
        <v>158.45249999999999</v>
      </c>
      <c r="F3660" s="700" t="s">
        <v>1124</v>
      </c>
      <c r="G3660"/>
      <c r="H3660"/>
      <c r="I3660"/>
      <c r="J3660"/>
    </row>
    <row r="3661" spans="1:56" s="848" customFormat="1" ht="18">
      <c r="A3661"/>
      <c r="B3661" s="718" t="s">
        <v>1558</v>
      </c>
      <c r="C3661" s="289"/>
      <c r="D3661" s="289"/>
      <c r="E3661" s="1047">
        <f>SUM(I3626:I3628)</f>
        <v>22.756250000000001</v>
      </c>
      <c r="F3661" s="700" t="s">
        <v>1124</v>
      </c>
      <c r="G3661"/>
      <c r="H3661"/>
      <c r="I3661"/>
      <c r="J3661"/>
    </row>
    <row r="3662" spans="1:56" s="848" customFormat="1" ht="16.5" thickBot="1">
      <c r="A3662"/>
      <c r="B3662" s="720"/>
      <c r="C3662" s="174"/>
      <c r="D3662" s="174"/>
      <c r="E3662" s="866"/>
      <c r="F3662" s="440"/>
      <c r="G3662"/>
      <c r="H3662"/>
      <c r="I3662"/>
      <c r="J3662"/>
    </row>
    <row r="3663" spans="1:56" s="848" customFormat="1" ht="12.75">
      <c r="A3663"/>
      <c r="B3663" s="1"/>
      <c r="C3663" s="1"/>
      <c r="D3663" s="1"/>
      <c r="E3663" s="1"/>
      <c r="F3663" s="1"/>
      <c r="G3663" s="1"/>
      <c r="H3663" s="3"/>
      <c r="I3663" s="3"/>
      <c r="J3663" s="3"/>
    </row>
    <row r="3664" spans="1:56" ht="16.5" thickBot="1">
      <c r="A3664" s="114"/>
      <c r="B3664" s="115"/>
      <c r="C3664" s="115"/>
      <c r="D3664" s="115"/>
      <c r="E3664" s="115"/>
      <c r="F3664" s="115"/>
      <c r="G3664" s="115"/>
      <c r="H3664" s="115"/>
      <c r="I3664" s="115"/>
      <c r="J3664" s="114"/>
      <c r="BA3664" s="117"/>
      <c r="BB3664" s="117"/>
      <c r="BC3664" s="117"/>
      <c r="BD3664" s="117"/>
    </row>
    <row r="3665" spans="1:56">
      <c r="A3665" s="114"/>
      <c r="B3665" s="1285" t="s">
        <v>320</v>
      </c>
      <c r="C3665" s="1286"/>
      <c r="D3665" s="1286"/>
      <c r="E3665" s="1286"/>
      <c r="F3665" s="1287"/>
      <c r="G3665" s="115"/>
      <c r="H3665" s="115"/>
      <c r="I3665" s="386"/>
      <c r="J3665" s="114"/>
      <c r="BA3665" s="117"/>
      <c r="BB3665" s="117"/>
      <c r="BC3665" s="117"/>
      <c r="BD3665" s="117"/>
    </row>
    <row r="3666" spans="1:56">
      <c r="A3666" s="114"/>
      <c r="B3666" s="690"/>
      <c r="C3666" s="115"/>
      <c r="D3666" s="115"/>
      <c r="E3666" s="115"/>
      <c r="F3666" s="182"/>
      <c r="G3666" s="115"/>
      <c r="H3666" s="115"/>
      <c r="I3666" s="386"/>
      <c r="J3666" s="114"/>
      <c r="BA3666" s="117"/>
      <c r="BB3666" s="117"/>
      <c r="BC3666" s="117"/>
      <c r="BD3666" s="117"/>
    </row>
    <row r="3667" spans="1:56" ht="15">
      <c r="A3667" s="114"/>
      <c r="B3667" s="691" t="s">
        <v>2118</v>
      </c>
      <c r="C3667" s="196"/>
      <c r="D3667" s="196"/>
      <c r="E3667" s="196"/>
      <c r="F3667" s="284"/>
      <c r="G3667" s="196"/>
      <c r="H3667" s="196"/>
      <c r="I3667" s="196"/>
      <c r="J3667" s="114"/>
      <c r="BA3667" s="117"/>
      <c r="BB3667" s="117"/>
      <c r="BC3667" s="117"/>
      <c r="BD3667" s="117"/>
    </row>
    <row r="3668" spans="1:56" ht="15">
      <c r="A3668" s="114"/>
      <c r="B3668" s="692" t="s">
        <v>352</v>
      </c>
      <c r="C3668" s="1007">
        <v>16779</v>
      </c>
      <c r="D3668" s="1043" t="s">
        <v>12</v>
      </c>
      <c r="E3668" s="1283" t="s">
        <v>2155</v>
      </c>
      <c r="F3668" s="1284"/>
      <c r="G3668" s="196"/>
      <c r="H3668" s="196"/>
      <c r="I3668" s="196"/>
      <c r="J3668" s="114"/>
      <c r="BA3668" s="117"/>
      <c r="BB3668" s="117"/>
      <c r="BC3668" s="117"/>
      <c r="BD3668" s="117"/>
    </row>
    <row r="3669" spans="1:56">
      <c r="A3669" s="114"/>
      <c r="B3669" s="690"/>
      <c r="C3669" s="115"/>
      <c r="D3669" s="115"/>
      <c r="E3669" s="115"/>
      <c r="F3669" s="182"/>
      <c r="G3669" s="115"/>
      <c r="H3669" s="115"/>
      <c r="I3669" s="386"/>
      <c r="J3669" s="114"/>
      <c r="BA3669" s="117"/>
      <c r="BB3669" s="117"/>
      <c r="BC3669" s="117"/>
      <c r="BD3669" s="117"/>
    </row>
    <row r="3670" spans="1:56" ht="15">
      <c r="A3670" s="114"/>
      <c r="B3670" s="691" t="s">
        <v>351</v>
      </c>
      <c r="C3670" s="211"/>
      <c r="D3670" s="196"/>
      <c r="E3670" s="288"/>
      <c r="F3670" s="284"/>
      <c r="G3670" s="196"/>
      <c r="H3670" s="196"/>
      <c r="I3670" s="196"/>
      <c r="J3670" s="114"/>
      <c r="BA3670" s="117"/>
      <c r="BB3670" s="117"/>
      <c r="BC3670" s="117"/>
      <c r="BD3670" s="117"/>
    </row>
    <row r="3671" spans="1:56" ht="16.5" thickBot="1">
      <c r="A3671" s="114"/>
      <c r="B3671" s="695" t="s">
        <v>352</v>
      </c>
      <c r="C3671" s="817"/>
      <c r="D3671" s="818"/>
      <c r="E3671" s="847">
        <f>C3668</f>
        <v>16779</v>
      </c>
      <c r="F3671" s="820" t="s">
        <v>12</v>
      </c>
      <c r="G3671" s="115"/>
      <c r="H3671" s="871"/>
      <c r="I3671" s="3"/>
      <c r="J3671" s="114"/>
      <c r="BA3671" s="117"/>
      <c r="BB3671" s="117"/>
      <c r="BC3671" s="117"/>
      <c r="BD3671" s="117"/>
    </row>
    <row r="3672" spans="1:56" customFormat="1" ht="12.75"/>
    <row r="3673" spans="1:56" s="894" customFormat="1" ht="12.75">
      <c r="A3673" s="795"/>
      <c r="B3673" s="57"/>
      <c r="C3673" s="387"/>
      <c r="D3673" s="387"/>
      <c r="E3673" s="387"/>
      <c r="F3673" s="387"/>
      <c r="G3673" s="387"/>
      <c r="H3673" s="386"/>
      <c r="I3673" s="386"/>
      <c r="J3673" s="386"/>
      <c r="K3673" s="848"/>
    </row>
    <row r="3674" spans="1:56" s="800" customFormat="1" ht="12.75">
      <c r="A3674"/>
      <c r="B3674" s="564"/>
      <c r="C3674" s="180"/>
      <c r="D3674" s="180"/>
      <c r="E3674" s="180"/>
      <c r="F3674" s="180"/>
      <c r="G3674" s="180"/>
      <c r="H3674" s="234"/>
      <c r="I3674" s="234"/>
      <c r="J3674" s="234"/>
      <c r="K3674" s="848"/>
    </row>
    <row r="3675" spans="1:56" s="800" customFormat="1" ht="18" customHeight="1">
      <c r="A3675"/>
      <c r="B3675" s="1180" t="s">
        <v>2307</v>
      </c>
      <c r="C3675" s="1180"/>
      <c r="D3675" s="1180"/>
      <c r="E3675" s="1180"/>
      <c r="F3675" s="1180"/>
      <c r="G3675" s="1180"/>
      <c r="H3675" s="1180"/>
      <c r="I3675" s="1180"/>
      <c r="J3675" s="1180"/>
      <c r="K3675" s="848"/>
    </row>
    <row r="3676" spans="1:56" s="800" customFormat="1" ht="12.75">
      <c r="A3676"/>
      <c r="B3676" s="1"/>
      <c r="C3676" s="1"/>
      <c r="D3676" s="1"/>
      <c r="E3676" s="1"/>
      <c r="F3676" s="1"/>
      <c r="G3676" s="1"/>
      <c r="H3676" s="3"/>
      <c r="I3676" s="3"/>
      <c r="J3676" s="3"/>
      <c r="K3676" s="848"/>
    </row>
    <row r="3677" spans="1:56" s="848" customFormat="1" ht="12.75">
      <c r="A3677"/>
      <c r="B3677" s="1"/>
      <c r="C3677" s="1"/>
      <c r="D3677" s="1"/>
      <c r="E3677" s="1"/>
      <c r="F3677" s="1"/>
      <c r="G3677" s="3"/>
      <c r="H3677" s="3"/>
      <c r="I3677" s="3"/>
      <c r="J3677" s="4"/>
    </row>
    <row r="3678" spans="1:56" s="800" customFormat="1" ht="14.25">
      <c r="A3678"/>
      <c r="B3678" s="849" t="s">
        <v>2043</v>
      </c>
      <c r="C3678" s="850" t="s">
        <v>61</v>
      </c>
      <c r="D3678" s="850" t="s">
        <v>66</v>
      </c>
      <c r="E3678" s="850" t="s">
        <v>2044</v>
      </c>
      <c r="F3678" s="850" t="s">
        <v>2045</v>
      </c>
      <c r="G3678" s="851" t="s">
        <v>99</v>
      </c>
      <c r="H3678" s="851" t="s">
        <v>68</v>
      </c>
      <c r="I3678" s="851" t="s">
        <v>2046</v>
      </c>
      <c r="J3678" s="848"/>
    </row>
    <row r="3679" spans="1:56" s="800" customFormat="1" ht="12.75">
      <c r="A3679"/>
      <c r="B3679" s="852" t="s">
        <v>2119</v>
      </c>
      <c r="C3679" s="853">
        <v>2</v>
      </c>
      <c r="D3679" s="175">
        <v>0.3</v>
      </c>
      <c r="E3679" s="175">
        <v>5.6</v>
      </c>
      <c r="F3679" s="854">
        <v>6.45</v>
      </c>
      <c r="G3679" s="855">
        <f>C3679*D3679*E3679*F3679</f>
        <v>21.672000000000001</v>
      </c>
      <c r="H3679" s="855">
        <f>2*(E3679+F3679)*C3679*D3679</f>
        <v>14.46</v>
      </c>
      <c r="I3679" s="857">
        <f>E3679*F3679*0.05</f>
        <v>1.806</v>
      </c>
      <c r="J3679" s="848"/>
    </row>
    <row r="3680" spans="1:56" s="800" customFormat="1" ht="12.75">
      <c r="A3680"/>
      <c r="B3680" s="300"/>
      <c r="C3680" s="235"/>
      <c r="D3680" s="138"/>
      <c r="E3680" s="138"/>
      <c r="F3680" s="894"/>
      <c r="G3680" s="138"/>
      <c r="H3680" s="138"/>
      <c r="I3680" s="6"/>
      <c r="J3680" s="848"/>
    </row>
    <row r="3681" spans="1:11" s="800" customFormat="1" ht="12.75">
      <c r="A3681"/>
      <c r="B3681" s="300"/>
      <c r="C3681" s="235"/>
      <c r="D3681" s="138"/>
      <c r="E3681" s="138"/>
      <c r="F3681" s="894"/>
      <c r="G3681" s="138"/>
      <c r="H3681" s="138"/>
      <c r="I3681" s="6"/>
      <c r="J3681" s="848"/>
    </row>
    <row r="3682" spans="1:11" s="800" customFormat="1" ht="12.75">
      <c r="A3682"/>
      <c r="B3682" s="300"/>
      <c r="C3682" s="235"/>
      <c r="D3682" s="138"/>
      <c r="E3682" s="138"/>
      <c r="F3682" s="138"/>
      <c r="G3682" s="858"/>
      <c r="H3682" s="859"/>
      <c r="I3682" s="6"/>
      <c r="J3682"/>
      <c r="K3682" s="848"/>
    </row>
    <row r="3683" spans="1:11" s="800" customFormat="1" ht="14.25">
      <c r="A3683"/>
      <c r="B3683" s="849" t="s">
        <v>160</v>
      </c>
      <c r="C3683" s="850" t="s">
        <v>61</v>
      </c>
      <c r="D3683" s="850" t="s">
        <v>82</v>
      </c>
      <c r="E3683" s="850" t="s">
        <v>66</v>
      </c>
      <c r="F3683" s="850" t="s">
        <v>62</v>
      </c>
      <c r="G3683" s="851" t="s">
        <v>99</v>
      </c>
      <c r="H3683" s="851" t="s">
        <v>68</v>
      </c>
      <c r="I3683" s="870"/>
      <c r="J3683"/>
    </row>
    <row r="3684" spans="1:11" s="800" customFormat="1" ht="12.75">
      <c r="A3684"/>
      <c r="B3684" s="852" t="s">
        <v>161</v>
      </c>
      <c r="C3684" s="853">
        <v>1</v>
      </c>
      <c r="D3684" s="861">
        <v>0.25</v>
      </c>
      <c r="E3684" s="175">
        <v>1</v>
      </c>
      <c r="F3684" s="175">
        <v>5.0999999999999996</v>
      </c>
      <c r="G3684" s="855">
        <f t="shared" ref="G3684:G3693" si="368">D3684*E3684*F3684*C3684</f>
        <v>1.2749999999999999</v>
      </c>
      <c r="H3684" s="855">
        <f>C3684*2*E3684*F3684</f>
        <v>10.199999999999999</v>
      </c>
      <c r="I3684" s="138"/>
      <c r="J3684"/>
    </row>
    <row r="3685" spans="1:11" s="800" customFormat="1" ht="12.75">
      <c r="A3685"/>
      <c r="B3685" s="852" t="s">
        <v>162</v>
      </c>
      <c r="C3685" s="853">
        <v>1</v>
      </c>
      <c r="D3685" s="861">
        <v>0.25</v>
      </c>
      <c r="E3685" s="175">
        <v>1</v>
      </c>
      <c r="F3685" s="175">
        <v>4.5999999999999996</v>
      </c>
      <c r="G3685" s="855">
        <f t="shared" si="368"/>
        <v>1.1499999999999999</v>
      </c>
      <c r="H3685" s="855">
        <f t="shared" ref="H3685:H3693" si="369">C3685*2*E3685*F3685</f>
        <v>9.1999999999999993</v>
      </c>
      <c r="I3685" s="138"/>
      <c r="J3685"/>
    </row>
    <row r="3686" spans="1:11" s="800" customFormat="1" ht="12.75">
      <c r="A3686"/>
      <c r="B3686" s="852" t="s">
        <v>163</v>
      </c>
      <c r="C3686" s="853">
        <v>1</v>
      </c>
      <c r="D3686" s="861">
        <v>0.25</v>
      </c>
      <c r="E3686" s="175">
        <v>1</v>
      </c>
      <c r="F3686" s="175">
        <v>5.0999999999999996</v>
      </c>
      <c r="G3686" s="855">
        <f t="shared" si="368"/>
        <v>1.2749999999999999</v>
      </c>
      <c r="H3686" s="855">
        <f t="shared" si="369"/>
        <v>10.199999999999999</v>
      </c>
      <c r="I3686" s="138"/>
      <c r="J3686"/>
    </row>
    <row r="3687" spans="1:11" s="800" customFormat="1" ht="12.75">
      <c r="A3687"/>
      <c r="B3687" s="852" t="s">
        <v>164</v>
      </c>
      <c r="C3687" s="853">
        <v>1</v>
      </c>
      <c r="D3687" s="861">
        <v>0.25</v>
      </c>
      <c r="E3687" s="175">
        <v>1</v>
      </c>
      <c r="F3687" s="175">
        <v>5.45</v>
      </c>
      <c r="G3687" s="855">
        <f t="shared" si="368"/>
        <v>1.3625</v>
      </c>
      <c r="H3687" s="855">
        <f t="shared" si="369"/>
        <v>10.9</v>
      </c>
      <c r="I3687" s="138"/>
      <c r="J3687"/>
    </row>
    <row r="3688" spans="1:11" s="800" customFormat="1" ht="12.75">
      <c r="A3688"/>
      <c r="B3688" s="852" t="s">
        <v>165</v>
      </c>
      <c r="C3688" s="853">
        <v>1</v>
      </c>
      <c r="D3688" s="861">
        <v>0.25</v>
      </c>
      <c r="E3688" s="175">
        <v>1</v>
      </c>
      <c r="F3688" s="175">
        <v>5.45</v>
      </c>
      <c r="G3688" s="855">
        <f t="shared" si="368"/>
        <v>1.3625</v>
      </c>
      <c r="H3688" s="855">
        <f t="shared" si="369"/>
        <v>10.9</v>
      </c>
      <c r="I3688" s="138"/>
      <c r="J3688"/>
    </row>
    <row r="3689" spans="1:11" s="800" customFormat="1" ht="12.75">
      <c r="A3689"/>
      <c r="B3689" s="852" t="s">
        <v>2093</v>
      </c>
      <c r="C3689" s="853">
        <v>1</v>
      </c>
      <c r="D3689" s="861">
        <v>0.25</v>
      </c>
      <c r="E3689" s="175">
        <v>1</v>
      </c>
      <c r="F3689" s="175">
        <v>5.0999999999999996</v>
      </c>
      <c r="G3689" s="855">
        <f t="shared" si="368"/>
        <v>1.2749999999999999</v>
      </c>
      <c r="H3689" s="855">
        <f t="shared" si="369"/>
        <v>10.199999999999999</v>
      </c>
      <c r="I3689" s="138"/>
      <c r="J3689"/>
    </row>
    <row r="3690" spans="1:11" s="800" customFormat="1" ht="12.75">
      <c r="A3690"/>
      <c r="B3690" s="852" t="s">
        <v>2094</v>
      </c>
      <c r="C3690" s="853">
        <v>1</v>
      </c>
      <c r="D3690" s="861">
        <v>0.25</v>
      </c>
      <c r="E3690" s="175">
        <v>1</v>
      </c>
      <c r="F3690" s="175">
        <v>4.5999999999999996</v>
      </c>
      <c r="G3690" s="855">
        <f t="shared" si="368"/>
        <v>1.1499999999999999</v>
      </c>
      <c r="H3690" s="855">
        <f t="shared" si="369"/>
        <v>9.1999999999999993</v>
      </c>
      <c r="I3690" s="138"/>
      <c r="J3690"/>
    </row>
    <row r="3691" spans="1:11" s="800" customFormat="1" ht="12.75">
      <c r="A3691"/>
      <c r="B3691" s="852" t="s">
        <v>2095</v>
      </c>
      <c r="C3691" s="853">
        <v>1</v>
      </c>
      <c r="D3691" s="861">
        <v>0.25</v>
      </c>
      <c r="E3691" s="175">
        <v>1</v>
      </c>
      <c r="F3691" s="175">
        <v>5.0999999999999996</v>
      </c>
      <c r="G3691" s="855">
        <f t="shared" si="368"/>
        <v>1.2749999999999999</v>
      </c>
      <c r="H3691" s="855">
        <f t="shared" si="369"/>
        <v>10.199999999999999</v>
      </c>
      <c r="I3691" s="138"/>
      <c r="J3691"/>
    </row>
    <row r="3692" spans="1:11" s="800" customFormat="1" ht="12.75">
      <c r="A3692"/>
      <c r="B3692" s="852" t="s">
        <v>2096</v>
      </c>
      <c r="C3692" s="853">
        <v>1</v>
      </c>
      <c r="D3692" s="861">
        <v>0.25</v>
      </c>
      <c r="E3692" s="175">
        <v>1</v>
      </c>
      <c r="F3692" s="175">
        <v>5.45</v>
      </c>
      <c r="G3692" s="855">
        <f t="shared" si="368"/>
        <v>1.3625</v>
      </c>
      <c r="H3692" s="855">
        <f t="shared" si="369"/>
        <v>10.9</v>
      </c>
      <c r="I3692" s="138"/>
      <c r="J3692"/>
    </row>
    <row r="3693" spans="1:11" s="800" customFormat="1" ht="12.75">
      <c r="A3693"/>
      <c r="B3693" s="852" t="s">
        <v>2097</v>
      </c>
      <c r="C3693" s="853">
        <v>1</v>
      </c>
      <c r="D3693" s="861">
        <v>0.25</v>
      </c>
      <c r="E3693" s="175">
        <v>1</v>
      </c>
      <c r="F3693" s="175">
        <v>5.45</v>
      </c>
      <c r="G3693" s="855">
        <f t="shared" si="368"/>
        <v>1.3625</v>
      </c>
      <c r="H3693" s="855">
        <f t="shared" si="369"/>
        <v>10.9</v>
      </c>
      <c r="I3693" s="138"/>
      <c r="J3693"/>
    </row>
    <row r="3694" spans="1:11" s="800" customFormat="1" ht="12.75">
      <c r="A3694"/>
      <c r="B3694" s="300"/>
      <c r="C3694" s="235"/>
      <c r="D3694" s="862"/>
      <c r="E3694" s="138"/>
      <c r="F3694" s="138"/>
      <c r="G3694" s="138"/>
      <c r="H3694" s="138"/>
      <c r="I3694" s="138"/>
      <c r="J3694" s="870"/>
      <c r="K3694" s="848"/>
    </row>
    <row r="3695" spans="1:11" s="800" customFormat="1" ht="12.75">
      <c r="A3695"/>
      <c r="B3695" s="300"/>
      <c r="C3695" s="235"/>
      <c r="D3695" s="138"/>
      <c r="E3695" s="138"/>
      <c r="F3695" s="138"/>
      <c r="G3695" s="858"/>
      <c r="H3695" s="859"/>
      <c r="I3695" s="6"/>
      <c r="J3695"/>
      <c r="K3695" s="848"/>
    </row>
    <row r="3696" spans="1:11" s="800" customFormat="1" ht="13.5" thickBot="1">
      <c r="A3696"/>
      <c r="B3696" s="300"/>
      <c r="C3696" s="235"/>
      <c r="D3696" s="138"/>
      <c r="E3696" s="138"/>
      <c r="F3696" s="138"/>
      <c r="G3696" s="858"/>
      <c r="H3696" s="859"/>
      <c r="I3696" s="6"/>
      <c r="J3696"/>
      <c r="K3696" s="848"/>
    </row>
    <row r="3697" spans="1:56" s="800" customFormat="1" ht="15" customHeight="1" thickBot="1">
      <c r="A3697"/>
      <c r="B3697" s="1280" t="s">
        <v>98</v>
      </c>
      <c r="C3697" s="1281"/>
      <c r="D3697" s="1281"/>
      <c r="E3697" s="1281"/>
      <c r="F3697" s="1282"/>
      <c r="G3697"/>
      <c r="H3697"/>
      <c r="I3697"/>
      <c r="J3697"/>
      <c r="K3697" s="848"/>
    </row>
    <row r="3698" spans="1:56" s="800" customFormat="1" ht="14.25" customHeight="1">
      <c r="A3698"/>
      <c r="B3698" s="40"/>
      <c r="C3698" s="795"/>
      <c r="D3698" s="795"/>
      <c r="E3698" s="795"/>
      <c r="F3698" s="424"/>
      <c r="G3698"/>
      <c r="H3698"/>
      <c r="I3698" s="863"/>
      <c r="J3698"/>
      <c r="K3698" s="848"/>
    </row>
    <row r="3699" spans="1:56" s="800" customFormat="1">
      <c r="A3699"/>
      <c r="B3699" s="703" t="s">
        <v>1129</v>
      </c>
      <c r="C3699" s="172"/>
      <c r="D3699" s="173"/>
      <c r="E3699" s="864">
        <f>SUM(H3679)+SUM(H3684:H3693)</f>
        <v>117.26000000000002</v>
      </c>
      <c r="F3699" s="139" t="s">
        <v>13</v>
      </c>
      <c r="G3699"/>
      <c r="H3699"/>
      <c r="I3699"/>
      <c r="J3699"/>
      <c r="K3699" s="848"/>
    </row>
    <row r="3700" spans="1:56" s="800" customFormat="1" ht="16.5" customHeight="1">
      <c r="A3700"/>
      <c r="B3700" s="718" t="s">
        <v>1130</v>
      </c>
      <c r="C3700" s="289"/>
      <c r="D3700" s="290"/>
      <c r="E3700" s="1046">
        <f>SUM(G3679)+SUM(G3684:G3693)</f>
        <v>34.522000000000006</v>
      </c>
      <c r="F3700" s="700" t="s">
        <v>1124</v>
      </c>
      <c r="G3700"/>
      <c r="H3700"/>
      <c r="I3700"/>
      <c r="J3700"/>
      <c r="K3700" s="848"/>
    </row>
    <row r="3701" spans="1:56" s="800" customFormat="1" ht="15.75" customHeight="1" thickBot="1">
      <c r="A3701"/>
      <c r="B3701" s="720" t="s">
        <v>2048</v>
      </c>
      <c r="C3701" s="174"/>
      <c r="D3701" s="174"/>
      <c r="E3701" s="1062">
        <f>I3679</f>
        <v>1.806</v>
      </c>
      <c r="F3701" s="440" t="s">
        <v>1124</v>
      </c>
      <c r="G3701"/>
      <c r="H3701"/>
      <c r="I3701"/>
      <c r="J3701"/>
      <c r="K3701" s="848"/>
    </row>
    <row r="3702" spans="1:56" s="800" customFormat="1" ht="12.75">
      <c r="A3702"/>
      <c r="B3702" s="1"/>
      <c r="C3702" s="1"/>
      <c r="D3702" s="1"/>
      <c r="E3702" s="1"/>
      <c r="F3702" s="1"/>
      <c r="G3702" s="1"/>
      <c r="H3702" s="3"/>
      <c r="I3702" s="3"/>
      <c r="J3702" s="3"/>
      <c r="K3702" s="848"/>
    </row>
    <row r="3703" spans="1:56" ht="16.5" thickBot="1">
      <c r="A3703" s="114"/>
      <c r="B3703" s="115"/>
      <c r="C3703" s="115"/>
      <c r="D3703" s="115"/>
      <c r="E3703" s="115"/>
      <c r="F3703" s="115"/>
      <c r="G3703" s="115"/>
      <c r="H3703" s="115"/>
      <c r="I3703" s="115"/>
      <c r="J3703" s="114"/>
      <c r="BA3703" s="117"/>
      <c r="BB3703" s="117"/>
      <c r="BC3703" s="117"/>
      <c r="BD3703" s="117"/>
    </row>
    <row r="3704" spans="1:56">
      <c r="A3704" s="114"/>
      <c r="B3704" s="1285" t="s">
        <v>320</v>
      </c>
      <c r="C3704" s="1286"/>
      <c r="D3704" s="1286"/>
      <c r="E3704" s="1286"/>
      <c r="F3704" s="1287"/>
      <c r="G3704" s="115"/>
      <c r="H3704" s="115"/>
      <c r="I3704" s="386"/>
      <c r="J3704" s="114"/>
      <c r="BA3704" s="117"/>
      <c r="BB3704" s="117"/>
      <c r="BC3704" s="117"/>
      <c r="BD3704" s="117"/>
    </row>
    <row r="3705" spans="1:56">
      <c r="A3705" s="114"/>
      <c r="B3705" s="690"/>
      <c r="C3705" s="115"/>
      <c r="D3705" s="115"/>
      <c r="E3705" s="115"/>
      <c r="F3705" s="182"/>
      <c r="G3705" s="115"/>
      <c r="H3705" s="115"/>
      <c r="I3705" s="386"/>
      <c r="J3705" s="114"/>
      <c r="BA3705" s="117"/>
      <c r="BB3705" s="117"/>
      <c r="BC3705" s="117"/>
      <c r="BD3705" s="117"/>
    </row>
    <row r="3706" spans="1:56" ht="15">
      <c r="A3706" s="114"/>
      <c r="B3706" s="691" t="s">
        <v>2118</v>
      </c>
      <c r="C3706" s="196"/>
      <c r="D3706" s="196"/>
      <c r="E3706" s="196"/>
      <c r="F3706" s="284"/>
      <c r="G3706" s="196"/>
      <c r="H3706" s="196"/>
      <c r="I3706" s="196"/>
      <c r="J3706" s="114"/>
      <c r="BA3706" s="117"/>
      <c r="BB3706" s="117"/>
      <c r="BC3706" s="117"/>
      <c r="BD3706" s="117"/>
    </row>
    <row r="3707" spans="1:56" ht="15">
      <c r="A3707" s="114"/>
      <c r="B3707" s="692" t="s">
        <v>352</v>
      </c>
      <c r="C3707" s="1007">
        <v>2366</v>
      </c>
      <c r="D3707" s="1043" t="s">
        <v>12</v>
      </c>
      <c r="E3707" s="1283" t="s">
        <v>2151</v>
      </c>
      <c r="F3707" s="1284"/>
      <c r="G3707" s="196"/>
      <c r="H3707" s="196"/>
      <c r="I3707" s="196"/>
      <c r="J3707" s="114"/>
      <c r="BA3707" s="117"/>
      <c r="BB3707" s="117"/>
      <c r="BC3707" s="117"/>
      <c r="BD3707" s="117"/>
    </row>
    <row r="3708" spans="1:56">
      <c r="A3708" s="114"/>
      <c r="B3708" s="690"/>
      <c r="C3708" s="115"/>
      <c r="D3708" s="115"/>
      <c r="E3708" s="115"/>
      <c r="F3708" s="182"/>
      <c r="G3708" s="115"/>
      <c r="H3708" s="115"/>
      <c r="I3708" s="386"/>
      <c r="J3708" s="114"/>
      <c r="BA3708" s="117"/>
      <c r="BB3708" s="117"/>
      <c r="BC3708" s="117"/>
      <c r="BD3708" s="117"/>
    </row>
    <row r="3709" spans="1:56" ht="15">
      <c r="A3709" s="114"/>
      <c r="B3709" s="691" t="s">
        <v>351</v>
      </c>
      <c r="C3709" s="211"/>
      <c r="D3709" s="196"/>
      <c r="E3709" s="288"/>
      <c r="F3709" s="284"/>
      <c r="G3709" s="196"/>
      <c r="H3709" s="196"/>
      <c r="I3709" s="196"/>
      <c r="J3709" s="114"/>
      <c r="BA3709" s="117"/>
      <c r="BB3709" s="117"/>
      <c r="BC3709" s="117"/>
      <c r="BD3709" s="117"/>
    </row>
    <row r="3710" spans="1:56" ht="16.5" thickBot="1">
      <c r="A3710" s="114"/>
      <c r="B3710" s="695" t="s">
        <v>352</v>
      </c>
      <c r="C3710" s="817"/>
      <c r="D3710" s="818"/>
      <c r="E3710" s="847">
        <f>C3707</f>
        <v>2366</v>
      </c>
      <c r="F3710" s="820" t="s">
        <v>12</v>
      </c>
      <c r="G3710" s="115"/>
      <c r="H3710" s="871"/>
      <c r="I3710" s="3"/>
      <c r="J3710" s="114"/>
      <c r="BA3710" s="117"/>
      <c r="BB3710" s="117"/>
      <c r="BC3710" s="117"/>
      <c r="BD3710" s="117"/>
    </row>
    <row r="3711" spans="1:56" customFormat="1" ht="14.25" customHeight="1"/>
    <row r="3712" spans="1:56" s="894" customFormat="1" ht="12.75">
      <c r="A3712" s="795"/>
      <c r="B3712" s="564"/>
      <c r="C3712" s="180"/>
      <c r="D3712" s="180"/>
      <c r="E3712" s="180"/>
      <c r="F3712" s="180"/>
      <c r="G3712" s="180"/>
      <c r="H3712" s="234"/>
      <c r="I3712" s="234"/>
      <c r="J3712" s="234"/>
      <c r="K3712" s="848"/>
    </row>
    <row r="3713" spans="1:11" s="800" customFormat="1" ht="17.25" customHeight="1">
      <c r="A3713"/>
      <c r="B3713" s="1180" t="s">
        <v>2308</v>
      </c>
      <c r="C3713" s="1180"/>
      <c r="D3713" s="1180"/>
      <c r="E3713" s="1180"/>
      <c r="F3713" s="1180"/>
      <c r="G3713" s="1180"/>
      <c r="H3713" s="1180"/>
      <c r="I3713" s="1180"/>
      <c r="J3713" s="1180"/>
      <c r="K3713" s="848"/>
    </row>
    <row r="3714" spans="1:11" s="800" customFormat="1" ht="12.75">
      <c r="A3714"/>
      <c r="B3714" s="1"/>
      <c r="C3714" s="1"/>
      <c r="D3714" s="1"/>
      <c r="E3714" s="1"/>
      <c r="F3714" s="1"/>
      <c r="G3714" s="1"/>
      <c r="H3714" s="3"/>
      <c r="I3714" s="3"/>
      <c r="J3714" s="3"/>
      <c r="K3714" s="848"/>
    </row>
    <row r="3715" spans="1:11" s="848" customFormat="1" ht="12.75">
      <c r="A3715"/>
      <c r="B3715" s="1"/>
      <c r="C3715" s="1"/>
      <c r="D3715" s="1"/>
      <c r="E3715" s="1"/>
      <c r="F3715" s="1"/>
      <c r="G3715" s="3"/>
      <c r="H3715" s="3"/>
      <c r="I3715" s="3"/>
      <c r="J3715" s="4"/>
    </row>
    <row r="3716" spans="1:11" s="800" customFormat="1" ht="14.25">
      <c r="A3716"/>
      <c r="B3716" s="849" t="s">
        <v>2051</v>
      </c>
      <c r="C3716" s="850" t="s">
        <v>61</v>
      </c>
      <c r="D3716" s="850" t="s">
        <v>66</v>
      </c>
      <c r="E3716" s="850" t="s">
        <v>2044</v>
      </c>
      <c r="F3716" s="850" t="s">
        <v>2045</v>
      </c>
      <c r="G3716" s="851" t="s">
        <v>99</v>
      </c>
      <c r="H3716" s="851" t="s">
        <v>68</v>
      </c>
      <c r="I3716" s="851" t="s">
        <v>2046</v>
      </c>
      <c r="J3716" s="848"/>
    </row>
    <row r="3717" spans="1:11" s="800" customFormat="1" ht="12.75">
      <c r="A3717"/>
      <c r="B3717" s="852" t="s">
        <v>2052</v>
      </c>
      <c r="C3717" s="853">
        <v>1</v>
      </c>
      <c r="D3717" s="175">
        <v>0.4</v>
      </c>
      <c r="E3717" s="175">
        <v>6.4</v>
      </c>
      <c r="F3717" s="854">
        <v>2.8</v>
      </c>
      <c r="G3717" s="855">
        <f>C3717*D3717*E3717*F3717</f>
        <v>7.168000000000001</v>
      </c>
      <c r="H3717" s="855">
        <f>2*(E3717+F3717)*C3717*D3717</f>
        <v>7.3599999999999994</v>
      </c>
      <c r="I3717" s="856">
        <f>E3717*F3717*0.05</f>
        <v>0.89599999999999991</v>
      </c>
      <c r="J3717" s="848"/>
    </row>
    <row r="3718" spans="1:11" s="800" customFormat="1" ht="12.75">
      <c r="A3718"/>
      <c r="B3718" s="300"/>
      <c r="C3718" s="235"/>
      <c r="D3718" s="138"/>
      <c r="E3718" s="138"/>
      <c r="G3718" s="1288"/>
      <c r="H3718" s="1288"/>
      <c r="I3718" s="1288"/>
      <c r="J3718" s="848"/>
    </row>
    <row r="3719" spans="1:11" s="800" customFormat="1" ht="12.75">
      <c r="A3719"/>
      <c r="B3719" s="300"/>
      <c r="C3719" s="235"/>
      <c r="D3719" s="138"/>
      <c r="E3719" s="138"/>
      <c r="G3719" s="1289"/>
      <c r="H3719" s="1289"/>
      <c r="I3719" s="1289"/>
      <c r="J3719" s="848"/>
    </row>
    <row r="3720" spans="1:11" s="800" customFormat="1" ht="12.75">
      <c r="A3720"/>
      <c r="B3720" s="300"/>
      <c r="C3720" s="235"/>
      <c r="D3720" s="138"/>
      <c r="E3720" s="138"/>
      <c r="F3720" s="138"/>
      <c r="G3720" s="858"/>
      <c r="H3720" s="859"/>
      <c r="I3720" s="6"/>
      <c r="J3720"/>
      <c r="K3720" s="848"/>
    </row>
    <row r="3721" spans="1:11" s="800" customFormat="1" ht="13.5" thickBot="1">
      <c r="A3721"/>
      <c r="B3721" s="300"/>
      <c r="C3721" s="235"/>
      <c r="D3721" s="138"/>
      <c r="E3721" s="138"/>
      <c r="F3721" s="138"/>
      <c r="G3721" s="858"/>
      <c r="H3721" s="859"/>
      <c r="I3721" s="6"/>
      <c r="J3721"/>
      <c r="K3721" s="848"/>
    </row>
    <row r="3722" spans="1:11" s="800" customFormat="1" ht="16.5" thickBot="1">
      <c r="A3722"/>
      <c r="B3722" s="1280" t="s">
        <v>98</v>
      </c>
      <c r="C3722" s="1281"/>
      <c r="D3722" s="1281"/>
      <c r="E3722" s="1281"/>
      <c r="F3722" s="1282"/>
      <c r="G3722"/>
      <c r="H3722"/>
      <c r="I3722"/>
      <c r="J3722"/>
      <c r="K3722" s="848"/>
    </row>
    <row r="3723" spans="1:11" s="800" customFormat="1" ht="12.75">
      <c r="A3723"/>
      <c r="B3723" s="40"/>
      <c r="C3723" s="795"/>
      <c r="D3723" s="795"/>
      <c r="E3723" s="795"/>
      <c r="F3723" s="424"/>
      <c r="G3723"/>
      <c r="H3723"/>
      <c r="I3723" s="863"/>
      <c r="J3723"/>
      <c r="K3723" s="848"/>
    </row>
    <row r="3724" spans="1:11" s="800" customFormat="1">
      <c r="A3724"/>
      <c r="B3724" s="703" t="s">
        <v>1129</v>
      </c>
      <c r="C3724" s="172"/>
      <c r="D3724" s="173"/>
      <c r="E3724" s="864">
        <f>H3717</f>
        <v>7.3599999999999994</v>
      </c>
      <c r="F3724" s="139" t="s">
        <v>13</v>
      </c>
      <c r="G3724"/>
      <c r="H3724"/>
      <c r="I3724"/>
      <c r="J3724"/>
      <c r="K3724" s="848"/>
    </row>
    <row r="3725" spans="1:11" s="800" customFormat="1" ht="18">
      <c r="A3725"/>
      <c r="B3725" s="718" t="s">
        <v>1130</v>
      </c>
      <c r="C3725" s="289"/>
      <c r="D3725" s="290"/>
      <c r="E3725" s="1046">
        <f>G3717</f>
        <v>7.168000000000001</v>
      </c>
      <c r="F3725" s="700" t="s">
        <v>1124</v>
      </c>
      <c r="G3725"/>
      <c r="H3725"/>
      <c r="I3725"/>
      <c r="J3725"/>
      <c r="K3725" s="848"/>
    </row>
    <row r="3726" spans="1:11" s="800" customFormat="1" ht="18">
      <c r="A3726"/>
      <c r="B3726" s="718" t="s">
        <v>2048</v>
      </c>
      <c r="C3726" s="289"/>
      <c r="D3726" s="289"/>
      <c r="E3726" s="1047">
        <f>I3717</f>
        <v>0.89599999999999991</v>
      </c>
      <c r="F3726" s="700" t="s">
        <v>1124</v>
      </c>
      <c r="G3726"/>
      <c r="H3726"/>
      <c r="I3726"/>
      <c r="J3726"/>
      <c r="K3726" s="848"/>
    </row>
    <row r="3727" spans="1:11" s="848" customFormat="1" ht="16.5" thickBot="1">
      <c r="A3727"/>
      <c r="B3727" s="720"/>
      <c r="C3727" s="174"/>
      <c r="D3727" s="174"/>
      <c r="E3727" s="866"/>
      <c r="F3727" s="440"/>
      <c r="G3727"/>
      <c r="H3727"/>
      <c r="I3727"/>
      <c r="J3727"/>
    </row>
    <row r="3728" spans="1:11" s="848" customFormat="1" ht="12.75">
      <c r="A3728"/>
      <c r="B3728" s="1"/>
      <c r="C3728" s="1"/>
      <c r="D3728" s="1"/>
      <c r="E3728" s="1"/>
      <c r="F3728" s="1"/>
      <c r="G3728" s="1"/>
      <c r="H3728" s="3"/>
      <c r="I3728" s="3"/>
      <c r="J3728" s="3"/>
    </row>
    <row r="3729" spans="1:56" ht="16.5" thickBot="1">
      <c r="A3729" s="114"/>
      <c r="B3729" s="115"/>
      <c r="C3729" s="115"/>
      <c r="D3729" s="115"/>
      <c r="E3729" s="115"/>
      <c r="F3729" s="115"/>
      <c r="G3729" s="115"/>
      <c r="H3729" s="115"/>
      <c r="I3729" s="115"/>
      <c r="J3729" s="114"/>
      <c r="BA3729" s="117"/>
      <c r="BB3729" s="117"/>
      <c r="BC3729" s="117"/>
      <c r="BD3729" s="117"/>
    </row>
    <row r="3730" spans="1:56">
      <c r="A3730" s="114"/>
      <c r="B3730" s="1285" t="s">
        <v>320</v>
      </c>
      <c r="C3730" s="1286"/>
      <c r="D3730" s="1286"/>
      <c r="E3730" s="1286"/>
      <c r="F3730" s="1287"/>
      <c r="G3730" s="115"/>
      <c r="H3730" s="115"/>
      <c r="I3730" s="386"/>
      <c r="J3730" s="114"/>
      <c r="BA3730" s="117"/>
      <c r="BB3730" s="117"/>
      <c r="BC3730" s="117"/>
      <c r="BD3730" s="117"/>
    </row>
    <row r="3731" spans="1:56">
      <c r="A3731" s="114"/>
      <c r="B3731" s="690"/>
      <c r="C3731" s="115"/>
      <c r="D3731" s="115"/>
      <c r="E3731" s="115"/>
      <c r="F3731" s="182"/>
      <c r="G3731" s="115"/>
      <c r="H3731" s="115"/>
      <c r="I3731" s="386"/>
      <c r="J3731" s="114"/>
      <c r="BA3731" s="117"/>
      <c r="BB3731" s="117"/>
      <c r="BC3731" s="117"/>
      <c r="BD3731" s="117"/>
    </row>
    <row r="3732" spans="1:56" ht="15">
      <c r="A3732" s="114"/>
      <c r="B3732" s="691" t="s">
        <v>1216</v>
      </c>
      <c r="C3732" s="196"/>
      <c r="D3732" s="196"/>
      <c r="E3732" s="196"/>
      <c r="F3732" s="284"/>
      <c r="G3732" s="196"/>
      <c r="H3732" s="196"/>
      <c r="I3732" s="196"/>
      <c r="J3732" s="114"/>
      <c r="BA3732" s="117"/>
      <c r="BB3732" s="117"/>
      <c r="BC3732" s="117"/>
      <c r="BD3732" s="117"/>
    </row>
    <row r="3733" spans="1:56" ht="15">
      <c r="A3733" s="114"/>
      <c r="B3733" s="692" t="s">
        <v>352</v>
      </c>
      <c r="C3733" s="280">
        <v>501</v>
      </c>
      <c r="D3733" s="286" t="s">
        <v>12</v>
      </c>
      <c r="E3733" s="1305" t="s">
        <v>2150</v>
      </c>
      <c r="F3733" s="1306"/>
      <c r="G3733" s="196"/>
      <c r="H3733" s="196"/>
      <c r="I3733" s="196"/>
      <c r="J3733" s="114"/>
      <c r="BA3733" s="117"/>
      <c r="BB3733" s="117"/>
      <c r="BC3733" s="117"/>
      <c r="BD3733" s="117"/>
    </row>
    <row r="3734" spans="1:56">
      <c r="A3734" s="114"/>
      <c r="B3734" s="690"/>
      <c r="C3734" s="115"/>
      <c r="D3734" s="115"/>
      <c r="E3734" s="115"/>
      <c r="F3734" s="182"/>
      <c r="G3734" s="115"/>
      <c r="H3734" s="115"/>
      <c r="I3734" s="386"/>
      <c r="J3734" s="114"/>
      <c r="BA3734" s="117"/>
      <c r="BB3734" s="117"/>
      <c r="BC3734" s="117"/>
      <c r="BD3734" s="117"/>
    </row>
    <row r="3735" spans="1:56" ht="15">
      <c r="A3735" s="114"/>
      <c r="B3735" s="691" t="s">
        <v>351</v>
      </c>
      <c r="C3735" s="211"/>
      <c r="D3735" s="196"/>
      <c r="E3735" s="288"/>
      <c r="F3735" s="284"/>
      <c r="G3735" s="196"/>
      <c r="H3735" s="196"/>
      <c r="I3735" s="196"/>
      <c r="J3735" s="114"/>
      <c r="BA3735" s="117"/>
      <c r="BB3735" s="117"/>
      <c r="BC3735" s="117"/>
      <c r="BD3735" s="117"/>
    </row>
    <row r="3736" spans="1:56" ht="16.5" thickBot="1">
      <c r="A3736" s="114"/>
      <c r="B3736" s="695" t="s">
        <v>352</v>
      </c>
      <c r="C3736" s="817"/>
      <c r="D3736" s="818"/>
      <c r="E3736" s="847">
        <f>C3733</f>
        <v>501</v>
      </c>
      <c r="F3736" s="820" t="s">
        <v>12</v>
      </c>
      <c r="G3736" s="115"/>
      <c r="H3736" s="871"/>
      <c r="I3736" s="3"/>
      <c r="J3736" s="114"/>
      <c r="BA3736" s="117"/>
      <c r="BB3736" s="117"/>
      <c r="BC3736" s="117"/>
      <c r="BD3736" s="117"/>
    </row>
    <row r="3737" spans="1:56" customFormat="1" ht="14.25" customHeight="1"/>
    <row r="3738" spans="1:56" s="894" customFormat="1" ht="12.75">
      <c r="A3738" s="795"/>
      <c r="B3738" s="564"/>
      <c r="C3738" s="180"/>
      <c r="D3738" s="180"/>
      <c r="E3738" s="180"/>
      <c r="F3738" s="180"/>
      <c r="G3738" s="180"/>
      <c r="H3738" s="234"/>
      <c r="I3738" s="234"/>
      <c r="J3738" s="234"/>
      <c r="K3738" s="848"/>
    </row>
    <row r="3739" spans="1:56" s="800" customFormat="1" ht="16.5" customHeight="1">
      <c r="A3739"/>
      <c r="B3739" s="1180" t="s">
        <v>2309</v>
      </c>
      <c r="C3739" s="1180"/>
      <c r="D3739" s="1180"/>
      <c r="E3739" s="1180"/>
      <c r="F3739" s="1180"/>
      <c r="G3739" s="1180"/>
      <c r="H3739" s="1180"/>
      <c r="I3739" s="1180"/>
      <c r="J3739" s="1180"/>
      <c r="K3739" s="848"/>
    </row>
    <row r="3740" spans="1:56" s="800" customFormat="1" ht="12.75">
      <c r="A3740"/>
      <c r="B3740" s="1"/>
      <c r="C3740" s="1"/>
      <c r="D3740" s="1"/>
      <c r="E3740" s="1"/>
      <c r="F3740" s="1"/>
      <c r="G3740" s="1"/>
      <c r="H3740" s="3"/>
      <c r="I3740" s="3"/>
      <c r="J3740" s="3"/>
      <c r="K3740" s="848"/>
    </row>
    <row r="3741" spans="1:56" s="800" customFormat="1" ht="12.75">
      <c r="A3741"/>
      <c r="B3741" s="1"/>
      <c r="C3741" s="1"/>
      <c r="D3741" s="1"/>
      <c r="E3741" s="1"/>
      <c r="F3741" s="1"/>
      <c r="G3741" s="3"/>
      <c r="H3741" s="3"/>
      <c r="I3741" s="3"/>
      <c r="J3741" s="4"/>
      <c r="K3741" s="848"/>
    </row>
    <row r="3742" spans="1:56" s="800" customFormat="1" ht="12.75">
      <c r="A3742"/>
      <c r="B3742" s="881" t="s">
        <v>96</v>
      </c>
      <c r="C3742" s="882" t="s">
        <v>83</v>
      </c>
      <c r="D3742" s="882" t="s">
        <v>86</v>
      </c>
      <c r="E3742" s="882" t="s">
        <v>1566</v>
      </c>
      <c r="F3742" s="882" t="s">
        <v>104</v>
      </c>
      <c r="G3742" s="882" t="s">
        <v>105</v>
      </c>
      <c r="H3742" s="234"/>
      <c r="I3742" s="3"/>
      <c r="J3742" s="4"/>
      <c r="K3742" s="848"/>
    </row>
    <row r="3743" spans="1:56" s="800" customFormat="1" ht="12.75">
      <c r="A3743"/>
      <c r="B3743" s="883" t="s">
        <v>2069</v>
      </c>
      <c r="C3743" s="884">
        <v>0.2</v>
      </c>
      <c r="D3743" s="884">
        <v>0.2</v>
      </c>
      <c r="E3743" s="884">
        <v>3.95</v>
      </c>
      <c r="F3743" s="885">
        <f t="shared" ref="F3743:F3748" si="370">C3743*D3743*E3743</f>
        <v>0.15800000000000003</v>
      </c>
      <c r="G3743" s="885">
        <f t="shared" ref="G3743:G3748" si="371">2*(C3743+D3743)*E3743</f>
        <v>3.16</v>
      </c>
      <c r="H3743" s="234"/>
      <c r="I3743" s="3"/>
      <c r="J3743" s="4"/>
      <c r="K3743" s="848"/>
    </row>
    <row r="3744" spans="1:56" s="800" customFormat="1" ht="12.75">
      <c r="A3744"/>
      <c r="B3744" s="883" t="s">
        <v>2070</v>
      </c>
      <c r="C3744" s="884">
        <v>0.2</v>
      </c>
      <c r="D3744" s="884">
        <v>0.2</v>
      </c>
      <c r="E3744" s="884">
        <v>3.95</v>
      </c>
      <c r="F3744" s="885">
        <f t="shared" si="370"/>
        <v>0.15800000000000003</v>
      </c>
      <c r="G3744" s="885">
        <f t="shared" si="371"/>
        <v>3.16</v>
      </c>
      <c r="H3744" s="234"/>
      <c r="I3744" s="3"/>
      <c r="J3744" s="4"/>
      <c r="K3744" s="848"/>
    </row>
    <row r="3745" spans="1:11" s="800" customFormat="1" ht="12.75">
      <c r="A3745"/>
      <c r="B3745" s="883" t="s">
        <v>2071</v>
      </c>
      <c r="C3745" s="884">
        <v>0.2</v>
      </c>
      <c r="D3745" s="884">
        <v>0.2</v>
      </c>
      <c r="E3745" s="884">
        <v>3.95</v>
      </c>
      <c r="F3745" s="885">
        <f t="shared" si="370"/>
        <v>0.15800000000000003</v>
      </c>
      <c r="G3745" s="885">
        <f t="shared" si="371"/>
        <v>3.16</v>
      </c>
      <c r="H3745" s="234"/>
      <c r="I3745" s="3"/>
      <c r="J3745" s="4"/>
      <c r="K3745" s="848"/>
    </row>
    <row r="3746" spans="1:11" s="800" customFormat="1" ht="12.75">
      <c r="A3746"/>
      <c r="B3746" s="883" t="s">
        <v>2072</v>
      </c>
      <c r="C3746" s="884">
        <v>0.2</v>
      </c>
      <c r="D3746" s="884">
        <v>0.2</v>
      </c>
      <c r="E3746" s="884">
        <v>3.95</v>
      </c>
      <c r="F3746" s="885">
        <f t="shared" si="370"/>
        <v>0.15800000000000003</v>
      </c>
      <c r="G3746" s="885">
        <f t="shared" si="371"/>
        <v>3.16</v>
      </c>
      <c r="H3746" s="234"/>
      <c r="I3746" s="3"/>
      <c r="J3746" s="4"/>
      <c r="K3746" s="848"/>
    </row>
    <row r="3747" spans="1:11" s="800" customFormat="1" ht="12.75">
      <c r="A3747"/>
      <c r="B3747" s="883" t="s">
        <v>2073</v>
      </c>
      <c r="C3747" s="884">
        <v>0.2</v>
      </c>
      <c r="D3747" s="884">
        <v>0.2</v>
      </c>
      <c r="E3747" s="884">
        <v>3.95</v>
      </c>
      <c r="F3747" s="885">
        <f t="shared" si="370"/>
        <v>0.15800000000000003</v>
      </c>
      <c r="G3747" s="885">
        <f t="shared" si="371"/>
        <v>3.16</v>
      </c>
      <c r="H3747" s="234"/>
      <c r="I3747" s="3"/>
      <c r="J3747" s="4"/>
      <c r="K3747" s="848"/>
    </row>
    <row r="3748" spans="1:11" s="800" customFormat="1" ht="12.75">
      <c r="A3748"/>
      <c r="B3748" s="883" t="s">
        <v>2074</v>
      </c>
      <c r="C3748" s="884">
        <v>0.2</v>
      </c>
      <c r="D3748" s="884">
        <v>0.2</v>
      </c>
      <c r="E3748" s="884">
        <v>3.95</v>
      </c>
      <c r="F3748" s="885">
        <f t="shared" si="370"/>
        <v>0.15800000000000003</v>
      </c>
      <c r="G3748" s="885">
        <f t="shared" si="371"/>
        <v>3.16</v>
      </c>
      <c r="H3748" s="234"/>
      <c r="I3748" s="3"/>
      <c r="J3748" s="4"/>
      <c r="K3748" s="848"/>
    </row>
    <row r="3749" spans="1:11" s="800" customFormat="1" ht="12.75">
      <c r="A3749"/>
      <c r="B3749" s="886"/>
      <c r="C3749" s="887"/>
      <c r="D3749" s="887"/>
      <c r="E3749" s="887"/>
      <c r="F3749" s="887"/>
      <c r="G3749" s="887"/>
      <c r="H3749" s="887"/>
      <c r="I3749" s="3"/>
      <c r="J3749" s="4"/>
      <c r="K3749" s="848"/>
    </row>
    <row r="3750" spans="1:11" s="800" customFormat="1" ht="12.75">
      <c r="A3750"/>
      <c r="B3750" s="300"/>
      <c r="C3750" s="235"/>
      <c r="D3750" s="210"/>
      <c r="E3750" s="138"/>
      <c r="F3750" s="210"/>
      <c r="G3750" s="138"/>
      <c r="H3750" s="138"/>
      <c r="I3750" s="6"/>
      <c r="J3750"/>
      <c r="K3750" s="848"/>
    </row>
    <row r="3751" spans="1:11" s="800" customFormat="1" ht="14.25">
      <c r="A3751"/>
      <c r="B3751" s="849" t="s">
        <v>2043</v>
      </c>
      <c r="C3751" s="850" t="s">
        <v>61</v>
      </c>
      <c r="D3751" s="850" t="s">
        <v>66</v>
      </c>
      <c r="E3751" s="850" t="s">
        <v>2122</v>
      </c>
      <c r="F3751" s="851" t="s">
        <v>99</v>
      </c>
      <c r="G3751" s="851" t="s">
        <v>68</v>
      </c>
      <c r="H3751" s="870"/>
      <c r="I3751"/>
      <c r="J3751" s="848"/>
    </row>
    <row r="3752" spans="1:11" s="800" customFormat="1" ht="12.75">
      <c r="A3752"/>
      <c r="B3752" s="852" t="s">
        <v>2123</v>
      </c>
      <c r="C3752" s="853">
        <v>1</v>
      </c>
      <c r="D3752" s="175">
        <v>0.15</v>
      </c>
      <c r="E3752" s="175">
        <v>26.23</v>
      </c>
      <c r="F3752" s="855">
        <f>C3752*D3752*E3752</f>
        <v>3.9344999999999999</v>
      </c>
      <c r="G3752" s="855">
        <f>E3752</f>
        <v>26.23</v>
      </c>
      <c r="H3752" s="138"/>
      <c r="I3752"/>
      <c r="J3752" s="848"/>
    </row>
    <row r="3753" spans="1:11" s="800" customFormat="1" ht="12.75">
      <c r="A3753"/>
      <c r="B3753" s="852" t="s">
        <v>2124</v>
      </c>
      <c r="C3753" s="853">
        <v>1</v>
      </c>
      <c r="D3753" s="175">
        <v>0.15</v>
      </c>
      <c r="E3753" s="175">
        <v>26.23</v>
      </c>
      <c r="F3753" s="855">
        <f>C3753*D3753*E3753</f>
        <v>3.9344999999999999</v>
      </c>
      <c r="G3753" s="855"/>
      <c r="H3753" s="138"/>
      <c r="I3753"/>
      <c r="J3753" s="848"/>
    </row>
    <row r="3754" spans="1:11" s="800" customFormat="1" ht="12.75">
      <c r="A3754"/>
      <c r="B3754" s="852" t="s">
        <v>2125</v>
      </c>
      <c r="C3754" s="853">
        <v>2</v>
      </c>
      <c r="D3754" s="175">
        <v>0.15</v>
      </c>
      <c r="E3754" s="175">
        <v>3.78</v>
      </c>
      <c r="F3754" s="855">
        <f>C3754*D3754*E3754</f>
        <v>1.1339999999999999</v>
      </c>
      <c r="G3754" s="855">
        <f>2.34</f>
        <v>2.34</v>
      </c>
      <c r="H3754" s="138"/>
      <c r="I3754"/>
      <c r="J3754" s="848"/>
    </row>
    <row r="3755" spans="1:11" s="800" customFormat="1" ht="12.75">
      <c r="A3755"/>
      <c r="B3755" s="300"/>
      <c r="C3755" s="235"/>
      <c r="D3755" s="138"/>
      <c r="E3755" s="138"/>
      <c r="F3755" s="138"/>
      <c r="G3755" s="858"/>
      <c r="H3755" s="859"/>
      <c r="I3755" s="6"/>
      <c r="J3755"/>
      <c r="K3755" s="848"/>
    </row>
    <row r="3756" spans="1:11" s="800" customFormat="1" ht="14.25">
      <c r="A3756"/>
      <c r="B3756" s="849" t="s">
        <v>97</v>
      </c>
      <c r="C3756" s="850" t="s">
        <v>61</v>
      </c>
      <c r="D3756" s="850" t="s">
        <v>82</v>
      </c>
      <c r="E3756" s="850" t="s">
        <v>66</v>
      </c>
      <c r="F3756" s="850" t="s">
        <v>62</v>
      </c>
      <c r="G3756" s="851" t="s">
        <v>99</v>
      </c>
      <c r="H3756" s="851" t="s">
        <v>68</v>
      </c>
      <c r="I3756" s="870"/>
      <c r="J3756"/>
    </row>
    <row r="3757" spans="1:11" s="800" customFormat="1" ht="12.75">
      <c r="A3757"/>
      <c r="B3757" s="852" t="s">
        <v>2126</v>
      </c>
      <c r="C3757" s="853">
        <v>1</v>
      </c>
      <c r="D3757" s="861">
        <v>0.2</v>
      </c>
      <c r="E3757" s="175">
        <v>0.65</v>
      </c>
      <c r="F3757" s="175">
        <v>6.1</v>
      </c>
      <c r="G3757" s="855">
        <f>D3757*E3757*F3757*C3757</f>
        <v>0.79299999999999993</v>
      </c>
      <c r="H3757" s="855">
        <f>((E3757*2)+D3757)*F3757*C3757</f>
        <v>9.1499999999999986</v>
      </c>
      <c r="I3757" s="138"/>
      <c r="J3757"/>
    </row>
    <row r="3758" spans="1:11" s="800" customFormat="1" ht="12.75">
      <c r="A3758"/>
      <c r="B3758" s="852" t="s">
        <v>2127</v>
      </c>
      <c r="C3758" s="853">
        <v>1</v>
      </c>
      <c r="D3758" s="861">
        <v>0.2</v>
      </c>
      <c r="E3758" s="175">
        <v>0.65</v>
      </c>
      <c r="F3758" s="175">
        <v>6.1</v>
      </c>
      <c r="G3758" s="855">
        <f>D3758*E3758*F3758*C3758</f>
        <v>0.79299999999999993</v>
      </c>
      <c r="H3758" s="855">
        <f>((E3758*2)+D3758)*F3758*C3758</f>
        <v>9.1499999999999986</v>
      </c>
      <c r="I3758" s="138"/>
      <c r="J3758"/>
    </row>
    <row r="3759" spans="1:11" s="800" customFormat="1" ht="12.75">
      <c r="A3759"/>
      <c r="B3759" s="852" t="s">
        <v>2128</v>
      </c>
      <c r="C3759" s="853">
        <v>1</v>
      </c>
      <c r="D3759" s="861">
        <v>0.2</v>
      </c>
      <c r="E3759" s="175">
        <v>0.65</v>
      </c>
      <c r="F3759" s="175">
        <v>4.3</v>
      </c>
      <c r="G3759" s="855">
        <f>D3759*E3759*F3759*C3759</f>
        <v>0.55899999999999994</v>
      </c>
      <c r="H3759" s="855">
        <f>((E3759*2)+D3759)*F3759*C3759</f>
        <v>6.4499999999999993</v>
      </c>
      <c r="I3759" s="138"/>
      <c r="J3759"/>
    </row>
    <row r="3760" spans="1:11" s="800" customFormat="1" ht="12.75">
      <c r="A3760"/>
      <c r="B3760" s="852" t="s">
        <v>2129</v>
      </c>
      <c r="C3760" s="853">
        <v>1</v>
      </c>
      <c r="D3760" s="861">
        <v>0.2</v>
      </c>
      <c r="E3760" s="175">
        <v>0.5</v>
      </c>
      <c r="F3760" s="175">
        <v>4.3</v>
      </c>
      <c r="G3760" s="855">
        <f>D3760*E3760*F3760*C3760</f>
        <v>0.43</v>
      </c>
      <c r="H3760" s="855">
        <f>((E3760*2)+D3760)*F3760*C3760</f>
        <v>5.1599999999999993</v>
      </c>
      <c r="I3760" s="138"/>
      <c r="J3760"/>
    </row>
    <row r="3761" spans="1:56" s="800" customFormat="1" ht="12.75">
      <c r="A3761"/>
      <c r="B3761" s="852" t="s">
        <v>2130</v>
      </c>
      <c r="C3761" s="853">
        <v>1</v>
      </c>
      <c r="D3761" s="861">
        <v>0.2</v>
      </c>
      <c r="E3761" s="175">
        <v>0.65</v>
      </c>
      <c r="F3761" s="175">
        <v>4.3</v>
      </c>
      <c r="G3761" s="855">
        <f>D3761*E3761*F3761*C3761</f>
        <v>0.55899999999999994</v>
      </c>
      <c r="H3761" s="855">
        <f>((E3761*2)+D3761)*F3761*C3761</f>
        <v>6.4499999999999993</v>
      </c>
      <c r="I3761" s="138"/>
      <c r="J3761"/>
    </row>
    <row r="3762" spans="1:56" s="800" customFormat="1" ht="12.75">
      <c r="A3762"/>
      <c r="B3762" s="300"/>
      <c r="C3762" s="235"/>
      <c r="D3762" s="862"/>
      <c r="E3762" s="138"/>
      <c r="F3762" s="138"/>
      <c r="G3762" s="138"/>
      <c r="H3762" s="138"/>
      <c r="I3762" s="138"/>
      <c r="J3762" s="870"/>
      <c r="K3762" s="848"/>
    </row>
    <row r="3763" spans="1:56" s="800" customFormat="1" ht="12.75">
      <c r="A3763"/>
      <c r="B3763" s="300"/>
      <c r="C3763" s="235"/>
      <c r="D3763" s="138"/>
      <c r="E3763" s="138"/>
      <c r="F3763" s="138"/>
      <c r="G3763" s="858"/>
      <c r="H3763" s="859"/>
      <c r="I3763" s="6"/>
      <c r="J3763"/>
      <c r="K3763" s="848"/>
    </row>
    <row r="3764" spans="1:56" s="800" customFormat="1" ht="13.5" thickBot="1">
      <c r="A3764"/>
      <c r="B3764" s="300"/>
      <c r="C3764" s="235"/>
      <c r="D3764" s="138"/>
      <c r="E3764" s="138"/>
      <c r="F3764" s="138"/>
      <c r="G3764" s="858"/>
      <c r="H3764" s="859"/>
      <c r="I3764" s="6"/>
      <c r="J3764"/>
      <c r="K3764" s="848"/>
    </row>
    <row r="3765" spans="1:56" s="800" customFormat="1">
      <c r="A3765"/>
      <c r="B3765" s="1293" t="s">
        <v>98</v>
      </c>
      <c r="C3765" s="1294"/>
      <c r="D3765" s="1294"/>
      <c r="E3765" s="1294"/>
      <c r="F3765" s="1295"/>
      <c r="G3765"/>
      <c r="H3765"/>
      <c r="I3765"/>
      <c r="J3765"/>
      <c r="K3765" s="848"/>
    </row>
    <row r="3766" spans="1:56" s="800" customFormat="1" ht="12.75">
      <c r="A3766"/>
      <c r="B3766" s="1296"/>
      <c r="C3766" s="1297"/>
      <c r="D3766" s="1298"/>
      <c r="E3766" s="181"/>
      <c r="F3766" s="896"/>
      <c r="G3766"/>
      <c r="H3766"/>
      <c r="I3766" s="863"/>
      <c r="J3766"/>
      <c r="K3766" s="848"/>
    </row>
    <row r="3767" spans="1:56" s="800" customFormat="1">
      <c r="A3767"/>
      <c r="B3767" s="1299" t="s">
        <v>1129</v>
      </c>
      <c r="C3767" s="1300"/>
      <c r="D3767" s="1301"/>
      <c r="E3767" s="865">
        <f>SUM(G3743:G3748,H3757:H3761,G3752:G3754)</f>
        <v>83.89</v>
      </c>
      <c r="F3767" s="139" t="s">
        <v>13</v>
      </c>
      <c r="G3767"/>
      <c r="H3767"/>
      <c r="I3767"/>
      <c r="J3767"/>
      <c r="K3767" s="848"/>
    </row>
    <row r="3768" spans="1:56" s="800" customFormat="1" ht="14.25">
      <c r="A3768"/>
      <c r="B3768" s="635" t="s">
        <v>2366</v>
      </c>
      <c r="C3768" s="203"/>
      <c r="D3768" s="204"/>
      <c r="E3768" s="1048">
        <v>1707</v>
      </c>
      <c r="F3768" s="216" t="s">
        <v>100</v>
      </c>
      <c r="G3768"/>
      <c r="H3768"/>
      <c r="I3768"/>
      <c r="J3768"/>
      <c r="K3768" s="848"/>
    </row>
    <row r="3769" spans="1:56" s="800" customFormat="1" ht="18.75" thickBot="1">
      <c r="A3769"/>
      <c r="B3769" s="1302" t="s">
        <v>1130</v>
      </c>
      <c r="C3769" s="1303"/>
      <c r="D3769" s="1304"/>
      <c r="E3769" s="895">
        <f>SUM(F3743:F3748,F3752:F3754,G3757:G3761)</f>
        <v>13.084999999999997</v>
      </c>
      <c r="F3769" s="440" t="s">
        <v>1124</v>
      </c>
      <c r="G3769"/>
      <c r="H3769"/>
      <c r="I3769"/>
      <c r="J3769"/>
      <c r="K3769" s="848"/>
    </row>
    <row r="3770" spans="1:56" s="800" customFormat="1" ht="12.75">
      <c r="A3770"/>
      <c r="B3770" s="1"/>
      <c r="C3770" s="1"/>
      <c r="D3770" s="1"/>
      <c r="E3770" s="1"/>
      <c r="F3770" s="1"/>
      <c r="G3770" s="1"/>
      <c r="H3770" s="3"/>
      <c r="I3770" s="3"/>
      <c r="J3770" s="3"/>
      <c r="K3770" s="848"/>
    </row>
    <row r="3771" spans="1:56" ht="16.5" thickBot="1">
      <c r="A3771" s="114"/>
      <c r="B3771" s="115"/>
      <c r="C3771" s="115"/>
      <c r="D3771" s="115"/>
      <c r="E3771" s="115"/>
      <c r="F3771" s="115"/>
      <c r="G3771" s="115"/>
      <c r="H3771" s="115"/>
      <c r="I3771" s="115"/>
      <c r="J3771" s="114"/>
      <c r="BA3771" s="117"/>
      <c r="BB3771" s="117"/>
      <c r="BC3771" s="117"/>
      <c r="BD3771" s="117"/>
    </row>
    <row r="3772" spans="1:56">
      <c r="A3772" s="114"/>
      <c r="B3772" s="1285" t="s">
        <v>320</v>
      </c>
      <c r="C3772" s="1286"/>
      <c r="D3772" s="1286"/>
      <c r="E3772" s="1286"/>
      <c r="F3772" s="1287"/>
      <c r="G3772" s="115"/>
      <c r="H3772" s="115"/>
      <c r="I3772" s="386"/>
      <c r="J3772" s="114"/>
      <c r="BA3772" s="117"/>
      <c r="BB3772" s="117"/>
      <c r="BC3772" s="117"/>
      <c r="BD3772" s="117"/>
    </row>
    <row r="3773" spans="1:56">
      <c r="A3773" s="114"/>
      <c r="B3773" s="690"/>
      <c r="C3773" s="115"/>
      <c r="D3773" s="115"/>
      <c r="E3773" s="115"/>
      <c r="F3773" s="182"/>
      <c r="G3773" s="115"/>
      <c r="H3773" s="115"/>
      <c r="I3773" s="386"/>
      <c r="J3773" s="114"/>
      <c r="BA3773" s="117"/>
      <c r="BB3773" s="117"/>
      <c r="BC3773" s="117"/>
      <c r="BD3773" s="117"/>
    </row>
    <row r="3774" spans="1:56" ht="15">
      <c r="A3774" s="114"/>
      <c r="B3774" s="691" t="s">
        <v>2131</v>
      </c>
      <c r="C3774" s="196"/>
      <c r="D3774" s="196"/>
      <c r="E3774" s="196"/>
      <c r="F3774" s="284"/>
      <c r="G3774" s="196"/>
      <c r="H3774" s="196"/>
      <c r="I3774" s="196"/>
      <c r="J3774" s="114"/>
      <c r="BA3774" s="117"/>
      <c r="BB3774" s="117"/>
      <c r="BC3774" s="117"/>
      <c r="BD3774" s="117"/>
    </row>
    <row r="3775" spans="1:56" ht="15">
      <c r="A3775" s="114"/>
      <c r="B3775" s="692" t="s">
        <v>352</v>
      </c>
      <c r="C3775" s="280">
        <v>407</v>
      </c>
      <c r="D3775" s="286" t="s">
        <v>12</v>
      </c>
      <c r="E3775" s="1199" t="s">
        <v>2147</v>
      </c>
      <c r="F3775" s="1200"/>
      <c r="G3775" s="196"/>
      <c r="H3775" s="196"/>
      <c r="I3775" s="196"/>
      <c r="J3775" s="114"/>
      <c r="BA3775" s="117"/>
      <c r="BB3775" s="117"/>
      <c r="BC3775" s="117"/>
      <c r="BD3775" s="117"/>
    </row>
    <row r="3776" spans="1:56" ht="15">
      <c r="A3776" s="114"/>
      <c r="B3776" s="692" t="s">
        <v>353</v>
      </c>
      <c r="C3776" s="280">
        <v>3</v>
      </c>
      <c r="D3776" s="286" t="s">
        <v>12</v>
      </c>
      <c r="E3776" s="1201"/>
      <c r="F3776" s="1202"/>
      <c r="G3776" s="196"/>
      <c r="H3776" s="196"/>
      <c r="I3776" s="196"/>
      <c r="J3776" s="114"/>
      <c r="BA3776" s="117"/>
      <c r="BB3776" s="117"/>
      <c r="BC3776" s="117"/>
      <c r="BD3776" s="117"/>
    </row>
    <row r="3777" spans="1:56">
      <c r="A3777" s="114"/>
      <c r="B3777" s="690"/>
      <c r="C3777" s="115"/>
      <c r="D3777" s="115"/>
      <c r="E3777" s="115"/>
      <c r="F3777" s="182"/>
      <c r="G3777" s="115"/>
      <c r="H3777" s="115"/>
      <c r="I3777" s="386"/>
      <c r="J3777" s="114"/>
      <c r="BA3777" s="117"/>
      <c r="BB3777" s="117"/>
      <c r="BC3777" s="117"/>
      <c r="BD3777" s="117"/>
    </row>
    <row r="3778" spans="1:56" ht="15">
      <c r="A3778" s="114"/>
      <c r="B3778" s="691" t="s">
        <v>2132</v>
      </c>
      <c r="C3778" s="196"/>
      <c r="D3778" s="196"/>
      <c r="E3778" s="196"/>
      <c r="F3778" s="284"/>
      <c r="G3778" s="196"/>
      <c r="H3778" s="196"/>
      <c r="I3778" s="196"/>
      <c r="J3778" s="114"/>
      <c r="BA3778" s="117"/>
      <c r="BB3778" s="117"/>
      <c r="BC3778" s="117"/>
      <c r="BD3778" s="117"/>
    </row>
    <row r="3779" spans="1:56" ht="15">
      <c r="A3779" s="114"/>
      <c r="B3779" s="692" t="s">
        <v>352</v>
      </c>
      <c r="C3779" s="280">
        <v>805</v>
      </c>
      <c r="D3779" s="286" t="s">
        <v>12</v>
      </c>
      <c r="E3779" s="1199" t="s">
        <v>2148</v>
      </c>
      <c r="F3779" s="1200"/>
      <c r="G3779" s="196"/>
      <c r="H3779" s="196"/>
      <c r="I3779" s="196"/>
      <c r="J3779" s="114"/>
      <c r="BA3779" s="117"/>
      <c r="BB3779" s="117"/>
      <c r="BC3779" s="117"/>
      <c r="BD3779" s="117"/>
    </row>
    <row r="3780" spans="1:56" ht="15">
      <c r="A3780" s="114"/>
      <c r="B3780" s="692" t="s">
        <v>353</v>
      </c>
      <c r="C3780" s="280">
        <v>47</v>
      </c>
      <c r="D3780" s="286" t="s">
        <v>12</v>
      </c>
      <c r="E3780" s="1201"/>
      <c r="F3780" s="1202"/>
      <c r="G3780" s="196"/>
      <c r="H3780" s="196"/>
      <c r="I3780" s="196"/>
      <c r="J3780" s="114"/>
      <c r="BA3780" s="117"/>
      <c r="BB3780" s="117"/>
      <c r="BC3780" s="117"/>
      <c r="BD3780" s="117"/>
    </row>
    <row r="3781" spans="1:56">
      <c r="A3781" s="114"/>
      <c r="B3781" s="690"/>
      <c r="C3781" s="115"/>
      <c r="D3781" s="115"/>
      <c r="E3781" s="115"/>
      <c r="F3781" s="182"/>
      <c r="G3781" s="115"/>
      <c r="H3781" s="115"/>
      <c r="I3781" s="386"/>
      <c r="J3781" s="114"/>
      <c r="BA3781" s="117"/>
      <c r="BB3781" s="117"/>
      <c r="BC3781" s="117"/>
      <c r="BD3781" s="117"/>
    </row>
    <row r="3782" spans="1:56" ht="15">
      <c r="A3782" s="114"/>
      <c r="B3782" s="691" t="s">
        <v>351</v>
      </c>
      <c r="C3782" s="211"/>
      <c r="D3782" s="196"/>
      <c r="E3782" s="288"/>
      <c r="F3782" s="284"/>
      <c r="G3782" s="196"/>
      <c r="H3782" s="196"/>
      <c r="I3782" s="196"/>
      <c r="J3782" s="114"/>
      <c r="BA3782" s="117"/>
      <c r="BB3782" s="117"/>
      <c r="BC3782" s="117"/>
      <c r="BD3782" s="117"/>
    </row>
    <row r="3783" spans="1:56">
      <c r="A3783" s="114"/>
      <c r="B3783" s="692" t="s">
        <v>352</v>
      </c>
      <c r="C3783" s="812"/>
      <c r="D3783" s="813"/>
      <c r="E3783" s="843">
        <f>C3775+C3779</f>
        <v>1212</v>
      </c>
      <c r="F3783" s="815" t="s">
        <v>12</v>
      </c>
      <c r="G3783" s="115"/>
      <c r="H3783" s="871"/>
      <c r="I3783" s="3"/>
      <c r="J3783" s="114"/>
      <c r="BA3783" s="117"/>
      <c r="BB3783" s="117"/>
      <c r="BC3783" s="117"/>
      <c r="BD3783" s="117"/>
    </row>
    <row r="3784" spans="1:56" ht="16.5" thickBot="1">
      <c r="A3784" s="114"/>
      <c r="B3784" s="784" t="s">
        <v>353</v>
      </c>
      <c r="C3784" s="829"/>
      <c r="D3784" s="830"/>
      <c r="E3784" s="869">
        <f>C3776+C3780</f>
        <v>50</v>
      </c>
      <c r="F3784" s="831" t="s">
        <v>12</v>
      </c>
      <c r="G3784" s="115"/>
      <c r="H3784" s="871"/>
      <c r="I3784" s="3"/>
      <c r="J3784" s="114"/>
      <c r="BA3784" s="117"/>
      <c r="BB3784" s="117"/>
      <c r="BC3784" s="117"/>
      <c r="BD3784" s="117"/>
    </row>
    <row r="3785" spans="1:56" customFormat="1" ht="12.75"/>
    <row r="3786" spans="1:56" ht="15">
      <c r="A3786" s="114"/>
      <c r="B3786" s="564"/>
      <c r="C3786" s="180"/>
      <c r="D3786" s="180"/>
      <c r="E3786" s="180"/>
      <c r="F3786" s="180"/>
      <c r="G3786" s="180"/>
      <c r="H3786" s="234"/>
      <c r="I3786" s="234"/>
      <c r="J3786" s="234"/>
    </row>
  </sheetData>
  <mergeCells count="909">
    <mergeCell ref="H400:I400"/>
    <mergeCell ref="B401:C401"/>
    <mergeCell ref="D401:G401"/>
    <mergeCell ref="H401:I401"/>
    <mergeCell ref="B402:I402"/>
    <mergeCell ref="B407:I407"/>
    <mergeCell ref="B408:I408"/>
    <mergeCell ref="E3082:F3082"/>
    <mergeCell ref="E3083:F3083"/>
    <mergeCell ref="E3060:F3060"/>
    <mergeCell ref="E3061:F3061"/>
    <mergeCell ref="E3062:F3062"/>
    <mergeCell ref="E3059:F3059"/>
    <mergeCell ref="E3056:F3056"/>
    <mergeCell ref="E3074:F3074"/>
    <mergeCell ref="E3076:F3076"/>
    <mergeCell ref="E3075:F3075"/>
    <mergeCell ref="E3078:F3078"/>
    <mergeCell ref="E3079:F3079"/>
    <mergeCell ref="E3080:F3080"/>
    <mergeCell ref="E3081:F3081"/>
    <mergeCell ref="D2782:E2782"/>
    <mergeCell ref="D2783:E2783"/>
    <mergeCell ref="D2784:E2784"/>
    <mergeCell ref="B144:I144"/>
    <mergeCell ref="B167:I167"/>
    <mergeCell ref="B190:I190"/>
    <mergeCell ref="B214:I214"/>
    <mergeCell ref="B2748:F2748"/>
    <mergeCell ref="B409:I409"/>
    <mergeCell ref="B410:I410"/>
    <mergeCell ref="B411:I411"/>
    <mergeCell ref="B391:I391"/>
    <mergeCell ref="B392:I392"/>
    <mergeCell ref="B393:I393"/>
    <mergeCell ref="B394:I394"/>
    <mergeCell ref="B395:I395"/>
    <mergeCell ref="B398:J398"/>
    <mergeCell ref="B399:I399"/>
    <mergeCell ref="B400:C400"/>
    <mergeCell ref="D400:G400"/>
    <mergeCell ref="B382:J382"/>
    <mergeCell ref="B383:I383"/>
    <mergeCell ref="B384:C384"/>
    <mergeCell ref="D384:G384"/>
    <mergeCell ref="H384:I384"/>
    <mergeCell ref="B385:C385"/>
    <mergeCell ref="D385:G385"/>
    <mergeCell ref="D2785:E2785"/>
    <mergeCell ref="D2786:E2786"/>
    <mergeCell ref="D2787:E2787"/>
    <mergeCell ref="B2811:F2811"/>
    <mergeCell ref="B2828:F2828"/>
    <mergeCell ref="B2847:F2847"/>
    <mergeCell ref="B3420:J3420"/>
    <mergeCell ref="B3427:F3427"/>
    <mergeCell ref="B3435:F3435"/>
    <mergeCell ref="E3228:F3228"/>
    <mergeCell ref="E3113:F3113"/>
    <mergeCell ref="E3106:F3106"/>
    <mergeCell ref="E3109:F3109"/>
    <mergeCell ref="E3181:F3185"/>
    <mergeCell ref="E3084:F3084"/>
    <mergeCell ref="E3085:F3085"/>
    <mergeCell ref="E3086:F3086"/>
    <mergeCell ref="E3087:F3087"/>
    <mergeCell ref="E3088:F3088"/>
    <mergeCell ref="E3110:F3110"/>
    <mergeCell ref="E3092:F3092"/>
    <mergeCell ref="E3094:F3094"/>
    <mergeCell ref="E3095:F3095"/>
    <mergeCell ref="E3093:F3093"/>
    <mergeCell ref="B3410:F3410"/>
    <mergeCell ref="E3413:F3413"/>
    <mergeCell ref="B3236:J3236"/>
    <mergeCell ref="B3282:J3282"/>
    <mergeCell ref="B3312:F3312"/>
    <mergeCell ref="B3320:F3320"/>
    <mergeCell ref="E3323:F3323"/>
    <mergeCell ref="B3329:J3329"/>
    <mergeCell ref="B3355:F3355"/>
    <mergeCell ref="B3363:F3363"/>
    <mergeCell ref="E3103:F3103"/>
    <mergeCell ref="B3170:F3170"/>
    <mergeCell ref="B3178:F3178"/>
    <mergeCell ref="E3188:F3189"/>
    <mergeCell ref="E3192:F3193"/>
    <mergeCell ref="B3200:J3200"/>
    <mergeCell ref="E3366:F3366"/>
    <mergeCell ref="B3372:J3372"/>
    <mergeCell ref="B3402:F3402"/>
    <mergeCell ref="B3217:F3217"/>
    <mergeCell ref="B3225:F3225"/>
    <mergeCell ref="E3098:F3098"/>
    <mergeCell ref="E3091:F3091"/>
    <mergeCell ref="E3614:F3614"/>
    <mergeCell ref="G3499:H3499"/>
    <mergeCell ref="G3506:H3506"/>
    <mergeCell ref="B3510:F3510"/>
    <mergeCell ref="B3518:F3518"/>
    <mergeCell ref="E3521:F3521"/>
    <mergeCell ref="B3444:J3444"/>
    <mergeCell ref="B3463:F3463"/>
    <mergeCell ref="B3471:F3471"/>
    <mergeCell ref="E3474:F3475"/>
    <mergeCell ref="B3482:J3482"/>
    <mergeCell ref="G3491:I3491"/>
    <mergeCell ref="G3492:I3492"/>
    <mergeCell ref="B3592:F3592"/>
    <mergeCell ref="B3599:F3599"/>
    <mergeCell ref="E3602:F3603"/>
    <mergeCell ref="E3606:F3607"/>
    <mergeCell ref="E3610:F3610"/>
    <mergeCell ref="E3613:F3613"/>
    <mergeCell ref="E3438:F3438"/>
    <mergeCell ref="E3099:F3099"/>
    <mergeCell ref="E3100:F3100"/>
    <mergeCell ref="E3070:F3070"/>
    <mergeCell ref="E3071:F3071"/>
    <mergeCell ref="E3065:F3065"/>
    <mergeCell ref="E3066:F3066"/>
    <mergeCell ref="E3068:F3068"/>
    <mergeCell ref="E3069:F3069"/>
    <mergeCell ref="E3067:F3067"/>
    <mergeCell ref="E3077:F3077"/>
    <mergeCell ref="E2980:F2980"/>
    <mergeCell ref="E2996:F2996"/>
    <mergeCell ref="E2998:F2998"/>
    <mergeCell ref="E2999:F2999"/>
    <mergeCell ref="E3000:F3000"/>
    <mergeCell ref="E3002:F3002"/>
    <mergeCell ref="E2997:F2997"/>
    <mergeCell ref="E3001:F3001"/>
    <mergeCell ref="E2984:F2984"/>
    <mergeCell ref="E2985:F2985"/>
    <mergeCell ref="E2986:F2986"/>
    <mergeCell ref="E2987:F2987"/>
    <mergeCell ref="E2988:F2988"/>
    <mergeCell ref="E2982:F2982"/>
    <mergeCell ref="E2983:F2983"/>
    <mergeCell ref="E2981:F2981"/>
    <mergeCell ref="E2993:F2993"/>
    <mergeCell ref="E2991:F2991"/>
    <mergeCell ref="E2992:F2992"/>
    <mergeCell ref="E2969:F2969"/>
    <mergeCell ref="E2970:F2970"/>
    <mergeCell ref="E2971:F2971"/>
    <mergeCell ref="E2972:F2972"/>
    <mergeCell ref="E2973:F2973"/>
    <mergeCell ref="E2945:F2945"/>
    <mergeCell ref="E2960:F2960"/>
    <mergeCell ref="E2961:F2961"/>
    <mergeCell ref="E2962:F2962"/>
    <mergeCell ref="E2963:F2963"/>
    <mergeCell ref="E2964:F2964"/>
    <mergeCell ref="E2965:F2965"/>
    <mergeCell ref="E2966:F2966"/>
    <mergeCell ref="E2967:F2967"/>
    <mergeCell ref="E2968:F2968"/>
    <mergeCell ref="E2951:F2951"/>
    <mergeCell ref="E2952:F2952"/>
    <mergeCell ref="E2953:F2953"/>
    <mergeCell ref="E2954:F2954"/>
    <mergeCell ref="E2955:F2955"/>
    <mergeCell ref="E2956:F2956"/>
    <mergeCell ref="E2957:F2957"/>
    <mergeCell ref="E2958:F2958"/>
    <mergeCell ref="E2959:F2959"/>
    <mergeCell ref="E2942:F2942"/>
    <mergeCell ref="E2943:F2943"/>
    <mergeCell ref="E2944:F2944"/>
    <mergeCell ref="E2946:F2946"/>
    <mergeCell ref="E2947:F2947"/>
    <mergeCell ref="E2948:F2948"/>
    <mergeCell ref="E2949:F2949"/>
    <mergeCell ref="E2950:F2950"/>
    <mergeCell ref="E2933:F2933"/>
    <mergeCell ref="E2934:F2934"/>
    <mergeCell ref="E2935:F2935"/>
    <mergeCell ref="E2937:F2937"/>
    <mergeCell ref="E2938:F2938"/>
    <mergeCell ref="E2939:F2939"/>
    <mergeCell ref="E2940:F2940"/>
    <mergeCell ref="E2941:F2941"/>
    <mergeCell ref="E2928:F2928"/>
    <mergeCell ref="E2929:F2929"/>
    <mergeCell ref="E2930:F2930"/>
    <mergeCell ref="E2931:F2931"/>
    <mergeCell ref="E2932:F2932"/>
    <mergeCell ref="E2925:F2925"/>
    <mergeCell ref="E2926:F2926"/>
    <mergeCell ref="E2927:F2927"/>
    <mergeCell ref="E2914:F2914"/>
    <mergeCell ref="E2915:F2915"/>
    <mergeCell ref="E2916:F2916"/>
    <mergeCell ref="E2917:F2917"/>
    <mergeCell ref="E2919:F2919"/>
    <mergeCell ref="E2920:F2920"/>
    <mergeCell ref="E2904:F2904"/>
    <mergeCell ref="E2905:F2905"/>
    <mergeCell ref="E2906:F2906"/>
    <mergeCell ref="E2907:F2907"/>
    <mergeCell ref="E2908:F2908"/>
    <mergeCell ref="E2909:F2909"/>
    <mergeCell ref="E2921:F2921"/>
    <mergeCell ref="E2922:F2922"/>
    <mergeCell ref="E2918:F2918"/>
    <mergeCell ref="E3016:F3016"/>
    <mergeCell ref="E3017:F3017"/>
    <mergeCell ref="E3019:F3019"/>
    <mergeCell ref="E3018:F3018"/>
    <mergeCell ref="E3021:F3021"/>
    <mergeCell ref="E3022:F3022"/>
    <mergeCell ref="E3023:F3023"/>
    <mergeCell ref="E2884:F2884"/>
    <mergeCell ref="E2885:F2885"/>
    <mergeCell ref="E2886:F2886"/>
    <mergeCell ref="E2887:F2887"/>
    <mergeCell ref="E2888:F2888"/>
    <mergeCell ref="E2889:F2889"/>
    <mergeCell ref="E2890:F2890"/>
    <mergeCell ref="E2891:F2891"/>
    <mergeCell ref="E2892:F2892"/>
    <mergeCell ref="E2893:F2893"/>
    <mergeCell ref="E2894:F2894"/>
    <mergeCell ref="E2895:F2895"/>
    <mergeCell ref="E2897:F2897"/>
    <mergeCell ref="E2898:F2898"/>
    <mergeCell ref="E2899:F2899"/>
    <mergeCell ref="E2900:F2900"/>
    <mergeCell ref="E2910:F2910"/>
    <mergeCell ref="E3024:F3024"/>
    <mergeCell ref="E3025:F3025"/>
    <mergeCell ref="E3026:F3026"/>
    <mergeCell ref="E3027:F3027"/>
    <mergeCell ref="E3028:F3028"/>
    <mergeCell ref="E3020:F3020"/>
    <mergeCell ref="E3052:F3052"/>
    <mergeCell ref="E3054:F3054"/>
    <mergeCell ref="E3055:F3055"/>
    <mergeCell ref="E3053:F3053"/>
    <mergeCell ref="E3042:F3042"/>
    <mergeCell ref="E3043:F3043"/>
    <mergeCell ref="E3044:F3044"/>
    <mergeCell ref="E3046:F3046"/>
    <mergeCell ref="E3047:F3047"/>
    <mergeCell ref="E3048:F3048"/>
    <mergeCell ref="E3051:F3051"/>
    <mergeCell ref="E3031:F3031"/>
    <mergeCell ref="E3040:F3041"/>
    <mergeCell ref="E3034:F3035"/>
    <mergeCell ref="E3036:F3037"/>
    <mergeCell ref="E3038:F3039"/>
    <mergeCell ref="E3045:F3045"/>
    <mergeCell ref="B2852:F2852"/>
    <mergeCell ref="E3005:F3005"/>
    <mergeCell ref="E3006:F3006"/>
    <mergeCell ref="E3013:F3013"/>
    <mergeCell ref="E2936:F2936"/>
    <mergeCell ref="E2976:F2976"/>
    <mergeCell ref="E2881:F2881"/>
    <mergeCell ref="E2882:F2882"/>
    <mergeCell ref="E2883:F2883"/>
    <mergeCell ref="B2867:F2867"/>
    <mergeCell ref="E2878:F2878"/>
    <mergeCell ref="E2870:F2870"/>
    <mergeCell ref="E2871:F2871"/>
    <mergeCell ref="E2872:F2872"/>
    <mergeCell ref="E2873:F2873"/>
    <mergeCell ref="E2874:F2874"/>
    <mergeCell ref="E2875:F2875"/>
    <mergeCell ref="E3009:F3009"/>
    <mergeCell ref="E3010:F3010"/>
    <mergeCell ref="E2896:F2896"/>
    <mergeCell ref="E2913:F2913"/>
    <mergeCell ref="E2901:F2901"/>
    <mergeCell ref="E2902:F2902"/>
    <mergeCell ref="E2903:F2903"/>
    <mergeCell ref="H385:I385"/>
    <mergeCell ref="B386:I386"/>
    <mergeCell ref="B345:I345"/>
    <mergeCell ref="B346:I346"/>
    <mergeCell ref="B347:I347"/>
    <mergeCell ref="B366:J366"/>
    <mergeCell ref="B367:I367"/>
    <mergeCell ref="B368:C368"/>
    <mergeCell ref="D368:G368"/>
    <mergeCell ref="H368:I368"/>
    <mergeCell ref="B369:C369"/>
    <mergeCell ref="D369:G369"/>
    <mergeCell ref="H369:I369"/>
    <mergeCell ref="B370:I370"/>
    <mergeCell ref="B375:I375"/>
    <mergeCell ref="B376:I376"/>
    <mergeCell ref="B377:I377"/>
    <mergeCell ref="B378:I378"/>
    <mergeCell ref="B379:I379"/>
    <mergeCell ref="B350:J350"/>
    <mergeCell ref="B351:I351"/>
    <mergeCell ref="B361:I361"/>
    <mergeCell ref="B362:I362"/>
    <mergeCell ref="B363:I363"/>
    <mergeCell ref="B359:I359"/>
    <mergeCell ref="B360:I360"/>
    <mergeCell ref="B322:I322"/>
    <mergeCell ref="B327:I327"/>
    <mergeCell ref="B328:I328"/>
    <mergeCell ref="B329:I329"/>
    <mergeCell ref="B330:I330"/>
    <mergeCell ref="B331:I331"/>
    <mergeCell ref="B334:J334"/>
    <mergeCell ref="B335:I335"/>
    <mergeCell ref="B338:I338"/>
    <mergeCell ref="E932:F933"/>
    <mergeCell ref="E936:F937"/>
    <mergeCell ref="E943:F944"/>
    <mergeCell ref="E947:F948"/>
    <mergeCell ref="B286:J286"/>
    <mergeCell ref="B304:C304"/>
    <mergeCell ref="D304:G304"/>
    <mergeCell ref="H304:I304"/>
    <mergeCell ref="B305:C305"/>
    <mergeCell ref="D305:G305"/>
    <mergeCell ref="H305:I305"/>
    <mergeCell ref="B306:I306"/>
    <mergeCell ref="B311:I311"/>
    <mergeCell ref="B312:I312"/>
    <mergeCell ref="B336:C336"/>
    <mergeCell ref="D336:G336"/>
    <mergeCell ref="H336:I336"/>
    <mergeCell ref="B337:C337"/>
    <mergeCell ref="D337:G337"/>
    <mergeCell ref="H337:I337"/>
    <mergeCell ref="B314:I314"/>
    <mergeCell ref="B315:I315"/>
    <mergeCell ref="B318:J318"/>
    <mergeCell ref="B319:I319"/>
    <mergeCell ref="B274:I274"/>
    <mergeCell ref="B275:I275"/>
    <mergeCell ref="B297:I297"/>
    <mergeCell ref="B298:I298"/>
    <mergeCell ref="B299:I299"/>
    <mergeCell ref="B899:F899"/>
    <mergeCell ref="E919:F921"/>
    <mergeCell ref="E924:F925"/>
    <mergeCell ref="E928:F929"/>
    <mergeCell ref="B320:C320"/>
    <mergeCell ref="D320:G320"/>
    <mergeCell ref="H320:I320"/>
    <mergeCell ref="B321:C321"/>
    <mergeCell ref="D321:G321"/>
    <mergeCell ref="H321:I321"/>
    <mergeCell ref="B343:I343"/>
    <mergeCell ref="B344:I344"/>
    <mergeCell ref="B352:C352"/>
    <mergeCell ref="D352:G352"/>
    <mergeCell ref="H352:I352"/>
    <mergeCell ref="B353:C353"/>
    <mergeCell ref="D353:G353"/>
    <mergeCell ref="H353:I353"/>
    <mergeCell ref="B354:I354"/>
    <mergeCell ref="B277:I277"/>
    <mergeCell ref="B278:I278"/>
    <mergeCell ref="B260:I260"/>
    <mergeCell ref="B246:C246"/>
    <mergeCell ref="D246:G246"/>
    <mergeCell ref="B302:J302"/>
    <mergeCell ref="B303:I303"/>
    <mergeCell ref="B252:I252"/>
    <mergeCell ref="B253:I253"/>
    <mergeCell ref="B254:I254"/>
    <mergeCell ref="B255:I255"/>
    <mergeCell ref="B256:I256"/>
    <mergeCell ref="B257:I257"/>
    <mergeCell ref="B258:I258"/>
    <mergeCell ref="B287:I287"/>
    <mergeCell ref="B288:C288"/>
    <mergeCell ref="D288:G288"/>
    <mergeCell ref="H288:I288"/>
    <mergeCell ref="B289:C289"/>
    <mergeCell ref="D289:G289"/>
    <mergeCell ref="H289:I289"/>
    <mergeCell ref="B290:I290"/>
    <mergeCell ref="B295:I295"/>
    <mergeCell ref="B273:I273"/>
    <mergeCell ref="B118:I118"/>
    <mergeCell ref="B119:I119"/>
    <mergeCell ref="B120:I120"/>
    <mergeCell ref="B110:C110"/>
    <mergeCell ref="D110:G110"/>
    <mergeCell ref="H110:I110"/>
    <mergeCell ref="B111:I111"/>
    <mergeCell ref="B117:I117"/>
    <mergeCell ref="B107:J107"/>
    <mergeCell ref="B109:C109"/>
    <mergeCell ref="D109:G109"/>
    <mergeCell ref="H109:I109"/>
    <mergeCell ref="B61:C61"/>
    <mergeCell ref="D61:G61"/>
    <mergeCell ref="H61:I61"/>
    <mergeCell ref="B72:I72"/>
    <mergeCell ref="B43:J43"/>
    <mergeCell ref="B44:I44"/>
    <mergeCell ref="B45:C45"/>
    <mergeCell ref="D45:G45"/>
    <mergeCell ref="H45:I45"/>
    <mergeCell ref="B46:C46"/>
    <mergeCell ref="D46:G46"/>
    <mergeCell ref="H46:I46"/>
    <mergeCell ref="B47:I47"/>
    <mergeCell ref="B53:I53"/>
    <mergeCell ref="B145:I145"/>
    <mergeCell ref="B280:I280"/>
    <mergeCell ref="B267:C267"/>
    <mergeCell ref="D267:G267"/>
    <mergeCell ref="H267:I267"/>
    <mergeCell ref="B268:I268"/>
    <mergeCell ref="B313:I313"/>
    <mergeCell ref="B296:I296"/>
    <mergeCell ref="B259:I259"/>
    <mergeCell ref="B261:I261"/>
    <mergeCell ref="B264:J264"/>
    <mergeCell ref="B265:I265"/>
    <mergeCell ref="B266:C266"/>
    <mergeCell ref="D266:G266"/>
    <mergeCell ref="H266:I266"/>
    <mergeCell ref="B247:I247"/>
    <mergeCell ref="B183:I183"/>
    <mergeCell ref="B184:I184"/>
    <mergeCell ref="B185:I185"/>
    <mergeCell ref="B186:I186"/>
    <mergeCell ref="B187:I187"/>
    <mergeCell ref="B188:I188"/>
    <mergeCell ref="B243:J243"/>
    <mergeCell ref="B244:I244"/>
    <mergeCell ref="H199:I199"/>
    <mergeCell ref="E1246:F1247"/>
    <mergeCell ref="E1250:F1250"/>
    <mergeCell ref="E1253:F1254"/>
    <mergeCell ref="E951:F952"/>
    <mergeCell ref="E955:F956"/>
    <mergeCell ref="E959:F959"/>
    <mergeCell ref="E962:F963"/>
    <mergeCell ref="E966:F969"/>
    <mergeCell ref="D245:G245"/>
    <mergeCell ref="H245:I245"/>
    <mergeCell ref="D199:G199"/>
    <mergeCell ref="B232:I232"/>
    <mergeCell ref="B233:I233"/>
    <mergeCell ref="B240:I240"/>
    <mergeCell ref="B279:I279"/>
    <mergeCell ref="B215:I215"/>
    <mergeCell ref="B234:I234"/>
    <mergeCell ref="B235:I235"/>
    <mergeCell ref="B236:I236"/>
    <mergeCell ref="B237:I237"/>
    <mergeCell ref="B238:I238"/>
    <mergeCell ref="B221:J221"/>
    <mergeCell ref="B276:I276"/>
    <mergeCell ref="B193:I193"/>
    <mergeCell ref="B194:I194"/>
    <mergeCell ref="B160:I160"/>
    <mergeCell ref="B161:I161"/>
    <mergeCell ref="B162:I162"/>
    <mergeCell ref="B163:I163"/>
    <mergeCell ref="B165:I165"/>
    <mergeCell ref="B168:I168"/>
    <mergeCell ref="B164:I164"/>
    <mergeCell ref="B166:I166"/>
    <mergeCell ref="B189:I189"/>
    <mergeCell ref="B191:I191"/>
    <mergeCell ref="B192:I192"/>
    <mergeCell ref="B174:J174"/>
    <mergeCell ref="B175:I175"/>
    <mergeCell ref="B176:C176"/>
    <mergeCell ref="D176:G176"/>
    <mergeCell ref="H176:I176"/>
    <mergeCell ref="B177:C177"/>
    <mergeCell ref="D177:G177"/>
    <mergeCell ref="H177:I177"/>
    <mergeCell ref="B178:I178"/>
    <mergeCell ref="H246:I246"/>
    <mergeCell ref="B231:I231"/>
    <mergeCell ref="B222:I222"/>
    <mergeCell ref="B223:C223"/>
    <mergeCell ref="D223:G223"/>
    <mergeCell ref="H223:I223"/>
    <mergeCell ref="B224:C224"/>
    <mergeCell ref="D224:G224"/>
    <mergeCell ref="H224:I224"/>
    <mergeCell ref="B225:I225"/>
    <mergeCell ref="B230:I230"/>
    <mergeCell ref="B239:I239"/>
    <mergeCell ref="B245:C245"/>
    <mergeCell ref="B136:I136"/>
    <mergeCell ref="B211:I211"/>
    <mergeCell ref="B212:I212"/>
    <mergeCell ref="B213:I213"/>
    <mergeCell ref="B216:I216"/>
    <mergeCell ref="B217:I217"/>
    <mergeCell ref="B218:I218"/>
    <mergeCell ref="B200:C200"/>
    <mergeCell ref="D200:G200"/>
    <mergeCell ref="H200:I200"/>
    <mergeCell ref="B201:I201"/>
    <mergeCell ref="B206:I206"/>
    <mergeCell ref="B207:I207"/>
    <mergeCell ref="B208:I208"/>
    <mergeCell ref="B209:I209"/>
    <mergeCell ref="B210:I210"/>
    <mergeCell ref="B169:I169"/>
    <mergeCell ref="B170:I170"/>
    <mergeCell ref="B171:I171"/>
    <mergeCell ref="B197:J197"/>
    <mergeCell ref="B198:I198"/>
    <mergeCell ref="B199:C199"/>
    <mergeCell ref="B143:I143"/>
    <mergeCell ref="B159:I159"/>
    <mergeCell ref="B150:J150"/>
    <mergeCell ref="B151:I151"/>
    <mergeCell ref="B152:C152"/>
    <mergeCell ref="D152:G152"/>
    <mergeCell ref="H152:I152"/>
    <mergeCell ref="B153:C153"/>
    <mergeCell ref="D153:G153"/>
    <mergeCell ref="H153:I153"/>
    <mergeCell ref="B154:I154"/>
    <mergeCell ref="B146:I146"/>
    <mergeCell ref="B147:I147"/>
    <mergeCell ref="B77:C77"/>
    <mergeCell ref="D77:G77"/>
    <mergeCell ref="B104:I104"/>
    <mergeCell ref="B108:I108"/>
    <mergeCell ref="B79:I79"/>
    <mergeCell ref="B84:I84"/>
    <mergeCell ref="B100:I100"/>
    <mergeCell ref="D78:G78"/>
    <mergeCell ref="H78:I78"/>
    <mergeCell ref="H94:I94"/>
    <mergeCell ref="B101:I101"/>
    <mergeCell ref="B87:I87"/>
    <mergeCell ref="B94:C94"/>
    <mergeCell ref="D94:G94"/>
    <mergeCell ref="B88:I88"/>
    <mergeCell ref="B91:J91"/>
    <mergeCell ref="B92:I92"/>
    <mergeCell ref="B93:C93"/>
    <mergeCell ref="B86:I86"/>
    <mergeCell ref="B85:I85"/>
    <mergeCell ref="B138:I138"/>
    <mergeCell ref="B137:I137"/>
    <mergeCell ref="B15:I15"/>
    <mergeCell ref="B20:I20"/>
    <mergeCell ref="B135:I135"/>
    <mergeCell ref="B139:I139"/>
    <mergeCell ref="B140:I140"/>
    <mergeCell ref="B142:I142"/>
    <mergeCell ref="B126:J126"/>
    <mergeCell ref="B127:I127"/>
    <mergeCell ref="B128:C128"/>
    <mergeCell ref="D128:G128"/>
    <mergeCell ref="H128:I128"/>
    <mergeCell ref="B129:C129"/>
    <mergeCell ref="D129:G129"/>
    <mergeCell ref="H129:I129"/>
    <mergeCell ref="B130:I130"/>
    <mergeCell ref="B141:I141"/>
    <mergeCell ref="B75:J75"/>
    <mergeCell ref="D93:G93"/>
    <mergeCell ref="H93:I93"/>
    <mergeCell ref="B116:I116"/>
    <mergeCell ref="B54:I54"/>
    <mergeCell ref="B39:I39"/>
    <mergeCell ref="B60:I60"/>
    <mergeCell ref="B37:I37"/>
    <mergeCell ref="B22:I22"/>
    <mergeCell ref="B23:I23"/>
    <mergeCell ref="B24:I24"/>
    <mergeCell ref="B27:J27"/>
    <mergeCell ref="B28:I28"/>
    <mergeCell ref="B70:I70"/>
    <mergeCell ref="F2:G2"/>
    <mergeCell ref="B3:G5"/>
    <mergeCell ref="H3:I3"/>
    <mergeCell ref="H4:I4"/>
    <mergeCell ref="H5:I5"/>
    <mergeCell ref="B11:J11"/>
    <mergeCell ref="B12:I12"/>
    <mergeCell ref="B13:C13"/>
    <mergeCell ref="D13:G13"/>
    <mergeCell ref="H13:I13"/>
    <mergeCell ref="B14:C14"/>
    <mergeCell ref="D14:G14"/>
    <mergeCell ref="H14:I14"/>
    <mergeCell ref="B21:I21"/>
    <mergeCell ref="B29:C29"/>
    <mergeCell ref="D29:G29"/>
    <mergeCell ref="B6:J6"/>
    <mergeCell ref="H29:I29"/>
    <mergeCell ref="B30:C30"/>
    <mergeCell ref="D30:G30"/>
    <mergeCell ref="H30:I30"/>
    <mergeCell ref="B40:I40"/>
    <mergeCell ref="B59:J59"/>
    <mergeCell ref="B38:I38"/>
    <mergeCell ref="B95:I95"/>
    <mergeCell ref="B102:I102"/>
    <mergeCell ref="B103:I103"/>
    <mergeCell ref="B68:I68"/>
    <mergeCell ref="B55:I55"/>
    <mergeCell ref="B56:I56"/>
    <mergeCell ref="B76:I76"/>
    <mergeCell ref="H77:I77"/>
    <mergeCell ref="B69:I69"/>
    <mergeCell ref="B62:C62"/>
    <mergeCell ref="D62:G62"/>
    <mergeCell ref="H62:I62"/>
    <mergeCell ref="B31:I31"/>
    <mergeCell ref="B36:I36"/>
    <mergeCell ref="B63:I63"/>
    <mergeCell ref="B52:I52"/>
    <mergeCell ref="B78:C78"/>
    <mergeCell ref="B71:I71"/>
    <mergeCell ref="B414:J414"/>
    <mergeCell ref="B415:I415"/>
    <mergeCell ref="B416:C416"/>
    <mergeCell ref="D416:G416"/>
    <mergeCell ref="H416:I416"/>
    <mergeCell ref="B417:C417"/>
    <mergeCell ref="D417:G417"/>
    <mergeCell ref="H417:I417"/>
    <mergeCell ref="B418:I418"/>
    <mergeCell ref="B423:I423"/>
    <mergeCell ref="B424:I424"/>
    <mergeCell ref="B425:I425"/>
    <mergeCell ref="B426:I426"/>
    <mergeCell ref="B427:I427"/>
    <mergeCell ref="B446:J446"/>
    <mergeCell ref="B447:I447"/>
    <mergeCell ref="B448:C448"/>
    <mergeCell ref="D448:G448"/>
    <mergeCell ref="H448:I448"/>
    <mergeCell ref="B430:J430"/>
    <mergeCell ref="B431:I431"/>
    <mergeCell ref="B432:C432"/>
    <mergeCell ref="D432:G432"/>
    <mergeCell ref="H432:I432"/>
    <mergeCell ref="B433:C433"/>
    <mergeCell ref="D433:G433"/>
    <mergeCell ref="H433:I433"/>
    <mergeCell ref="B434:I434"/>
    <mergeCell ref="B439:I439"/>
    <mergeCell ref="B440:I440"/>
    <mergeCell ref="B441:I441"/>
    <mergeCell ref="B442:I442"/>
    <mergeCell ref="B443:I443"/>
    <mergeCell ref="B449:C449"/>
    <mergeCell ref="D449:G449"/>
    <mergeCell ref="H449:I449"/>
    <mergeCell ref="B450:I450"/>
    <mergeCell ref="B455:I455"/>
    <mergeCell ref="B456:I456"/>
    <mergeCell ref="B457:I457"/>
    <mergeCell ref="B458:I458"/>
    <mergeCell ref="B459:I459"/>
    <mergeCell ref="E1051:F1052"/>
    <mergeCell ref="B1285:F1285"/>
    <mergeCell ref="E1294:F1295"/>
    <mergeCell ref="B1332:F1332"/>
    <mergeCell ref="B1339:F1339"/>
    <mergeCell ref="E1342:F1345"/>
    <mergeCell ref="E1348:F1348"/>
    <mergeCell ref="B1382:F1382"/>
    <mergeCell ref="B1124:F1124"/>
    <mergeCell ref="E1127:F1129"/>
    <mergeCell ref="E1132:F1133"/>
    <mergeCell ref="B1228:F1228"/>
    <mergeCell ref="B1238:F1238"/>
    <mergeCell ref="E1241:F1243"/>
    <mergeCell ref="B1115:F1115"/>
    <mergeCell ref="B471:I471"/>
    <mergeCell ref="B472:I472"/>
    <mergeCell ref="B473:I473"/>
    <mergeCell ref="B474:I474"/>
    <mergeCell ref="B475:I475"/>
    <mergeCell ref="B478:J478"/>
    <mergeCell ref="B479:I479"/>
    <mergeCell ref="B480:C480"/>
    <mergeCell ref="D480:G480"/>
    <mergeCell ref="H480:I480"/>
    <mergeCell ref="B462:J462"/>
    <mergeCell ref="B463:I463"/>
    <mergeCell ref="B464:C464"/>
    <mergeCell ref="D464:G464"/>
    <mergeCell ref="H464:I464"/>
    <mergeCell ref="B465:C465"/>
    <mergeCell ref="D465:G465"/>
    <mergeCell ref="H465:I465"/>
    <mergeCell ref="B466:I466"/>
    <mergeCell ref="D481:G481"/>
    <mergeCell ref="H481:I481"/>
    <mergeCell ref="B482:I482"/>
    <mergeCell ref="B487:I487"/>
    <mergeCell ref="B488:I488"/>
    <mergeCell ref="B489:I489"/>
    <mergeCell ref="B490:I490"/>
    <mergeCell ref="B491:I491"/>
    <mergeCell ref="B481:C481"/>
    <mergeCell ref="B3621:J3621"/>
    <mergeCell ref="B3657:F3657"/>
    <mergeCell ref="B3665:F3665"/>
    <mergeCell ref="B2604:F2604"/>
    <mergeCell ref="B1291:F1291"/>
    <mergeCell ref="B2772:F2772"/>
    <mergeCell ref="B2796:F2796"/>
    <mergeCell ref="B1458:F1458"/>
    <mergeCell ref="B1465:F1465"/>
    <mergeCell ref="B1391:F1391"/>
    <mergeCell ref="E1394:F1396"/>
    <mergeCell ref="E1399:F1400"/>
    <mergeCell ref="B2465:F2465"/>
    <mergeCell ref="B2288:F2288"/>
    <mergeCell ref="B2120:F2120"/>
    <mergeCell ref="B1837:F1837"/>
    <mergeCell ref="B1548:F1548"/>
    <mergeCell ref="B1556:F1556"/>
    <mergeCell ref="B2439:F2439"/>
    <mergeCell ref="B2549:F2549"/>
    <mergeCell ref="E1571:F1574"/>
    <mergeCell ref="B1601:F1601"/>
    <mergeCell ref="B1608:F1608"/>
    <mergeCell ref="E1611:F1612"/>
    <mergeCell ref="B1034:F1034"/>
    <mergeCell ref="B1043:F1043"/>
    <mergeCell ref="E1046:F1048"/>
    <mergeCell ref="D544:G544"/>
    <mergeCell ref="H544:I544"/>
    <mergeCell ref="B545:C545"/>
    <mergeCell ref="D545:G545"/>
    <mergeCell ref="E3775:F3776"/>
    <mergeCell ref="E3779:F3780"/>
    <mergeCell ref="B3234:J3234"/>
    <mergeCell ref="B3265:F3265"/>
    <mergeCell ref="B3273:F3273"/>
    <mergeCell ref="E3276:F3276"/>
    <mergeCell ref="B3772:F3772"/>
    <mergeCell ref="B3739:J3739"/>
    <mergeCell ref="B3765:F3765"/>
    <mergeCell ref="B3766:D3766"/>
    <mergeCell ref="B3767:D3767"/>
    <mergeCell ref="B3769:D3769"/>
    <mergeCell ref="B3730:F3730"/>
    <mergeCell ref="E3733:F3733"/>
    <mergeCell ref="B572:I572"/>
    <mergeCell ref="B573:C573"/>
    <mergeCell ref="D573:G573"/>
    <mergeCell ref="B513:J513"/>
    <mergeCell ref="B514:I514"/>
    <mergeCell ref="B515:C515"/>
    <mergeCell ref="D515:G515"/>
    <mergeCell ref="H515:I515"/>
    <mergeCell ref="B516:C516"/>
    <mergeCell ref="D516:G516"/>
    <mergeCell ref="H516:I516"/>
    <mergeCell ref="B517:I517"/>
    <mergeCell ref="B522:I522"/>
    <mergeCell ref="B533:I533"/>
    <mergeCell ref="B537:I537"/>
    <mergeCell ref="B538:I538"/>
    <mergeCell ref="B539:I539"/>
    <mergeCell ref="B542:J542"/>
    <mergeCell ref="B543:I543"/>
    <mergeCell ref="B544:C544"/>
    <mergeCell ref="B3722:F3722"/>
    <mergeCell ref="H545:I545"/>
    <mergeCell ref="B546:I546"/>
    <mergeCell ref="B551:I551"/>
    <mergeCell ref="B566:I566"/>
    <mergeCell ref="E3668:F3668"/>
    <mergeCell ref="B3675:J3675"/>
    <mergeCell ref="B3697:F3697"/>
    <mergeCell ref="B3704:F3704"/>
    <mergeCell ref="E3707:F3707"/>
    <mergeCell ref="B3713:J3713"/>
    <mergeCell ref="G3718:I3718"/>
    <mergeCell ref="G3719:I3719"/>
    <mergeCell ref="B567:I567"/>
    <mergeCell ref="B568:I568"/>
    <mergeCell ref="B571:J571"/>
    <mergeCell ref="B624:I624"/>
    <mergeCell ref="B625:I625"/>
    <mergeCell ref="B601:I601"/>
    <mergeCell ref="B602:I602"/>
    <mergeCell ref="H573:I573"/>
    <mergeCell ref="B574:C574"/>
    <mergeCell ref="D574:G574"/>
    <mergeCell ref="H574:I574"/>
    <mergeCell ref="B575:I575"/>
    <mergeCell ref="B580:I580"/>
    <mergeCell ref="B584:I584"/>
    <mergeCell ref="B585:I585"/>
    <mergeCell ref="B586:I586"/>
    <mergeCell ref="B615:I615"/>
    <mergeCell ref="B616:I616"/>
    <mergeCell ref="B617:I617"/>
    <mergeCell ref="B618:I618"/>
    <mergeCell ref="B619:I619"/>
    <mergeCell ref="B620:I620"/>
    <mergeCell ref="B621:I621"/>
    <mergeCell ref="B622:I622"/>
    <mergeCell ref="B623:I623"/>
    <mergeCell ref="B650:J650"/>
    <mergeCell ref="B651:I651"/>
    <mergeCell ref="B652:C652"/>
    <mergeCell ref="D652:G652"/>
    <mergeCell ref="H652:I652"/>
    <mergeCell ref="B653:C653"/>
    <mergeCell ref="D653:G653"/>
    <mergeCell ref="H653:I653"/>
    <mergeCell ref="B654:I654"/>
    <mergeCell ref="B669:I669"/>
    <mergeCell ref="B659:I659"/>
    <mergeCell ref="B673:I673"/>
    <mergeCell ref="B674:I674"/>
    <mergeCell ref="B675:I675"/>
    <mergeCell ref="B667:I667"/>
    <mergeCell ref="B660:I660"/>
    <mergeCell ref="B661:I661"/>
    <mergeCell ref="B662:I662"/>
    <mergeCell ref="B663:I663"/>
    <mergeCell ref="B664:I664"/>
    <mergeCell ref="B665:I665"/>
    <mergeCell ref="B666:I666"/>
    <mergeCell ref="B668:I668"/>
    <mergeCell ref="B670:I670"/>
    <mergeCell ref="B671:I671"/>
    <mergeCell ref="B672:I672"/>
    <mergeCell ref="B638:I638"/>
    <mergeCell ref="B523:I523"/>
    <mergeCell ref="B524:I524"/>
    <mergeCell ref="B525:I525"/>
    <mergeCell ref="B526:I526"/>
    <mergeCell ref="B527:I527"/>
    <mergeCell ref="B530:I530"/>
    <mergeCell ref="B552:I552"/>
    <mergeCell ref="B553:I553"/>
    <mergeCell ref="B554:I554"/>
    <mergeCell ref="B532:I532"/>
    <mergeCell ref="B528:I528"/>
    <mergeCell ref="B529:I529"/>
    <mergeCell ref="B531:I531"/>
    <mergeCell ref="B555:I555"/>
    <mergeCell ref="B556:I556"/>
    <mergeCell ref="B557:I557"/>
    <mergeCell ref="B558:I558"/>
    <mergeCell ref="B559:I559"/>
    <mergeCell ref="B560:I560"/>
    <mergeCell ref="B561:I561"/>
    <mergeCell ref="B629:I629"/>
    <mergeCell ref="B630:I630"/>
    <mergeCell ref="B631:I631"/>
    <mergeCell ref="B643:I643"/>
    <mergeCell ref="B644:I644"/>
    <mergeCell ref="B645:I645"/>
    <mergeCell ref="B646:I646"/>
    <mergeCell ref="B647:I647"/>
    <mergeCell ref="B589:J589"/>
    <mergeCell ref="B590:I590"/>
    <mergeCell ref="B591:C591"/>
    <mergeCell ref="D591:G591"/>
    <mergeCell ref="H591:I591"/>
    <mergeCell ref="B592:C592"/>
    <mergeCell ref="D592:G592"/>
    <mergeCell ref="H592:I592"/>
    <mergeCell ref="B593:I593"/>
    <mergeCell ref="B598:I598"/>
    <mergeCell ref="B599:I599"/>
    <mergeCell ref="B634:J634"/>
    <mergeCell ref="B635:I635"/>
    <mergeCell ref="B636:C636"/>
    <mergeCell ref="D636:G636"/>
    <mergeCell ref="H636:I636"/>
    <mergeCell ref="B637:C637"/>
    <mergeCell ref="D637:G637"/>
    <mergeCell ref="H637:I637"/>
    <mergeCell ref="B534:I534"/>
    <mergeCell ref="B535:I535"/>
    <mergeCell ref="B536:I536"/>
    <mergeCell ref="B563:I563"/>
    <mergeCell ref="B564:I564"/>
    <mergeCell ref="B565:I565"/>
    <mergeCell ref="B626:I626"/>
    <mergeCell ref="B627:I627"/>
    <mergeCell ref="B628:I628"/>
    <mergeCell ref="B562:I562"/>
    <mergeCell ref="B581:I581"/>
    <mergeCell ref="B582:I582"/>
    <mergeCell ref="B608:C608"/>
    <mergeCell ref="D608:G608"/>
    <mergeCell ref="H608:I608"/>
    <mergeCell ref="B609:I609"/>
    <mergeCell ref="B614:I614"/>
    <mergeCell ref="B605:J605"/>
    <mergeCell ref="B606:I606"/>
    <mergeCell ref="B607:C607"/>
    <mergeCell ref="D607:G607"/>
    <mergeCell ref="H607:I607"/>
    <mergeCell ref="B583:I583"/>
    <mergeCell ref="B600:I600"/>
  </mergeCells>
  <printOptions horizontalCentered="1"/>
  <pageMargins left="0.59055118110236227" right="0.39370078740157483" top="0.39370078740157483" bottom="0.39370078740157483" header="0.47244094488188981" footer="0.31496062992125984"/>
  <pageSetup paperSize="9" scale="48" fitToHeight="9" orientation="portrait" r:id="rId1"/>
  <headerFooter alignWithMargins="0">
    <oddHeader xml:space="preserve">&amp;L&amp;G&amp;C&amp;"Arial,Negrito"&amp;12AEROPORTO INTERNACIONAL DE 
FLORIANÓPOLIS HERCÍLIO LUZ&amp;R&amp;G             &amp;12&amp;P / &amp;N   </oddHeader>
  </headerFooter>
  <rowBreaks count="10" manualBreakCount="10">
    <brk id="690" max="16383" man="1"/>
    <brk id="974" max="16383" man="1"/>
    <brk id="1058" max="16383" man="1"/>
    <brk id="1139" max="16383" man="1"/>
    <brk id="1260" max="16383" man="1"/>
    <brk id="1300" max="16383" man="1"/>
    <brk id="1354" max="16383" man="1"/>
    <brk id="1405" max="16383" man="1"/>
    <brk id="1475" max="16383" man="1"/>
    <brk id="1617" max="16383" man="1"/>
  </rowBreaks>
  <ignoredErrors>
    <ignoredError sqref="J170 J239" evalError="1"/>
    <ignoredError sqref="G2353:H2353 G2371:H2371" formula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47"/>
  <sheetViews>
    <sheetView showGridLines="0" view="pageBreakPreview" zoomScale="80" zoomScaleNormal="100" zoomScaleSheetLayoutView="80" workbookViewId="0">
      <selection activeCell="E242" sqref="E242"/>
    </sheetView>
  </sheetViews>
  <sheetFormatPr defaultRowHeight="12.75"/>
  <cols>
    <col min="1" max="1" width="3.5703125" customWidth="1"/>
    <col min="2" max="2" width="19" style="1" customWidth="1"/>
    <col min="3" max="3" width="103.42578125" style="2" customWidth="1"/>
    <col min="4" max="4" width="31.85546875" style="3" customWidth="1"/>
    <col min="5" max="5" width="25" style="4" customWidth="1"/>
  </cols>
  <sheetData>
    <row r="1" spans="1:5">
      <c r="A1" s="13"/>
    </row>
    <row r="2" spans="1:5" ht="55.5" customHeight="1" thickBot="1">
      <c r="A2" s="12"/>
      <c r="B2" s="580"/>
      <c r="C2" s="581"/>
      <c r="D2" s="582"/>
      <c r="E2" s="583"/>
    </row>
    <row r="3" spans="1:5" s="9" customFormat="1" ht="18.75" customHeight="1" thickTop="1">
      <c r="B3" s="1158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230"/>
      <c r="D3" s="135" t="s">
        <v>0</v>
      </c>
      <c r="E3" s="584" t="str">
        <f>CAPA!C34</f>
        <v>1210/00-IF-PQ-3001</v>
      </c>
    </row>
    <row r="4" spans="1:5" s="9" customFormat="1" ht="18.75" customHeight="1">
      <c r="B4" s="1231"/>
      <c r="C4" s="1232"/>
      <c r="D4" s="363" t="s">
        <v>1</v>
      </c>
      <c r="E4" s="364" t="str">
        <f>CAPA!J55</f>
        <v>FL.01/302.88/04539/02</v>
      </c>
    </row>
    <row r="5" spans="1:5" s="9" customFormat="1" ht="18.75" customHeight="1" thickBot="1">
      <c r="B5" s="1233"/>
      <c r="C5" s="1234"/>
      <c r="D5" s="136" t="s">
        <v>2</v>
      </c>
      <c r="E5" s="585">
        <f>CAPA!K19</f>
        <v>40992</v>
      </c>
    </row>
    <row r="6" spans="1:5" s="9" customFormat="1" ht="42.75" customHeight="1" thickTop="1" thickBot="1">
      <c r="B6" s="1154" t="s">
        <v>1993</v>
      </c>
      <c r="C6" s="1154"/>
      <c r="D6" s="1154"/>
      <c r="E6" s="1154"/>
    </row>
    <row r="7" spans="1:5" s="367" customFormat="1" ht="37.5" customHeight="1" thickTop="1">
      <c r="B7" s="1349" t="s">
        <v>1422</v>
      </c>
      <c r="C7" s="1350"/>
      <c r="D7" s="1347"/>
      <c r="E7" s="1348"/>
    </row>
    <row r="8" spans="1:5" s="9" customFormat="1" ht="38.25" customHeight="1">
      <c r="A8" s="11"/>
      <c r="B8" s="586" t="s">
        <v>7</v>
      </c>
      <c r="C8" s="167" t="s">
        <v>8</v>
      </c>
      <c r="D8" s="167" t="s">
        <v>4</v>
      </c>
      <c r="E8" s="587" t="s">
        <v>5</v>
      </c>
    </row>
    <row r="9" spans="1:5">
      <c r="A9" s="15"/>
      <c r="C9" s="141"/>
      <c r="E9" s="588"/>
    </row>
    <row r="10" spans="1:5">
      <c r="A10" s="15"/>
      <c r="B10" s="589"/>
      <c r="C10" s="184" t="s">
        <v>1419</v>
      </c>
      <c r="D10" s="183"/>
      <c r="E10" s="590"/>
    </row>
    <row r="11" spans="1:5">
      <c r="A11" s="15"/>
      <c r="C11" s="185"/>
      <c r="E11" s="588"/>
    </row>
    <row r="12" spans="1:5" s="521" customFormat="1">
      <c r="A12" s="14"/>
      <c r="B12" s="591" t="s">
        <v>9</v>
      </c>
      <c r="C12" s="18" t="s">
        <v>6</v>
      </c>
      <c r="D12" s="520"/>
      <c r="E12" s="592"/>
    </row>
    <row r="13" spans="1:5" s="521" customFormat="1">
      <c r="A13" s="14"/>
      <c r="B13" s="593"/>
      <c r="C13" s="143"/>
      <c r="D13" s="157"/>
      <c r="E13" s="594"/>
    </row>
    <row r="14" spans="1:5" s="521" customFormat="1">
      <c r="A14" s="14"/>
      <c r="B14" s="595" t="s">
        <v>1409</v>
      </c>
      <c r="C14" s="156" t="s">
        <v>1408</v>
      </c>
      <c r="D14" s="157"/>
      <c r="E14" s="596"/>
    </row>
    <row r="15" spans="1:5" s="521" customFormat="1">
      <c r="A15" s="14"/>
      <c r="B15" s="597"/>
      <c r="C15" s="143"/>
      <c r="D15" s="157"/>
      <c r="E15" s="596"/>
    </row>
    <row r="16" spans="1:5" s="521" customFormat="1">
      <c r="A16" s="14"/>
      <c r="B16" s="595" t="s">
        <v>1407</v>
      </c>
      <c r="C16" s="519" t="s">
        <v>2376</v>
      </c>
      <c r="D16" s="157"/>
      <c r="E16" s="596"/>
    </row>
    <row r="17" spans="1:5" s="521" customFormat="1">
      <c r="A17" s="14"/>
      <c r="B17" s="598"/>
      <c r="C17" s="519"/>
      <c r="D17" s="157"/>
      <c r="E17" s="596"/>
    </row>
    <row r="18" spans="1:5" s="521" customFormat="1">
      <c r="A18" s="14"/>
      <c r="B18" s="593" t="s">
        <v>1406</v>
      </c>
      <c r="C18" s="143" t="s">
        <v>1405</v>
      </c>
      <c r="D18" s="142" t="s">
        <v>3</v>
      </c>
      <c r="E18" s="596">
        <f>EM.400.TOTAL</f>
        <v>3820.9317133806503</v>
      </c>
    </row>
    <row r="19" spans="1:5" s="521" customFormat="1">
      <c r="A19" s="14"/>
      <c r="B19" s="593" t="s">
        <v>1404</v>
      </c>
      <c r="C19" s="143" t="s">
        <v>1401</v>
      </c>
      <c r="D19" s="142" t="s">
        <v>3</v>
      </c>
      <c r="E19" s="596">
        <f>R.400.TOTAL</f>
        <v>3564.2690503806502</v>
      </c>
    </row>
    <row r="20" spans="1:5" s="521" customFormat="1">
      <c r="A20" s="14"/>
      <c r="B20" s="593" t="s">
        <v>1402</v>
      </c>
      <c r="C20" s="143" t="s">
        <v>1403</v>
      </c>
      <c r="D20" s="142" t="s">
        <v>13</v>
      </c>
      <c r="E20" s="596">
        <f>RA.400.TOTAL</f>
        <v>405.75799999999992</v>
      </c>
    </row>
    <row r="21" spans="1:5" s="521" customFormat="1">
      <c r="A21" s="14"/>
      <c r="B21" s="597"/>
      <c r="C21" s="143"/>
      <c r="D21" s="142"/>
      <c r="E21" s="596"/>
    </row>
    <row r="22" spans="1:5" s="521" customFormat="1">
      <c r="A22" s="14"/>
      <c r="B22" s="595" t="s">
        <v>1400</v>
      </c>
      <c r="C22" s="156" t="s">
        <v>1399</v>
      </c>
      <c r="D22" s="142"/>
      <c r="E22" s="596"/>
    </row>
    <row r="23" spans="1:5" s="521" customFormat="1">
      <c r="A23" s="14"/>
      <c r="B23" s="598"/>
      <c r="C23" s="519"/>
      <c r="D23" s="142"/>
      <c r="E23" s="596"/>
    </row>
    <row r="24" spans="1:5" s="521" customFormat="1">
      <c r="A24" s="14"/>
      <c r="B24" s="595" t="s">
        <v>1398</v>
      </c>
      <c r="C24" s="519" t="s">
        <v>2367</v>
      </c>
      <c r="D24" s="142"/>
      <c r="E24" s="596"/>
    </row>
    <row r="25" spans="1:5" s="521" customFormat="1">
      <c r="A25" s="14"/>
      <c r="B25" s="597"/>
      <c r="C25" s="143"/>
      <c r="D25" s="142"/>
      <c r="E25" s="596"/>
    </row>
    <row r="26" spans="1:5" s="521" customFormat="1">
      <c r="A26" s="14"/>
      <c r="B26" s="595" t="s">
        <v>1397</v>
      </c>
      <c r="C26" s="1078" t="s">
        <v>2377</v>
      </c>
      <c r="D26" s="518"/>
      <c r="E26" s="596"/>
    </row>
    <row r="27" spans="1:5" s="521" customFormat="1">
      <c r="A27" s="14"/>
      <c r="B27" s="597"/>
      <c r="C27" s="144"/>
      <c r="D27" s="518"/>
      <c r="E27" s="596"/>
    </row>
    <row r="28" spans="1:5" s="521" customFormat="1">
      <c r="A28" s="14"/>
      <c r="B28" s="593" t="s">
        <v>1697</v>
      </c>
      <c r="C28" s="143" t="s">
        <v>1418</v>
      </c>
      <c r="D28" s="142" t="s">
        <v>1387</v>
      </c>
      <c r="E28" s="596">
        <f>QE25.400.TOTAL</f>
        <v>17</v>
      </c>
    </row>
    <row r="29" spans="1:5" s="521" customFormat="1">
      <c r="A29" s="14"/>
      <c r="B29" s="593" t="s">
        <v>1699</v>
      </c>
      <c r="C29" s="143" t="s">
        <v>1416</v>
      </c>
      <c r="D29" s="142" t="s">
        <v>1387</v>
      </c>
      <c r="E29" s="596">
        <f>QE35.400.TOTAL</f>
        <v>48</v>
      </c>
    </row>
    <row r="30" spans="1:5" s="521" customFormat="1">
      <c r="A30" s="14"/>
      <c r="B30" s="593" t="s">
        <v>1703</v>
      </c>
      <c r="C30" s="143" t="s">
        <v>1415</v>
      </c>
      <c r="D30" s="142" t="s">
        <v>1387</v>
      </c>
      <c r="E30" s="596">
        <f>QE40.400.TOTAL</f>
        <v>51</v>
      </c>
    </row>
    <row r="31" spans="1:5" s="521" customFormat="1">
      <c r="A31" s="14"/>
      <c r="B31" s="597"/>
      <c r="C31" s="143"/>
      <c r="D31" s="142"/>
      <c r="E31" s="596"/>
    </row>
    <row r="32" spans="1:5" s="521" customFormat="1">
      <c r="A32" s="14"/>
      <c r="B32" s="595" t="s">
        <v>1393</v>
      </c>
      <c r="C32" s="519" t="s">
        <v>2369</v>
      </c>
      <c r="D32" s="142"/>
      <c r="E32" s="596"/>
    </row>
    <row r="33" spans="1:5" s="521" customFormat="1">
      <c r="A33" s="14"/>
      <c r="B33" s="597"/>
      <c r="C33" s="143"/>
      <c r="D33" s="142"/>
      <c r="E33" s="596"/>
    </row>
    <row r="34" spans="1:5" s="521" customFormat="1">
      <c r="A34" s="14"/>
      <c r="B34" s="593" t="s">
        <v>1700</v>
      </c>
      <c r="C34" s="143" t="s">
        <v>1414</v>
      </c>
      <c r="D34" s="142" t="s">
        <v>1387</v>
      </c>
      <c r="E34" s="596">
        <v>1</v>
      </c>
    </row>
    <row r="35" spans="1:5" s="521" customFormat="1">
      <c r="A35" s="14"/>
      <c r="B35" s="593" t="s">
        <v>1702</v>
      </c>
      <c r="C35" s="143" t="s">
        <v>1412</v>
      </c>
      <c r="D35" s="142" t="s">
        <v>1387</v>
      </c>
      <c r="E35" s="596">
        <v>1</v>
      </c>
    </row>
    <row r="36" spans="1:5" s="521" customFormat="1">
      <c r="A36" s="14"/>
      <c r="B36" s="593" t="s">
        <v>1704</v>
      </c>
      <c r="C36" s="143" t="s">
        <v>1411</v>
      </c>
      <c r="D36" s="142" t="s">
        <v>1387</v>
      </c>
      <c r="E36" s="596">
        <v>1</v>
      </c>
    </row>
    <row r="37" spans="1:5" s="521" customFormat="1">
      <c r="A37" s="14"/>
      <c r="B37" s="597"/>
      <c r="C37" s="143"/>
      <c r="D37" s="142"/>
      <c r="E37" s="596"/>
    </row>
    <row r="38" spans="1:5" s="521" customFormat="1">
      <c r="A38" s="14"/>
      <c r="B38" s="595" t="s">
        <v>1390</v>
      </c>
      <c r="C38" s="519" t="s">
        <v>2368</v>
      </c>
      <c r="D38" s="142"/>
      <c r="E38" s="596"/>
    </row>
    <row r="39" spans="1:5" s="521" customFormat="1">
      <c r="A39" s="14"/>
      <c r="B39" s="598"/>
      <c r="C39" s="143"/>
      <c r="D39" s="142"/>
      <c r="E39" s="596"/>
    </row>
    <row r="40" spans="1:5" s="521" customFormat="1">
      <c r="A40" s="14"/>
      <c r="B40" s="593" t="s">
        <v>1389</v>
      </c>
      <c r="C40" s="143" t="s">
        <v>1388</v>
      </c>
      <c r="D40" s="142" t="s">
        <v>1387</v>
      </c>
      <c r="E40" s="596">
        <f>SUM(E28:E30)</f>
        <v>116</v>
      </c>
    </row>
    <row r="41" spans="1:5" s="521" customFormat="1">
      <c r="A41" s="14"/>
      <c r="B41" s="597"/>
      <c r="C41" s="143"/>
      <c r="D41" s="142"/>
      <c r="E41" s="596"/>
    </row>
    <row r="42" spans="1:5" s="521" customFormat="1" ht="25.5">
      <c r="A42" s="14"/>
      <c r="B42" s="599" t="s">
        <v>1386</v>
      </c>
      <c r="C42" s="519" t="s">
        <v>2370</v>
      </c>
      <c r="D42" s="142"/>
      <c r="E42" s="596"/>
    </row>
    <row r="43" spans="1:5" s="521" customFormat="1">
      <c r="A43" s="14"/>
      <c r="B43" s="593"/>
      <c r="C43" s="143"/>
      <c r="D43" s="142"/>
      <c r="E43" s="596"/>
    </row>
    <row r="44" spans="1:5" s="521" customFormat="1">
      <c r="A44" s="14"/>
      <c r="B44" s="593" t="s">
        <v>1385</v>
      </c>
      <c r="C44" s="144" t="s">
        <v>1709</v>
      </c>
      <c r="D44" s="518" t="s">
        <v>10</v>
      </c>
      <c r="E44" s="596">
        <f>E25.400.TOTAL</f>
        <v>204</v>
      </c>
    </row>
    <row r="45" spans="1:5" s="521" customFormat="1">
      <c r="A45" s="14"/>
      <c r="B45" s="593" t="s">
        <v>1696</v>
      </c>
      <c r="C45" s="144" t="s">
        <v>1707</v>
      </c>
      <c r="D45" s="518" t="s">
        <v>10</v>
      </c>
      <c r="E45" s="596">
        <f>E35.400.TOTAL</f>
        <v>624</v>
      </c>
    </row>
    <row r="46" spans="1:5" s="521" customFormat="1">
      <c r="A46" s="14"/>
      <c r="B46" s="593" t="s">
        <v>1410</v>
      </c>
      <c r="C46" s="144" t="s">
        <v>1708</v>
      </c>
      <c r="D46" s="518" t="s">
        <v>10</v>
      </c>
      <c r="E46" s="596">
        <f>E40.400.TOTAL</f>
        <v>714</v>
      </c>
    </row>
    <row r="47" spans="1:5" s="521" customFormat="1">
      <c r="A47" s="14"/>
      <c r="B47" s="593"/>
      <c r="C47" s="144"/>
      <c r="D47" s="518"/>
      <c r="E47" s="596"/>
    </row>
    <row r="48" spans="1:5" s="521" customFormat="1">
      <c r="A48" s="14"/>
      <c r="B48" s="595" t="s">
        <v>1383</v>
      </c>
      <c r="C48" s="513" t="s">
        <v>1691</v>
      </c>
      <c r="D48" s="511"/>
      <c r="E48" s="596"/>
    </row>
    <row r="49" spans="1:5" s="521" customFormat="1">
      <c r="A49" s="14"/>
      <c r="B49" s="600"/>
      <c r="C49" s="513"/>
      <c r="D49" s="511"/>
      <c r="E49" s="596"/>
    </row>
    <row r="50" spans="1:5" s="521" customFormat="1">
      <c r="A50" s="14"/>
      <c r="B50" s="601" t="s">
        <v>1382</v>
      </c>
      <c r="C50" s="517" t="s">
        <v>1381</v>
      </c>
      <c r="D50" s="511" t="s">
        <v>3</v>
      </c>
      <c r="E50" s="596">
        <f>LC.400.TOTAL</f>
        <v>20.287899999999997</v>
      </c>
    </row>
    <row r="51" spans="1:5" s="521" customFormat="1">
      <c r="A51" s="14"/>
      <c r="B51" s="602"/>
      <c r="C51" s="516"/>
      <c r="D51" s="511"/>
      <c r="E51" s="596"/>
    </row>
    <row r="52" spans="1:5" s="521" customFormat="1">
      <c r="A52" s="14"/>
      <c r="B52" s="595" t="s">
        <v>1380</v>
      </c>
      <c r="C52" s="19" t="s">
        <v>1079</v>
      </c>
      <c r="D52" s="514"/>
      <c r="E52" s="596"/>
    </row>
    <row r="53" spans="1:5" s="521" customFormat="1">
      <c r="A53" s="14"/>
      <c r="B53" s="600"/>
      <c r="C53" s="515"/>
      <c r="D53" s="514"/>
      <c r="E53" s="596"/>
    </row>
    <row r="54" spans="1:5" s="521" customFormat="1">
      <c r="A54" s="14"/>
      <c r="B54" s="593" t="s">
        <v>1379</v>
      </c>
      <c r="C54" s="512" t="s">
        <v>1378</v>
      </c>
      <c r="D54" s="511" t="s">
        <v>13</v>
      </c>
      <c r="E54" s="596">
        <f>F.400.TOTAL</f>
        <v>1296.9710299999997</v>
      </c>
    </row>
    <row r="55" spans="1:5" s="521" customFormat="1">
      <c r="A55" s="14"/>
      <c r="B55" s="602"/>
      <c r="C55" s="512"/>
      <c r="D55" s="511"/>
      <c r="E55" s="596"/>
    </row>
    <row r="56" spans="1:5" s="521" customFormat="1">
      <c r="A56" s="14"/>
      <c r="B56" s="595" t="s">
        <v>1377</v>
      </c>
      <c r="C56" s="519" t="s">
        <v>1080</v>
      </c>
      <c r="D56" s="511"/>
      <c r="E56" s="596"/>
    </row>
    <row r="57" spans="1:5" s="521" customFormat="1">
      <c r="A57" s="14"/>
      <c r="B57" s="600"/>
      <c r="C57" s="513"/>
      <c r="D57" s="511"/>
      <c r="E57" s="596"/>
    </row>
    <row r="58" spans="1:5" s="521" customFormat="1">
      <c r="A58" s="14"/>
      <c r="B58" s="593" t="s">
        <v>1376</v>
      </c>
      <c r="C58" s="512" t="s">
        <v>11</v>
      </c>
      <c r="D58" s="511" t="s">
        <v>12</v>
      </c>
      <c r="E58" s="596">
        <f>A50.400.TOTAL-E62</f>
        <v>13213</v>
      </c>
    </row>
    <row r="59" spans="1:5" s="521" customFormat="1">
      <c r="A59" s="14"/>
      <c r="B59" s="602"/>
      <c r="C59" s="512"/>
      <c r="D59" s="511"/>
      <c r="E59" s="596"/>
    </row>
    <row r="60" spans="1:5" s="521" customFormat="1">
      <c r="A60" s="14"/>
      <c r="B60" s="593" t="s">
        <v>1375</v>
      </c>
      <c r="C60" s="512" t="s">
        <v>179</v>
      </c>
      <c r="D60" s="511" t="s">
        <v>12</v>
      </c>
      <c r="E60" s="596">
        <f>A60.400.TOTAL</f>
        <v>38</v>
      </c>
    </row>
    <row r="61" spans="1:5" s="521" customFormat="1">
      <c r="A61" s="14"/>
      <c r="B61" s="593"/>
      <c r="C61" s="512"/>
      <c r="D61" s="511"/>
      <c r="E61" s="596"/>
    </row>
    <row r="62" spans="1:5" s="521" customFormat="1">
      <c r="A62" s="14"/>
      <c r="B62" s="593" t="s">
        <v>2384</v>
      </c>
      <c r="C62" s="512" t="s">
        <v>2385</v>
      </c>
      <c r="D62" s="511" t="s">
        <v>12</v>
      </c>
      <c r="E62" s="596">
        <f>'MQ-INFRA'!C2189+'MQ-INFRA'!C2190+'MQ-INFRA'!C2191</f>
        <v>11479</v>
      </c>
    </row>
    <row r="63" spans="1:5" s="521" customFormat="1">
      <c r="A63" s="14"/>
      <c r="B63" s="602"/>
      <c r="C63" s="512"/>
      <c r="D63" s="511"/>
      <c r="E63" s="596"/>
    </row>
    <row r="64" spans="1:5" s="521" customFormat="1">
      <c r="A64" s="14"/>
      <c r="B64" s="595" t="s">
        <v>1374</v>
      </c>
      <c r="C64" s="519" t="s">
        <v>1081</v>
      </c>
      <c r="D64" s="511"/>
      <c r="E64" s="596"/>
    </row>
    <row r="65" spans="1:5" s="521" customFormat="1">
      <c r="A65" s="14"/>
      <c r="B65" s="600"/>
      <c r="C65" s="513"/>
      <c r="D65" s="511"/>
      <c r="E65" s="596"/>
    </row>
    <row r="66" spans="1:5" s="521" customFormat="1">
      <c r="A66" s="14"/>
      <c r="B66" s="593" t="s">
        <v>1373</v>
      </c>
      <c r="C66" s="512" t="s">
        <v>176</v>
      </c>
      <c r="D66" s="511" t="s">
        <v>3</v>
      </c>
      <c r="E66" s="596">
        <f>C.400.TOTAL</f>
        <v>250.69016300000004</v>
      </c>
    </row>
    <row r="67" spans="1:5" s="521" customFormat="1">
      <c r="A67" s="14"/>
      <c r="B67" s="597"/>
      <c r="C67" s="144"/>
      <c r="D67" s="142"/>
      <c r="E67" s="596"/>
    </row>
    <row r="68" spans="1:5" s="521" customFormat="1">
      <c r="A68" s="14"/>
      <c r="B68" s="589"/>
      <c r="C68" s="184" t="s">
        <v>181</v>
      </c>
      <c r="D68" s="183"/>
      <c r="E68" s="590"/>
    </row>
    <row r="69" spans="1:5" s="521" customFormat="1">
      <c r="A69" s="14"/>
      <c r="B69" s="1"/>
      <c r="C69" s="185"/>
      <c r="D69" s="3"/>
      <c r="E69" s="588"/>
    </row>
    <row r="70" spans="1:5" s="521" customFormat="1">
      <c r="A70" s="14"/>
      <c r="B70" s="591" t="s">
        <v>9</v>
      </c>
      <c r="C70" s="18" t="s">
        <v>6</v>
      </c>
      <c r="D70" s="520"/>
      <c r="E70" s="592"/>
    </row>
    <row r="71" spans="1:5" s="521" customFormat="1">
      <c r="A71" s="14"/>
      <c r="B71" s="593"/>
      <c r="C71" s="143"/>
      <c r="D71" s="157"/>
      <c r="E71" s="594"/>
    </row>
    <row r="72" spans="1:5" s="521" customFormat="1">
      <c r="A72" s="14"/>
      <c r="B72" s="595" t="s">
        <v>1409</v>
      </c>
      <c r="C72" s="156" t="s">
        <v>1408</v>
      </c>
      <c r="D72" s="157"/>
      <c r="E72" s="596"/>
    </row>
    <row r="73" spans="1:5" s="521" customFormat="1">
      <c r="A73" s="14"/>
      <c r="B73" s="597"/>
      <c r="C73" s="143"/>
      <c r="D73" s="157"/>
      <c r="E73" s="596"/>
    </row>
    <row r="74" spans="1:5" s="521" customFormat="1">
      <c r="A74" s="14"/>
      <c r="B74" s="595" t="s">
        <v>1407</v>
      </c>
      <c r="C74" s="519" t="s">
        <v>2376</v>
      </c>
      <c r="D74" s="157"/>
      <c r="E74" s="596"/>
    </row>
    <row r="75" spans="1:5" s="521" customFormat="1">
      <c r="A75" s="14"/>
      <c r="B75" s="598"/>
      <c r="C75" s="519"/>
      <c r="D75" s="157"/>
      <c r="E75" s="596"/>
    </row>
    <row r="76" spans="1:5" s="521" customFormat="1">
      <c r="A76" s="14"/>
      <c r="B76" s="593" t="s">
        <v>1406</v>
      </c>
      <c r="C76" s="143" t="s">
        <v>1405</v>
      </c>
      <c r="D76" s="142" t="s">
        <v>3</v>
      </c>
      <c r="E76" s="596">
        <f>EM.500.TOTAL</f>
        <v>3089.523655699697</v>
      </c>
    </row>
    <row r="77" spans="1:5" s="521" customFormat="1">
      <c r="A77" s="14"/>
      <c r="B77" s="593" t="s">
        <v>1404</v>
      </c>
      <c r="C77" s="143" t="s">
        <v>1401</v>
      </c>
      <c r="D77" s="142" t="s">
        <v>3</v>
      </c>
      <c r="E77" s="596">
        <f>R.500.TOTAL</f>
        <v>2546.657436771286</v>
      </c>
    </row>
    <row r="78" spans="1:5" s="521" customFormat="1">
      <c r="A78" s="14"/>
      <c r="B78" s="593" t="s">
        <v>1402</v>
      </c>
      <c r="C78" s="143" t="s">
        <v>1809</v>
      </c>
      <c r="D78" s="142" t="s">
        <v>13</v>
      </c>
      <c r="E78" s="596">
        <f>RA.500.TOTAL</f>
        <v>949.67134531513238</v>
      </c>
    </row>
    <row r="79" spans="1:5" s="521" customFormat="1">
      <c r="A79" s="14"/>
      <c r="B79" s="603"/>
      <c r="C79" s="143"/>
      <c r="D79" s="142"/>
      <c r="E79" s="596"/>
    </row>
    <row r="80" spans="1:5" s="521" customFormat="1">
      <c r="A80" s="14"/>
      <c r="B80" s="595" t="s">
        <v>1400</v>
      </c>
      <c r="C80" s="156" t="s">
        <v>1399</v>
      </c>
      <c r="D80" s="142"/>
      <c r="E80" s="596"/>
    </row>
    <row r="81" spans="1:5" s="521" customFormat="1">
      <c r="A81" s="14"/>
      <c r="B81" s="598"/>
      <c r="C81" s="519"/>
      <c r="D81" s="142"/>
      <c r="E81" s="596"/>
    </row>
    <row r="82" spans="1:5" s="521" customFormat="1">
      <c r="A82" s="14"/>
      <c r="B82" s="595" t="s">
        <v>1398</v>
      </c>
      <c r="C82" s="519" t="s">
        <v>2367</v>
      </c>
      <c r="D82" s="142"/>
      <c r="E82" s="596"/>
    </row>
    <row r="83" spans="1:5" s="521" customFormat="1">
      <c r="A83" s="14"/>
      <c r="B83" s="597"/>
      <c r="C83" s="143"/>
      <c r="D83" s="142"/>
      <c r="E83" s="596"/>
    </row>
    <row r="84" spans="1:5" s="521" customFormat="1">
      <c r="A84" s="14"/>
      <c r="B84" s="595" t="s">
        <v>1397</v>
      </c>
      <c r="C84" s="1078" t="s">
        <v>2377</v>
      </c>
      <c r="D84" s="518"/>
      <c r="E84" s="596"/>
    </row>
    <row r="85" spans="1:5" s="521" customFormat="1">
      <c r="A85" s="14"/>
      <c r="B85" s="597"/>
      <c r="C85" s="144"/>
      <c r="D85" s="518"/>
      <c r="E85" s="596"/>
    </row>
    <row r="86" spans="1:5" s="521" customFormat="1">
      <c r="A86" s="14"/>
      <c r="B86" s="593" t="s">
        <v>1697</v>
      </c>
      <c r="C86" s="143" t="s">
        <v>1418</v>
      </c>
      <c r="D86" s="142" t="s">
        <v>1387</v>
      </c>
      <c r="E86" s="596">
        <f>QE25.500.TOTAL</f>
        <v>196</v>
      </c>
    </row>
    <row r="87" spans="1:5" s="521" customFormat="1">
      <c r="A87" s="14"/>
      <c r="B87" s="593" t="s">
        <v>1698</v>
      </c>
      <c r="C87" s="143" t="s">
        <v>1417</v>
      </c>
      <c r="D87" s="142" t="s">
        <v>1387</v>
      </c>
      <c r="E87" s="596">
        <f>QE30.500.TOTAL</f>
        <v>74</v>
      </c>
    </row>
    <row r="88" spans="1:5" s="521" customFormat="1">
      <c r="A88" s="14"/>
      <c r="B88" s="593" t="s">
        <v>1699</v>
      </c>
      <c r="C88" s="143" t="s">
        <v>1416</v>
      </c>
      <c r="D88" s="142" t="s">
        <v>1387</v>
      </c>
      <c r="E88" s="596">
        <f>QE35.500.TOTAL</f>
        <v>32</v>
      </c>
    </row>
    <row r="89" spans="1:5" s="521" customFormat="1">
      <c r="A89" s="14"/>
      <c r="B89" s="593" t="s">
        <v>1703</v>
      </c>
      <c r="C89" s="143" t="s">
        <v>1415</v>
      </c>
      <c r="D89" s="142" t="s">
        <v>1387</v>
      </c>
      <c r="E89" s="596">
        <f>QE40.500.TOTAL</f>
        <v>4</v>
      </c>
    </row>
    <row r="90" spans="1:5" s="521" customFormat="1">
      <c r="A90" s="14"/>
      <c r="B90" s="593" t="s">
        <v>1396</v>
      </c>
      <c r="C90" s="143" t="s">
        <v>1395</v>
      </c>
      <c r="D90" s="142" t="s">
        <v>1387</v>
      </c>
      <c r="E90" s="596">
        <f>QE60.500.TOTAL</f>
        <v>24</v>
      </c>
    </row>
    <row r="91" spans="1:5" s="521" customFormat="1">
      <c r="A91" s="14"/>
      <c r="B91" s="597"/>
      <c r="C91" s="143"/>
      <c r="D91" s="142"/>
      <c r="E91" s="596"/>
    </row>
    <row r="92" spans="1:5" s="521" customFormat="1">
      <c r="A92" s="14"/>
      <c r="B92" s="595" t="s">
        <v>1393</v>
      </c>
      <c r="C92" s="519" t="s">
        <v>2369</v>
      </c>
      <c r="D92" s="142"/>
      <c r="E92" s="596"/>
    </row>
    <row r="93" spans="1:5" s="521" customFormat="1">
      <c r="A93" s="14"/>
      <c r="B93" s="597"/>
      <c r="C93" s="143"/>
      <c r="D93" s="142"/>
      <c r="E93" s="596"/>
    </row>
    <row r="94" spans="1:5" s="521" customFormat="1">
      <c r="A94" s="14"/>
      <c r="B94" s="593" t="s">
        <v>1700</v>
      </c>
      <c r="C94" s="143" t="s">
        <v>1414</v>
      </c>
      <c r="D94" s="142" t="s">
        <v>1387</v>
      </c>
      <c r="E94" s="596">
        <v>2</v>
      </c>
    </row>
    <row r="95" spans="1:5" s="521" customFormat="1">
      <c r="A95" s="14"/>
      <c r="B95" s="593" t="s">
        <v>1701</v>
      </c>
      <c r="C95" s="143" t="s">
        <v>1413</v>
      </c>
      <c r="D95" s="142" t="s">
        <v>1387</v>
      </c>
      <c r="E95" s="596">
        <v>1</v>
      </c>
    </row>
    <row r="96" spans="1:5" s="521" customFormat="1">
      <c r="A96" s="14"/>
      <c r="B96" s="593" t="s">
        <v>1702</v>
      </c>
      <c r="C96" s="143" t="s">
        <v>1412</v>
      </c>
      <c r="D96" s="142" t="s">
        <v>1387</v>
      </c>
      <c r="E96" s="596">
        <v>1</v>
      </c>
    </row>
    <row r="97" spans="1:5" s="521" customFormat="1">
      <c r="A97" s="14"/>
      <c r="B97" s="593" t="s">
        <v>1704</v>
      </c>
      <c r="C97" s="143" t="s">
        <v>1411</v>
      </c>
      <c r="D97" s="142" t="s">
        <v>1387</v>
      </c>
      <c r="E97" s="596">
        <v>1</v>
      </c>
    </row>
    <row r="98" spans="1:5" s="521" customFormat="1">
      <c r="A98" s="14"/>
      <c r="B98" s="593" t="s">
        <v>1392</v>
      </c>
      <c r="C98" s="143" t="s">
        <v>2321</v>
      </c>
      <c r="D98" s="142" t="s">
        <v>1387</v>
      </c>
      <c r="E98" s="596">
        <v>1</v>
      </c>
    </row>
    <row r="99" spans="1:5" s="521" customFormat="1">
      <c r="A99" s="14"/>
      <c r="B99" s="597"/>
      <c r="C99" s="143"/>
      <c r="D99" s="142"/>
      <c r="E99" s="596"/>
    </row>
    <row r="100" spans="1:5" s="521" customFormat="1">
      <c r="A100" s="14"/>
      <c r="B100" s="595" t="s">
        <v>1390</v>
      </c>
      <c r="C100" s="519" t="s">
        <v>2368</v>
      </c>
      <c r="D100" s="142"/>
      <c r="E100" s="596"/>
    </row>
    <row r="101" spans="1:5" s="521" customFormat="1">
      <c r="A101" s="14"/>
      <c r="B101" s="598"/>
      <c r="C101" s="143"/>
      <c r="D101" s="142"/>
      <c r="E101" s="596"/>
    </row>
    <row r="102" spans="1:5" s="521" customFormat="1">
      <c r="A102" s="14"/>
      <c r="B102" s="593" t="s">
        <v>1389</v>
      </c>
      <c r="C102" s="143" t="s">
        <v>1388</v>
      </c>
      <c r="D102" s="142" t="s">
        <v>1387</v>
      </c>
      <c r="E102" s="596">
        <f>SUM(E86:E90)</f>
        <v>330</v>
      </c>
    </row>
    <row r="103" spans="1:5" s="521" customFormat="1">
      <c r="A103" s="14"/>
      <c r="B103" s="597"/>
      <c r="C103" s="143"/>
      <c r="D103" s="142"/>
      <c r="E103" s="596"/>
    </row>
    <row r="104" spans="1:5" s="521" customFormat="1" ht="25.5">
      <c r="A104" s="14"/>
      <c r="B104" s="599" t="s">
        <v>1386</v>
      </c>
      <c r="C104" s="519" t="s">
        <v>2370</v>
      </c>
      <c r="D104" s="142"/>
      <c r="E104" s="596"/>
    </row>
    <row r="105" spans="1:5" s="521" customFormat="1">
      <c r="A105" s="14"/>
      <c r="B105" s="593"/>
      <c r="C105" s="143"/>
      <c r="D105" s="142"/>
      <c r="E105" s="596"/>
    </row>
    <row r="106" spans="1:5" s="521" customFormat="1">
      <c r="A106" s="14"/>
      <c r="B106" s="593" t="s">
        <v>1385</v>
      </c>
      <c r="C106" s="144" t="s">
        <v>1705</v>
      </c>
      <c r="D106" s="518" t="s">
        <v>10</v>
      </c>
      <c r="E106" s="596">
        <f>E25.500.TOTAL</f>
        <v>2456</v>
      </c>
    </row>
    <row r="107" spans="1:5" s="521" customFormat="1">
      <c r="A107" s="14"/>
      <c r="B107" s="593" t="s">
        <v>1384</v>
      </c>
      <c r="C107" s="144" t="s">
        <v>1706</v>
      </c>
      <c r="D107" s="518" t="s">
        <v>10</v>
      </c>
      <c r="E107" s="596">
        <f>E30.500.TOTAL</f>
        <v>618</v>
      </c>
    </row>
    <row r="108" spans="1:5" s="521" customFormat="1">
      <c r="A108" s="14"/>
      <c r="B108" s="593" t="s">
        <v>1696</v>
      </c>
      <c r="C108" s="144" t="s">
        <v>1707</v>
      </c>
      <c r="D108" s="518" t="s">
        <v>10</v>
      </c>
      <c r="E108" s="596">
        <f>E35.500.TOTAL</f>
        <v>448</v>
      </c>
    </row>
    <row r="109" spans="1:5" s="521" customFormat="1">
      <c r="A109" s="14"/>
      <c r="B109" s="1038" t="s">
        <v>1410</v>
      </c>
      <c r="C109" s="1039" t="s">
        <v>1708</v>
      </c>
      <c r="D109" s="1064" t="s">
        <v>10</v>
      </c>
      <c r="E109" s="1063">
        <f>E40.500.TOTAL</f>
        <v>68</v>
      </c>
    </row>
    <row r="110" spans="1:5" s="521" customFormat="1">
      <c r="A110" s="14"/>
      <c r="B110" s="1038" t="s">
        <v>2263</v>
      </c>
      <c r="C110" s="1039" t="s">
        <v>2322</v>
      </c>
      <c r="D110" s="1064" t="s">
        <v>10</v>
      </c>
      <c r="E110" s="1063">
        <f>EE60.500.TOTAL</f>
        <v>600</v>
      </c>
    </row>
    <row r="111" spans="1:5" s="521" customFormat="1">
      <c r="A111" s="14"/>
      <c r="B111" s="1038"/>
      <c r="C111" s="1065"/>
      <c r="D111" s="1036"/>
      <c r="E111" s="1063"/>
    </row>
    <row r="112" spans="1:5" s="7" customFormat="1">
      <c r="A112" s="14"/>
      <c r="B112" s="595" t="s">
        <v>1383</v>
      </c>
      <c r="C112" s="513" t="s">
        <v>1692</v>
      </c>
      <c r="D112" s="511"/>
      <c r="E112" s="596"/>
    </row>
    <row r="113" spans="1:5" s="7" customFormat="1">
      <c r="A113" s="14"/>
      <c r="B113" s="604"/>
      <c r="C113" s="513"/>
      <c r="D113" s="511"/>
      <c r="E113" s="596"/>
    </row>
    <row r="114" spans="1:5" s="7" customFormat="1">
      <c r="A114" s="14"/>
      <c r="B114" s="601" t="s">
        <v>1382</v>
      </c>
      <c r="C114" s="517" t="s">
        <v>1381</v>
      </c>
      <c r="D114" s="511" t="s">
        <v>3</v>
      </c>
      <c r="E114" s="596">
        <f>LC.500.TOTAL</f>
        <v>90.868567265756639</v>
      </c>
    </row>
    <row r="115" spans="1:5">
      <c r="A115" s="14"/>
      <c r="B115" s="605"/>
      <c r="C115" s="516"/>
      <c r="D115" s="511"/>
      <c r="E115" s="596"/>
    </row>
    <row r="116" spans="1:5" s="7" customFormat="1">
      <c r="A116" s="14"/>
      <c r="B116" s="595" t="s">
        <v>1380</v>
      </c>
      <c r="C116" s="19" t="s">
        <v>1079</v>
      </c>
      <c r="D116" s="514"/>
      <c r="E116" s="596"/>
    </row>
    <row r="117" spans="1:5" s="7" customFormat="1">
      <c r="A117" s="14"/>
      <c r="B117" s="604"/>
      <c r="C117" s="515"/>
      <c r="D117" s="514"/>
      <c r="E117" s="596"/>
    </row>
    <row r="118" spans="1:5" s="7" customFormat="1">
      <c r="A118" s="14"/>
      <c r="B118" s="593" t="s">
        <v>1379</v>
      </c>
      <c r="C118" s="512" t="s">
        <v>1378</v>
      </c>
      <c r="D118" s="511" t="s">
        <v>13</v>
      </c>
      <c r="E118" s="596">
        <f>F.500.TOTAL</f>
        <v>2067.2456307031807</v>
      </c>
    </row>
    <row r="119" spans="1:5" s="7" customFormat="1">
      <c r="A119" s="14"/>
      <c r="B119" s="605"/>
      <c r="C119" s="512"/>
      <c r="D119" s="511"/>
      <c r="E119" s="596"/>
    </row>
    <row r="120" spans="1:5" s="7" customFormat="1">
      <c r="A120" s="14"/>
      <c r="B120" s="595" t="s">
        <v>1377</v>
      </c>
      <c r="C120" s="519" t="s">
        <v>1080</v>
      </c>
      <c r="D120" s="511"/>
      <c r="E120" s="596"/>
    </row>
    <row r="121" spans="1:5" s="7" customFormat="1">
      <c r="A121" s="14"/>
      <c r="B121" s="604"/>
      <c r="C121" s="513"/>
      <c r="D121" s="511"/>
      <c r="E121" s="596"/>
    </row>
    <row r="122" spans="1:5" s="7" customFormat="1">
      <c r="A122" s="14"/>
      <c r="B122" s="593" t="s">
        <v>1376</v>
      </c>
      <c r="C122" s="512" t="s">
        <v>11</v>
      </c>
      <c r="D122" s="511" t="s">
        <v>12</v>
      </c>
      <c r="E122" s="596">
        <f>A50.500.TOTAL-E126</f>
        <v>67859</v>
      </c>
    </row>
    <row r="123" spans="1:5" s="7" customFormat="1">
      <c r="A123" s="14"/>
      <c r="B123" s="605"/>
      <c r="C123" s="512"/>
      <c r="D123" s="511"/>
      <c r="E123" s="596"/>
    </row>
    <row r="124" spans="1:5" s="7" customFormat="1">
      <c r="A124" s="14"/>
      <c r="B124" s="593" t="s">
        <v>1375</v>
      </c>
      <c r="C124" s="512" t="s">
        <v>179</v>
      </c>
      <c r="D124" s="511" t="s">
        <v>12</v>
      </c>
      <c r="E124" s="596">
        <f>A60.500.TOTAL</f>
        <v>52</v>
      </c>
    </row>
    <row r="125" spans="1:5" s="7" customFormat="1">
      <c r="A125" s="14"/>
      <c r="B125" s="605"/>
      <c r="C125" s="512"/>
      <c r="D125" s="511"/>
      <c r="E125" s="596"/>
    </row>
    <row r="126" spans="1:5" s="7" customFormat="1">
      <c r="A126" s="14"/>
      <c r="B126" s="593" t="s">
        <v>2384</v>
      </c>
      <c r="C126" s="512" t="s">
        <v>2385</v>
      </c>
      <c r="D126" s="511" t="s">
        <v>12</v>
      </c>
      <c r="E126" s="596">
        <f>'MQ-INFRA'!C2338+'MQ-INFRA'!C2519+'MQ-INFRA'!C2710+'MQ-INFRA'!C3246+'MQ-INFRA'!C3373+'MQ-INFRA'!C3374+'MQ-INFRA'!C3585+'MQ-INFRA'!C3667+'MQ-INFRA'!C4148+'MQ-INFRA'!C4149+'MQ-INFRA'!C4150+'MQ-INFRA'!C4452+'MQ-INFRA'!C4453+'MQ-INFRA'!C4540</f>
        <v>25398</v>
      </c>
    </row>
    <row r="127" spans="1:5" s="7" customFormat="1">
      <c r="A127" s="14"/>
      <c r="B127" s="605"/>
      <c r="C127" s="512"/>
      <c r="D127" s="511"/>
      <c r="E127" s="596"/>
    </row>
    <row r="128" spans="1:5" s="7" customFormat="1">
      <c r="A128" s="14"/>
      <c r="B128" s="595" t="s">
        <v>1374</v>
      </c>
      <c r="C128" s="519" t="s">
        <v>1081</v>
      </c>
      <c r="D128" s="511"/>
      <c r="E128" s="596"/>
    </row>
    <row r="129" spans="2:5">
      <c r="B129" s="604"/>
      <c r="C129" s="513"/>
      <c r="D129" s="511"/>
      <c r="E129" s="596"/>
    </row>
    <row r="130" spans="2:5">
      <c r="B130" s="593" t="s">
        <v>1373</v>
      </c>
      <c r="C130" s="512" t="s">
        <v>176</v>
      </c>
      <c r="D130" s="511" t="s">
        <v>3</v>
      </c>
      <c r="E130" s="596">
        <f>C.500.TOTAL</f>
        <v>668.91168721687313</v>
      </c>
    </row>
    <row r="131" spans="2:5">
      <c r="B131" s="593"/>
      <c r="C131" s="512"/>
      <c r="D131" s="511"/>
      <c r="E131" s="596"/>
    </row>
    <row r="132" spans="2:5">
      <c r="B132" s="593"/>
      <c r="C132" s="512"/>
      <c r="D132" s="511"/>
      <c r="E132" s="606"/>
    </row>
    <row r="133" spans="2:5">
      <c r="B133" s="589"/>
      <c r="C133" s="184" t="s">
        <v>90</v>
      </c>
      <c r="D133" s="183"/>
      <c r="E133" s="590"/>
    </row>
    <row r="134" spans="2:5">
      <c r="C134" s="185"/>
      <c r="E134" s="588"/>
    </row>
    <row r="135" spans="2:5">
      <c r="B135" s="591" t="s">
        <v>9</v>
      </c>
      <c r="C135" s="18" t="s">
        <v>6</v>
      </c>
      <c r="D135" s="520"/>
      <c r="E135" s="592"/>
    </row>
    <row r="136" spans="2:5">
      <c r="B136" s="593"/>
      <c r="C136" s="512"/>
      <c r="D136" s="511"/>
      <c r="E136" s="606"/>
    </row>
    <row r="137" spans="2:5">
      <c r="B137" s="595" t="s">
        <v>1409</v>
      </c>
      <c r="C137" s="156" t="s">
        <v>1408</v>
      </c>
      <c r="D137" s="157"/>
      <c r="E137" s="596"/>
    </row>
    <row r="138" spans="2:5">
      <c r="B138" s="597"/>
      <c r="C138" s="143"/>
      <c r="D138" s="157"/>
      <c r="E138" s="596"/>
    </row>
    <row r="139" spans="2:5">
      <c r="B139" s="595" t="s">
        <v>1407</v>
      </c>
      <c r="C139" s="519" t="s">
        <v>2376</v>
      </c>
      <c r="D139" s="157"/>
      <c r="E139" s="596"/>
    </row>
    <row r="140" spans="2:5">
      <c r="B140" s="598"/>
      <c r="C140" s="519"/>
      <c r="D140" s="157"/>
      <c r="E140" s="596"/>
    </row>
    <row r="141" spans="2:5">
      <c r="B141" s="593" t="s">
        <v>1406</v>
      </c>
      <c r="C141" s="143" t="s">
        <v>1405</v>
      </c>
      <c r="D141" s="142" t="s">
        <v>3</v>
      </c>
      <c r="E141" s="596">
        <f>EM.600.TOTAL</f>
        <v>20580.091319074952</v>
      </c>
    </row>
    <row r="142" spans="2:5">
      <c r="B142" s="593" t="s">
        <v>1404</v>
      </c>
      <c r="C142" s="143" t="s">
        <v>1401</v>
      </c>
      <c r="D142" s="142" t="s">
        <v>3</v>
      </c>
      <c r="E142" s="596">
        <f>R.600.TOTAL</f>
        <v>15068.901021774966</v>
      </c>
    </row>
    <row r="143" spans="2:5">
      <c r="B143" s="593" t="s">
        <v>1402</v>
      </c>
      <c r="C143" s="143" t="s">
        <v>1403</v>
      </c>
      <c r="D143" s="142" t="s">
        <v>13</v>
      </c>
      <c r="E143" s="596">
        <f>RA.600.TOTAL</f>
        <v>3155.3109999999988</v>
      </c>
    </row>
    <row r="144" spans="2:5">
      <c r="B144" s="603"/>
      <c r="C144" s="143"/>
      <c r="D144" s="142"/>
      <c r="E144" s="596"/>
    </row>
    <row r="145" spans="2:5">
      <c r="B145" s="595" t="s">
        <v>1400</v>
      </c>
      <c r="C145" s="156" t="s">
        <v>1399</v>
      </c>
      <c r="D145" s="142"/>
      <c r="E145" s="596"/>
    </row>
    <row r="146" spans="2:5">
      <c r="B146" s="607"/>
      <c r="C146" s="519"/>
      <c r="D146" s="142"/>
      <c r="E146" s="596"/>
    </row>
    <row r="147" spans="2:5">
      <c r="B147" s="595" t="s">
        <v>1398</v>
      </c>
      <c r="C147" s="519" t="s">
        <v>2367</v>
      </c>
      <c r="D147" s="142"/>
      <c r="E147" s="596"/>
    </row>
    <row r="148" spans="2:5">
      <c r="B148" s="603"/>
      <c r="C148" s="143"/>
      <c r="D148" s="142"/>
      <c r="E148" s="596"/>
    </row>
    <row r="149" spans="2:5">
      <c r="B149" s="595" t="s">
        <v>1397</v>
      </c>
      <c r="C149" s="1078" t="s">
        <v>2377</v>
      </c>
      <c r="D149" s="518"/>
      <c r="E149" s="596"/>
    </row>
    <row r="150" spans="2:5">
      <c r="B150" s="603"/>
      <c r="C150" s="144"/>
      <c r="D150" s="518"/>
      <c r="E150" s="596"/>
    </row>
    <row r="151" spans="2:5">
      <c r="B151" s="593" t="s">
        <v>1699</v>
      </c>
      <c r="C151" s="143" t="s">
        <v>1416</v>
      </c>
      <c r="D151" s="142" t="s">
        <v>1387</v>
      </c>
      <c r="E151" s="596">
        <f>QE35.600.TOTAL</f>
        <v>159</v>
      </c>
    </row>
    <row r="152" spans="2:5">
      <c r="B152" s="593" t="s">
        <v>1703</v>
      </c>
      <c r="C152" s="143" t="s">
        <v>1415</v>
      </c>
      <c r="D152" s="142" t="s">
        <v>1387</v>
      </c>
      <c r="E152" s="596">
        <f>QE40.600.TOTAL</f>
        <v>172</v>
      </c>
    </row>
    <row r="153" spans="2:5">
      <c r="B153" s="593" t="s">
        <v>1396</v>
      </c>
      <c r="C153" s="143" t="s">
        <v>1395</v>
      </c>
      <c r="D153" s="142" t="s">
        <v>1387</v>
      </c>
      <c r="E153" s="596">
        <f>QE60.600.TOTAL</f>
        <v>118</v>
      </c>
    </row>
    <row r="154" spans="2:5">
      <c r="B154" s="593" t="s">
        <v>1394</v>
      </c>
      <c r="C154" s="143" t="s">
        <v>2262</v>
      </c>
      <c r="D154" s="142" t="s">
        <v>1387</v>
      </c>
      <c r="E154" s="596">
        <f>QE70.600.TOTAL</f>
        <v>274</v>
      </c>
    </row>
    <row r="155" spans="2:5">
      <c r="B155" s="603"/>
      <c r="C155" s="143"/>
      <c r="D155" s="142"/>
      <c r="E155" s="596"/>
    </row>
    <row r="156" spans="2:5">
      <c r="B156" s="595" t="s">
        <v>1393</v>
      </c>
      <c r="C156" s="519" t="s">
        <v>2369</v>
      </c>
      <c r="D156" s="142"/>
      <c r="E156" s="596"/>
    </row>
    <row r="157" spans="2:5">
      <c r="B157" s="603"/>
      <c r="C157" s="143"/>
      <c r="D157" s="142"/>
      <c r="E157" s="596"/>
    </row>
    <row r="158" spans="2:5">
      <c r="B158" s="593" t="s">
        <v>1702</v>
      </c>
      <c r="C158" s="143" t="s">
        <v>2386</v>
      </c>
      <c r="D158" s="142" t="s">
        <v>1387</v>
      </c>
      <c r="E158" s="596">
        <v>1</v>
      </c>
    </row>
    <row r="159" spans="2:5">
      <c r="B159" s="593" t="s">
        <v>1704</v>
      </c>
      <c r="C159" s="143" t="s">
        <v>2265</v>
      </c>
      <c r="D159" s="142" t="s">
        <v>1387</v>
      </c>
      <c r="E159" s="596">
        <v>2</v>
      </c>
    </row>
    <row r="160" spans="2:5">
      <c r="B160" s="593" t="s">
        <v>1392</v>
      </c>
      <c r="C160" s="143" t="s">
        <v>2190</v>
      </c>
      <c r="D160" s="142" t="s">
        <v>1387</v>
      </c>
      <c r="E160" s="596">
        <v>2</v>
      </c>
    </row>
    <row r="161" spans="2:5">
      <c r="B161" s="593" t="s">
        <v>1391</v>
      </c>
      <c r="C161" s="143" t="s">
        <v>2266</v>
      </c>
      <c r="D161" s="142" t="s">
        <v>1387</v>
      </c>
      <c r="E161" s="596">
        <v>3</v>
      </c>
    </row>
    <row r="162" spans="2:5">
      <c r="B162" s="603"/>
      <c r="C162" s="143"/>
      <c r="D162" s="142"/>
      <c r="E162" s="596"/>
    </row>
    <row r="163" spans="2:5">
      <c r="B163" s="595" t="s">
        <v>1390</v>
      </c>
      <c r="C163" s="519" t="s">
        <v>2368</v>
      </c>
      <c r="D163" s="142"/>
      <c r="E163" s="596"/>
    </row>
    <row r="164" spans="2:5">
      <c r="B164" s="607"/>
      <c r="C164" s="143"/>
      <c r="D164" s="142"/>
      <c r="E164" s="596"/>
    </row>
    <row r="165" spans="2:5">
      <c r="B165" s="593" t="s">
        <v>1389</v>
      </c>
      <c r="C165" s="143" t="s">
        <v>1388</v>
      </c>
      <c r="D165" s="142" t="s">
        <v>1387</v>
      </c>
      <c r="E165" s="596">
        <f>SUM(E151:E154)</f>
        <v>723</v>
      </c>
    </row>
    <row r="166" spans="2:5">
      <c r="B166" s="603"/>
      <c r="C166" s="143"/>
      <c r="D166" s="142"/>
      <c r="E166" s="596"/>
    </row>
    <row r="167" spans="2:5" ht="25.5">
      <c r="B167" s="599" t="s">
        <v>1386</v>
      </c>
      <c r="C167" s="519" t="s">
        <v>2370</v>
      </c>
      <c r="D167" s="142"/>
      <c r="E167" s="596"/>
    </row>
    <row r="168" spans="2:5">
      <c r="B168" s="593"/>
      <c r="C168" s="143"/>
      <c r="D168" s="142"/>
      <c r="E168" s="596"/>
    </row>
    <row r="169" spans="2:5">
      <c r="B169" s="521" t="s">
        <v>1696</v>
      </c>
      <c r="C169" s="144" t="s">
        <v>2259</v>
      </c>
      <c r="D169" s="518" t="s">
        <v>10</v>
      </c>
      <c r="E169" s="596">
        <f>E35.600.TOTAL</f>
        <v>4611</v>
      </c>
    </row>
    <row r="170" spans="2:5">
      <c r="B170" s="593" t="s">
        <v>1410</v>
      </c>
      <c r="C170" s="144" t="s">
        <v>2260</v>
      </c>
      <c r="D170" s="518" t="s">
        <v>10</v>
      </c>
      <c r="E170" s="596">
        <f>E40.600.TOTAL</f>
        <v>4988</v>
      </c>
    </row>
    <row r="171" spans="2:5">
      <c r="B171" s="521" t="s">
        <v>2263</v>
      </c>
      <c r="C171" s="144" t="s">
        <v>2191</v>
      </c>
      <c r="D171" s="518" t="s">
        <v>10</v>
      </c>
      <c r="E171" s="596">
        <f>E60.600.TOTAL</f>
        <v>3658</v>
      </c>
    </row>
    <row r="172" spans="2:5">
      <c r="B172" s="593" t="s">
        <v>2264</v>
      </c>
      <c r="C172" s="144" t="s">
        <v>2261</v>
      </c>
      <c r="D172" s="518" t="s">
        <v>10</v>
      </c>
      <c r="E172" s="596">
        <f>E70.600.TOTAL</f>
        <v>8768</v>
      </c>
    </row>
    <row r="173" spans="2:5">
      <c r="B173" s="593"/>
      <c r="C173" s="143"/>
      <c r="D173" s="142"/>
      <c r="E173" s="596"/>
    </row>
    <row r="174" spans="2:5">
      <c r="B174" s="595" t="s">
        <v>1383</v>
      </c>
      <c r="C174" s="513" t="s">
        <v>1691</v>
      </c>
      <c r="D174" s="511"/>
      <c r="E174" s="596"/>
    </row>
    <row r="175" spans="2:5">
      <c r="B175" s="604"/>
      <c r="C175" s="513"/>
      <c r="D175" s="511"/>
      <c r="E175" s="596"/>
    </row>
    <row r="176" spans="2:5">
      <c r="B176" s="601" t="s">
        <v>1382</v>
      </c>
      <c r="C176" s="517" t="s">
        <v>1381</v>
      </c>
      <c r="D176" s="511" t="s">
        <v>3</v>
      </c>
      <c r="E176" s="596">
        <f>LC.600.TOTAL</f>
        <v>1058.9802499999996</v>
      </c>
    </row>
    <row r="177" spans="2:5">
      <c r="B177" s="605"/>
      <c r="C177" s="516"/>
      <c r="D177" s="511"/>
      <c r="E177" s="596"/>
    </row>
    <row r="178" spans="2:5">
      <c r="B178" s="595" t="s">
        <v>1380</v>
      </c>
      <c r="C178" s="19" t="s">
        <v>1693</v>
      </c>
      <c r="D178" s="514"/>
      <c r="E178" s="596"/>
    </row>
    <row r="179" spans="2:5">
      <c r="B179" s="604"/>
      <c r="C179" s="515"/>
      <c r="D179" s="514"/>
      <c r="E179" s="596"/>
    </row>
    <row r="180" spans="2:5">
      <c r="B180" s="593" t="s">
        <v>1379</v>
      </c>
      <c r="C180" s="512" t="s">
        <v>1378</v>
      </c>
      <c r="D180" s="511" t="s">
        <v>13</v>
      </c>
      <c r="E180" s="596">
        <f>F.600.TOTAL</f>
        <v>8358.1353199161877</v>
      </c>
    </row>
    <row r="181" spans="2:5">
      <c r="B181" s="605"/>
      <c r="C181" s="512"/>
      <c r="D181" s="511"/>
      <c r="E181" s="596"/>
    </row>
    <row r="182" spans="2:5">
      <c r="B182" s="595" t="s">
        <v>1377</v>
      </c>
      <c r="C182" s="519" t="s">
        <v>1694</v>
      </c>
      <c r="D182" s="511"/>
      <c r="E182" s="596"/>
    </row>
    <row r="183" spans="2:5">
      <c r="B183" s="604"/>
      <c r="C183" s="513"/>
      <c r="D183" s="511"/>
      <c r="E183" s="596"/>
    </row>
    <row r="184" spans="2:5">
      <c r="B184" s="593" t="s">
        <v>1376</v>
      </c>
      <c r="C184" s="512" t="s">
        <v>11</v>
      </c>
      <c r="D184" s="511" t="s">
        <v>12</v>
      </c>
      <c r="E184" s="596">
        <f>A50.600.TOTAL-E188</f>
        <v>277047</v>
      </c>
    </row>
    <row r="185" spans="2:5">
      <c r="B185" s="605"/>
      <c r="C185" s="512"/>
      <c r="D185" s="511"/>
      <c r="E185" s="596"/>
    </row>
    <row r="186" spans="2:5">
      <c r="B186" s="593" t="s">
        <v>1375</v>
      </c>
      <c r="C186" s="512" t="s">
        <v>179</v>
      </c>
      <c r="D186" s="511" t="s">
        <v>12</v>
      </c>
      <c r="E186" s="596">
        <f>A60.600.TOTAL</f>
        <v>59385</v>
      </c>
    </row>
    <row r="187" spans="2:5">
      <c r="B187" s="593"/>
      <c r="C187" s="512"/>
      <c r="D187" s="511"/>
      <c r="E187" s="596"/>
    </row>
    <row r="188" spans="2:5">
      <c r="B188" s="593" t="s">
        <v>2384</v>
      </c>
      <c r="C188" s="512" t="s">
        <v>2385</v>
      </c>
      <c r="D188" s="511" t="s">
        <v>12</v>
      </c>
      <c r="E188" s="596">
        <f>'MQ-INFRA'!C6596+'MQ-INFRA'!C6597+'MQ-INFRA'!C6598+'MQ-INFRA'!C6599+'MQ-INFRA'!C6602+'MQ-INFRA'!C6605+'MQ-INFRA'!C6606+'MQ-INFRA'!C6609</f>
        <v>179036</v>
      </c>
    </row>
    <row r="189" spans="2:5">
      <c r="B189" s="605"/>
      <c r="C189" s="512"/>
      <c r="D189" s="511"/>
      <c r="E189" s="596"/>
    </row>
    <row r="190" spans="2:5">
      <c r="B190" s="595" t="s">
        <v>1374</v>
      </c>
      <c r="C190" s="519" t="s">
        <v>1695</v>
      </c>
      <c r="D190" s="511"/>
      <c r="E190" s="596"/>
    </row>
    <row r="191" spans="2:5">
      <c r="B191" s="604"/>
      <c r="C191" s="513"/>
      <c r="D191" s="511"/>
      <c r="E191" s="596"/>
    </row>
    <row r="192" spans="2:5">
      <c r="B192" s="593" t="s">
        <v>1373</v>
      </c>
      <c r="C192" s="512" t="s">
        <v>176</v>
      </c>
      <c r="D192" s="511" t="s">
        <v>3</v>
      </c>
      <c r="E192" s="596">
        <f>C.600.TOTAL</f>
        <v>5881.8642959999988</v>
      </c>
    </row>
    <row r="193" spans="1:5">
      <c r="B193" s="785"/>
      <c r="C193" s="786"/>
      <c r="D193" s="787"/>
      <c r="E193" s="788"/>
    </row>
    <row r="194" spans="1:5">
      <c r="A194" s="15"/>
      <c r="B194" s="589"/>
      <c r="C194" s="184" t="s">
        <v>2139</v>
      </c>
      <c r="D194" s="183"/>
      <c r="E194" s="590"/>
    </row>
    <row r="195" spans="1:5">
      <c r="A195" s="15"/>
      <c r="C195" s="185"/>
      <c r="E195" s="588"/>
    </row>
    <row r="196" spans="1:5" s="521" customFormat="1">
      <c r="A196" s="14"/>
      <c r="B196" s="591" t="s">
        <v>9</v>
      </c>
      <c r="C196" s="18" t="s">
        <v>6</v>
      </c>
      <c r="D196" s="520"/>
      <c r="E196" s="592"/>
    </row>
    <row r="197" spans="1:5" s="521" customFormat="1">
      <c r="A197" s="14"/>
      <c r="B197" s="593"/>
      <c r="C197" s="143"/>
      <c r="D197" s="157"/>
      <c r="E197" s="594"/>
    </row>
    <row r="198" spans="1:5" s="521" customFormat="1">
      <c r="A198" s="14"/>
      <c r="B198" s="595" t="s">
        <v>1409</v>
      </c>
      <c r="C198" s="156" t="s">
        <v>1408</v>
      </c>
      <c r="D198" s="157"/>
      <c r="E198" s="596"/>
    </row>
    <row r="199" spans="1:5" s="521" customFormat="1">
      <c r="A199" s="14"/>
      <c r="B199" s="597"/>
      <c r="C199" s="143"/>
      <c r="D199" s="157"/>
      <c r="E199" s="596"/>
    </row>
    <row r="200" spans="1:5" s="521" customFormat="1">
      <c r="A200" s="14"/>
      <c r="B200" s="595" t="s">
        <v>1407</v>
      </c>
      <c r="C200" s="519" t="s">
        <v>2376</v>
      </c>
      <c r="D200" s="157"/>
      <c r="E200" s="596"/>
    </row>
    <row r="201" spans="1:5" s="521" customFormat="1">
      <c r="A201" s="14"/>
      <c r="B201" s="598"/>
      <c r="C201" s="519"/>
      <c r="D201" s="157"/>
      <c r="E201" s="596"/>
    </row>
    <row r="202" spans="1:5" s="521" customFormat="1">
      <c r="A202" s="14"/>
      <c r="B202" s="593" t="s">
        <v>1406</v>
      </c>
      <c r="C202" s="143" t="s">
        <v>1405</v>
      </c>
      <c r="D202" s="142" t="s">
        <v>3</v>
      </c>
      <c r="E202" s="596">
        <f>EM.800.TOTAL</f>
        <v>997.06439029145702</v>
      </c>
    </row>
    <row r="203" spans="1:5" s="521" customFormat="1">
      <c r="A203" s="14"/>
      <c r="B203" s="593" t="s">
        <v>1404</v>
      </c>
      <c r="C203" s="143" t="s">
        <v>1401</v>
      </c>
      <c r="D203" s="142" t="s">
        <v>3</v>
      </c>
      <c r="E203" s="596">
        <f>R.800.TOTAL</f>
        <v>619.2519902914571</v>
      </c>
    </row>
    <row r="204" spans="1:5" s="521" customFormat="1">
      <c r="A204" s="14"/>
      <c r="B204" s="593" t="s">
        <v>1402</v>
      </c>
      <c r="C204" s="143" t="s">
        <v>1403</v>
      </c>
      <c r="D204" s="142" t="s">
        <v>13</v>
      </c>
      <c r="E204" s="596">
        <f>RA.800.TOTAL</f>
        <v>524.29800000000012</v>
      </c>
    </row>
    <row r="205" spans="1:5" s="521" customFormat="1">
      <c r="A205" s="14"/>
      <c r="B205" s="597"/>
      <c r="C205" s="143"/>
      <c r="D205" s="142"/>
      <c r="E205" s="596"/>
    </row>
    <row r="206" spans="1:5" s="521" customFormat="1">
      <c r="A206" s="14"/>
      <c r="B206" s="595" t="s">
        <v>1400</v>
      </c>
      <c r="C206" s="156" t="s">
        <v>1399</v>
      </c>
      <c r="D206" s="142"/>
      <c r="E206" s="596"/>
    </row>
    <row r="207" spans="1:5" s="521" customFormat="1">
      <c r="A207" s="14"/>
      <c r="B207" s="598"/>
      <c r="C207" s="519"/>
      <c r="D207" s="142"/>
      <c r="E207" s="596"/>
    </row>
    <row r="208" spans="1:5" s="521" customFormat="1">
      <c r="A208" s="14"/>
      <c r="B208" s="595" t="s">
        <v>1398</v>
      </c>
      <c r="C208" s="519" t="s">
        <v>2367</v>
      </c>
      <c r="D208" s="142"/>
      <c r="E208" s="596"/>
    </row>
    <row r="209" spans="1:5" s="521" customFormat="1">
      <c r="A209" s="14"/>
      <c r="B209" s="597"/>
      <c r="C209" s="143"/>
      <c r="D209" s="142"/>
      <c r="E209" s="596"/>
    </row>
    <row r="210" spans="1:5" s="521" customFormat="1">
      <c r="A210" s="14"/>
      <c r="B210" s="595" t="s">
        <v>1397</v>
      </c>
      <c r="C210" s="1078" t="s">
        <v>2377</v>
      </c>
      <c r="D210" s="518"/>
      <c r="E210" s="596"/>
    </row>
    <row r="211" spans="1:5" s="521" customFormat="1">
      <c r="A211" s="14"/>
      <c r="B211" s="597"/>
      <c r="C211" s="144"/>
      <c r="D211" s="518"/>
      <c r="E211" s="596"/>
    </row>
    <row r="212" spans="1:5" s="521" customFormat="1">
      <c r="A212" s="14"/>
      <c r="B212" s="593" t="s">
        <v>1697</v>
      </c>
      <c r="C212" s="143" t="s">
        <v>1418</v>
      </c>
      <c r="D212" s="142" t="s">
        <v>1387</v>
      </c>
      <c r="E212" s="596">
        <f>QE25.800.TOTAL</f>
        <v>14</v>
      </c>
    </row>
    <row r="213" spans="1:5" s="521" customFormat="1">
      <c r="A213" s="14"/>
      <c r="B213" s="593" t="s">
        <v>1698</v>
      </c>
      <c r="C213" s="143" t="s">
        <v>1417</v>
      </c>
      <c r="D213" s="142" t="s">
        <v>1387</v>
      </c>
      <c r="E213" s="596">
        <f>QE30.800.TOTAL</f>
        <v>7</v>
      </c>
    </row>
    <row r="214" spans="1:5" s="521" customFormat="1">
      <c r="A214" s="14"/>
      <c r="B214" s="593" t="s">
        <v>1699</v>
      </c>
      <c r="C214" s="143" t="s">
        <v>1416</v>
      </c>
      <c r="D214" s="142" t="s">
        <v>1387</v>
      </c>
      <c r="E214" s="596">
        <f>QE35.800.TOTAL</f>
        <v>65</v>
      </c>
    </row>
    <row r="215" spans="1:5" s="521" customFormat="1">
      <c r="A215" s="14"/>
      <c r="B215" s="597"/>
      <c r="C215" s="143"/>
      <c r="D215" s="142"/>
      <c r="E215" s="596"/>
    </row>
    <row r="216" spans="1:5" s="521" customFormat="1">
      <c r="A216" s="14"/>
      <c r="B216" s="595" t="s">
        <v>1393</v>
      </c>
      <c r="C216" s="519" t="s">
        <v>2369</v>
      </c>
      <c r="D216" s="142"/>
      <c r="E216" s="596"/>
    </row>
    <row r="217" spans="1:5" s="521" customFormat="1">
      <c r="A217" s="14"/>
      <c r="B217" s="597"/>
      <c r="C217" s="143"/>
      <c r="D217" s="142"/>
      <c r="E217" s="596"/>
    </row>
    <row r="218" spans="1:5" s="521" customFormat="1">
      <c r="A218" s="14"/>
      <c r="B218" s="593" t="s">
        <v>1700</v>
      </c>
      <c r="C218" s="143" t="s">
        <v>1414</v>
      </c>
      <c r="D218" s="142" t="s">
        <v>1387</v>
      </c>
      <c r="E218" s="596">
        <v>1</v>
      </c>
    </row>
    <row r="219" spans="1:5" s="521" customFormat="1">
      <c r="A219" s="14"/>
      <c r="B219" s="593" t="s">
        <v>1701</v>
      </c>
      <c r="C219" s="143" t="s">
        <v>1413</v>
      </c>
      <c r="D219" s="142" t="s">
        <v>1387</v>
      </c>
      <c r="E219" s="596">
        <v>1</v>
      </c>
    </row>
    <row r="220" spans="1:5" s="521" customFormat="1">
      <c r="A220" s="14"/>
      <c r="B220" s="593" t="s">
        <v>1702</v>
      </c>
      <c r="C220" s="143" t="s">
        <v>1412</v>
      </c>
      <c r="D220" s="142" t="s">
        <v>1387</v>
      </c>
      <c r="E220" s="596">
        <v>1</v>
      </c>
    </row>
    <row r="221" spans="1:5" s="521" customFormat="1">
      <c r="A221" s="14"/>
      <c r="B221" s="597"/>
      <c r="C221" s="143"/>
      <c r="D221" s="142"/>
      <c r="E221" s="596"/>
    </row>
    <row r="222" spans="1:5" s="521" customFormat="1">
      <c r="A222" s="14"/>
      <c r="B222" s="595" t="s">
        <v>1390</v>
      </c>
      <c r="C222" s="519" t="s">
        <v>2368</v>
      </c>
      <c r="D222" s="142"/>
      <c r="E222" s="596"/>
    </row>
    <row r="223" spans="1:5" s="521" customFormat="1">
      <c r="A223" s="14"/>
      <c r="B223" s="598"/>
      <c r="C223" s="143"/>
      <c r="D223" s="142"/>
      <c r="E223" s="596"/>
    </row>
    <row r="224" spans="1:5" s="521" customFormat="1">
      <c r="A224" s="14"/>
      <c r="B224" s="593" t="s">
        <v>1389</v>
      </c>
      <c r="C224" s="143" t="s">
        <v>1388</v>
      </c>
      <c r="D224" s="142" t="s">
        <v>1387</v>
      </c>
      <c r="E224" s="596">
        <f>SUM(E212:E214)</f>
        <v>86</v>
      </c>
    </row>
    <row r="225" spans="1:5" s="521" customFormat="1">
      <c r="A225" s="14"/>
      <c r="B225" s="597"/>
      <c r="C225" s="143"/>
      <c r="D225" s="142"/>
      <c r="E225" s="596"/>
    </row>
    <row r="226" spans="1:5" s="521" customFormat="1" ht="25.5">
      <c r="A226" s="14"/>
      <c r="B226" s="599" t="s">
        <v>1386</v>
      </c>
      <c r="C226" s="519" t="s">
        <v>2370</v>
      </c>
      <c r="D226" s="142"/>
      <c r="E226" s="596"/>
    </row>
    <row r="227" spans="1:5" s="521" customFormat="1">
      <c r="A227" s="14"/>
      <c r="B227" s="593"/>
      <c r="C227" s="143"/>
      <c r="D227" s="142"/>
      <c r="E227" s="596"/>
    </row>
    <row r="228" spans="1:5" s="521" customFormat="1">
      <c r="A228" s="14"/>
      <c r="B228" s="593" t="s">
        <v>1385</v>
      </c>
      <c r="C228" s="144" t="s">
        <v>1709</v>
      </c>
      <c r="D228" s="518" t="s">
        <v>10</v>
      </c>
      <c r="E228" s="596">
        <f>E25.800.TOTAL</f>
        <v>168</v>
      </c>
    </row>
    <row r="229" spans="1:5" s="521" customFormat="1">
      <c r="A229" s="14"/>
      <c r="B229" s="593" t="s">
        <v>1384</v>
      </c>
      <c r="C229" s="144" t="s">
        <v>1706</v>
      </c>
      <c r="D229" s="518" t="s">
        <v>10</v>
      </c>
      <c r="E229" s="596">
        <f>E30.800.TOTAL</f>
        <v>91</v>
      </c>
    </row>
    <row r="230" spans="1:5" s="521" customFormat="1">
      <c r="A230" s="14"/>
      <c r="B230" s="593" t="s">
        <v>1696</v>
      </c>
      <c r="C230" s="144" t="s">
        <v>1707</v>
      </c>
      <c r="D230" s="518" t="s">
        <v>10</v>
      </c>
      <c r="E230" s="596">
        <f>E35.800.TOTAL</f>
        <v>1040</v>
      </c>
    </row>
    <row r="231" spans="1:5" s="521" customFormat="1">
      <c r="A231" s="14"/>
      <c r="B231" s="593"/>
      <c r="C231" s="144"/>
      <c r="D231" s="518"/>
      <c r="E231" s="596"/>
    </row>
    <row r="232" spans="1:5" s="521" customFormat="1">
      <c r="A232" s="14"/>
      <c r="B232" s="595" t="s">
        <v>1383</v>
      </c>
      <c r="C232" s="513" t="s">
        <v>1691</v>
      </c>
      <c r="D232" s="511"/>
      <c r="E232" s="596"/>
    </row>
    <row r="233" spans="1:5" s="521" customFormat="1">
      <c r="A233" s="14"/>
      <c r="B233" s="600"/>
      <c r="C233" s="513"/>
      <c r="D233" s="511"/>
      <c r="E233" s="596"/>
    </row>
    <row r="234" spans="1:5" s="521" customFormat="1">
      <c r="A234" s="14"/>
      <c r="B234" s="601" t="s">
        <v>1382</v>
      </c>
      <c r="C234" s="517" t="s">
        <v>1381</v>
      </c>
      <c r="D234" s="511" t="s">
        <v>3</v>
      </c>
      <c r="E234" s="596">
        <f>LC.800.TOTAL</f>
        <v>2.1865000000000006</v>
      </c>
    </row>
    <row r="235" spans="1:5" s="521" customFormat="1">
      <c r="A235" s="14"/>
      <c r="B235" s="602"/>
      <c r="C235" s="516"/>
      <c r="D235" s="511"/>
      <c r="E235" s="596"/>
    </row>
    <row r="236" spans="1:5" s="521" customFormat="1">
      <c r="A236" s="14"/>
      <c r="B236" s="595" t="s">
        <v>1380</v>
      </c>
      <c r="C236" s="19" t="s">
        <v>1079</v>
      </c>
      <c r="D236" s="514"/>
      <c r="E236" s="596"/>
    </row>
    <row r="237" spans="1:5" s="521" customFormat="1">
      <c r="A237" s="14"/>
      <c r="B237" s="600"/>
      <c r="C237" s="515"/>
      <c r="D237" s="514"/>
      <c r="E237" s="596"/>
    </row>
    <row r="238" spans="1:5" s="521" customFormat="1">
      <c r="A238" s="14"/>
      <c r="B238" s="593" t="s">
        <v>1379</v>
      </c>
      <c r="C238" s="512" t="s">
        <v>1378</v>
      </c>
      <c r="D238" s="511" t="s">
        <v>13</v>
      </c>
      <c r="E238" s="596">
        <f>F.800.TOTAL</f>
        <v>136.96750000000003</v>
      </c>
    </row>
    <row r="239" spans="1:5" s="521" customFormat="1">
      <c r="A239" s="14"/>
      <c r="B239" s="602"/>
      <c r="C239" s="512"/>
      <c r="D239" s="511"/>
      <c r="E239" s="596"/>
    </row>
    <row r="240" spans="1:5" s="521" customFormat="1">
      <c r="A240" s="14"/>
      <c r="B240" s="595" t="s">
        <v>1377</v>
      </c>
      <c r="C240" s="519" t="s">
        <v>1080</v>
      </c>
      <c r="D240" s="511"/>
      <c r="E240" s="596"/>
    </row>
    <row r="241" spans="1:5" s="521" customFormat="1">
      <c r="A241" s="14"/>
      <c r="B241" s="600"/>
      <c r="C241" s="513"/>
      <c r="D241" s="511"/>
      <c r="E241" s="596"/>
    </row>
    <row r="242" spans="1:5" s="521" customFormat="1">
      <c r="A242" s="14"/>
      <c r="B242" s="593" t="s">
        <v>1376</v>
      </c>
      <c r="C242" s="512" t="s">
        <v>2385</v>
      </c>
      <c r="D242" s="511" t="s">
        <v>12</v>
      </c>
      <c r="E242" s="596">
        <f>A50.800.TOTAL</f>
        <v>6923</v>
      </c>
    </row>
    <row r="243" spans="1:5" s="521" customFormat="1">
      <c r="A243" s="14"/>
      <c r="B243" s="602"/>
      <c r="C243" s="512"/>
      <c r="D243" s="511"/>
      <c r="E243" s="596"/>
    </row>
    <row r="244" spans="1:5" s="521" customFormat="1">
      <c r="A244" s="14"/>
      <c r="B244" s="595" t="s">
        <v>1374</v>
      </c>
      <c r="C244" s="519" t="s">
        <v>1081</v>
      </c>
      <c r="D244" s="511"/>
      <c r="E244" s="596"/>
    </row>
    <row r="245" spans="1:5" s="521" customFormat="1">
      <c r="A245" s="14"/>
      <c r="B245" s="600"/>
      <c r="C245" s="513"/>
      <c r="D245" s="511"/>
      <c r="E245" s="596"/>
    </row>
    <row r="246" spans="1:5" s="521" customFormat="1">
      <c r="A246" s="14"/>
      <c r="B246" s="593" t="s">
        <v>1373</v>
      </c>
      <c r="C246" s="512" t="s">
        <v>176</v>
      </c>
      <c r="D246" s="511" t="s">
        <v>3</v>
      </c>
      <c r="E246" s="596">
        <f>C.800.TOTAL</f>
        <v>17.00675</v>
      </c>
    </row>
    <row r="247" spans="1:5" s="521" customFormat="1">
      <c r="A247" s="14"/>
      <c r="B247" s="597"/>
      <c r="C247" s="144"/>
      <c r="D247" s="142"/>
      <c r="E247" s="596"/>
    </row>
  </sheetData>
  <mergeCells count="4">
    <mergeCell ref="B3:C5"/>
    <mergeCell ref="D7:E7"/>
    <mergeCell ref="B7:C7"/>
    <mergeCell ref="B6:E6"/>
  </mergeCells>
  <printOptions horizontalCentered="1"/>
  <pageMargins left="0.59055118110236227" right="0.39370078740157483" top="0.39370078740157483" bottom="0.39370078740157483" header="0.47244094488188981" footer="0.15748031496062992"/>
  <pageSetup paperSize="9" scale="54" fitToHeight="70" orientation="portrait" r:id="rId1"/>
  <headerFooter alignWithMargins="0">
    <oddHeader xml:space="preserve">&amp;L&amp;G&amp;C&amp;"Arial,Negrito"&amp;12AEROPORTO INTERNACIONAL DE 
FLORIANÓPOLIS HERCÍLIO LUZ&amp;R&amp;G             &amp;12&amp;P / &amp;N   </oddHeader>
  </headerFooter>
  <ignoredErrors>
    <ignoredError sqref="E202" evalError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Plan1">
    <pageSetUpPr fitToPage="1"/>
  </sheetPr>
  <dimension ref="A1:H167"/>
  <sheetViews>
    <sheetView showGridLines="0" view="pageBreakPreview" topLeftCell="A133" zoomScale="85" zoomScaleNormal="100" zoomScaleSheetLayoutView="85" workbookViewId="0">
      <selection activeCell="C19" sqref="C19"/>
    </sheetView>
  </sheetViews>
  <sheetFormatPr defaultRowHeight="12.75"/>
  <cols>
    <col min="1" max="1" width="3.5703125" customWidth="1"/>
    <col min="2" max="2" width="19" style="1" customWidth="1"/>
    <col min="3" max="3" width="103.42578125" style="2" customWidth="1"/>
    <col min="4" max="4" width="31.85546875" style="3" customWidth="1"/>
    <col min="5" max="5" width="25" style="4" customWidth="1"/>
  </cols>
  <sheetData>
    <row r="1" spans="1:5">
      <c r="A1" s="13"/>
    </row>
    <row r="2" spans="1:5" ht="55.5" customHeight="1" thickBot="1">
      <c r="A2" s="12"/>
      <c r="B2" s="580"/>
      <c r="C2" s="581"/>
      <c r="D2" s="582"/>
      <c r="E2" s="583"/>
    </row>
    <row r="3" spans="1:5" s="9" customFormat="1" ht="18.75" customHeight="1" thickTop="1">
      <c r="B3" s="1158" t="str">
        <f>CAPA!K46</f>
        <v>PLANILHA DE SERVIÇOS DE MATERIAIS E QUANTIDADES /                                                                                                                       MEMORIAL DE QUANTIFICAÇÃO - PSQ</v>
      </c>
      <c r="C3" s="1351"/>
      <c r="D3" s="135" t="s">
        <v>0</v>
      </c>
      <c r="E3" s="584" t="str">
        <f>CAPA!C34</f>
        <v>1210/00-IF-PQ-3001</v>
      </c>
    </row>
    <row r="4" spans="1:5" s="9" customFormat="1" ht="18.75" customHeight="1">
      <c r="B4" s="1160"/>
      <c r="C4" s="1352"/>
      <c r="D4" s="363" t="s">
        <v>1</v>
      </c>
      <c r="E4" s="364" t="str">
        <f>CAPA!J55</f>
        <v>FL.01/302.88/04539/02</v>
      </c>
    </row>
    <row r="5" spans="1:5" s="9" customFormat="1" ht="18.75" customHeight="1" thickBot="1">
      <c r="B5" s="1162"/>
      <c r="C5" s="1353"/>
      <c r="D5" s="136" t="s">
        <v>2</v>
      </c>
      <c r="E5" s="585">
        <f>CAPA!K19</f>
        <v>40992</v>
      </c>
    </row>
    <row r="6" spans="1:5" s="9" customFormat="1" ht="42.75" customHeight="1" thickTop="1" thickBot="1">
      <c r="B6" s="1154" t="s">
        <v>1993</v>
      </c>
      <c r="C6" s="1154"/>
      <c r="D6" s="1154"/>
      <c r="E6" s="1154"/>
    </row>
    <row r="7" spans="1:5" s="86" customFormat="1" ht="37.5" customHeight="1" thickTop="1">
      <c r="B7" s="1354" t="s">
        <v>1423</v>
      </c>
      <c r="C7" s="1354"/>
      <c r="D7" s="1347"/>
      <c r="E7" s="1348"/>
    </row>
    <row r="8" spans="1:5" s="9" customFormat="1" ht="38.25" customHeight="1">
      <c r="A8" s="11"/>
      <c r="B8" s="586" t="s">
        <v>7</v>
      </c>
      <c r="C8" s="167" t="s">
        <v>8</v>
      </c>
      <c r="D8" s="167" t="s">
        <v>4</v>
      </c>
      <c r="E8" s="587" t="s">
        <v>5</v>
      </c>
    </row>
    <row r="9" spans="1:5">
      <c r="A9" s="15"/>
      <c r="C9" s="141"/>
      <c r="E9" s="588"/>
    </row>
    <row r="10" spans="1:5">
      <c r="A10" s="15"/>
      <c r="B10" s="589"/>
      <c r="C10" s="184" t="s">
        <v>180</v>
      </c>
      <c r="D10" s="183"/>
      <c r="E10" s="590"/>
    </row>
    <row r="11" spans="1:5">
      <c r="A11" s="15"/>
      <c r="C11" s="185"/>
      <c r="E11" s="588"/>
    </row>
    <row r="12" spans="1:5" s="8" customFormat="1">
      <c r="A12" s="14"/>
      <c r="B12" s="591" t="s">
        <v>9</v>
      </c>
      <c r="C12" s="18" t="s">
        <v>6</v>
      </c>
      <c r="D12" s="20"/>
      <c r="E12" s="614"/>
    </row>
    <row r="13" spans="1:5" s="8" customFormat="1">
      <c r="A13" s="14"/>
      <c r="B13" s="608"/>
      <c r="C13" s="16"/>
      <c r="D13" s="17"/>
      <c r="E13" s="615"/>
    </row>
    <row r="14" spans="1:5" s="8" customFormat="1">
      <c r="A14" s="14"/>
      <c r="B14" s="595" t="s">
        <v>169</v>
      </c>
      <c r="C14" s="156" t="s">
        <v>109</v>
      </c>
      <c r="D14" s="157"/>
      <c r="E14" s="616"/>
    </row>
    <row r="15" spans="1:5" s="8" customFormat="1">
      <c r="A15" s="14"/>
      <c r="B15" s="597"/>
      <c r="C15" s="143"/>
      <c r="D15" s="157"/>
      <c r="E15" s="616"/>
    </row>
    <row r="16" spans="1:5" s="8" customFormat="1">
      <c r="A16" s="14"/>
      <c r="B16" s="595" t="s">
        <v>170</v>
      </c>
      <c r="C16" s="19" t="s">
        <v>1079</v>
      </c>
      <c r="D16" s="147"/>
      <c r="E16" s="616"/>
    </row>
    <row r="17" spans="1:5" s="8" customFormat="1">
      <c r="A17" s="14"/>
      <c r="B17" s="609"/>
      <c r="C17" s="148"/>
      <c r="D17" s="147"/>
      <c r="E17" s="616"/>
    </row>
    <row r="18" spans="1:5" s="8" customFormat="1">
      <c r="A18" s="14"/>
      <c r="B18" s="593" t="s">
        <v>171</v>
      </c>
      <c r="C18" s="149" t="s">
        <v>177</v>
      </c>
      <c r="D18" s="145" t="s">
        <v>13</v>
      </c>
      <c r="E18" s="616">
        <f>F.100.TOTAL</f>
        <v>4275.1147999999994</v>
      </c>
    </row>
    <row r="19" spans="1:5" s="8" customFormat="1">
      <c r="A19" s="14"/>
      <c r="B19" s="610"/>
      <c r="C19" s="149"/>
      <c r="D19" s="145"/>
      <c r="E19" s="616"/>
    </row>
    <row r="20" spans="1:5" s="8" customFormat="1">
      <c r="A20" s="14"/>
      <c r="B20" s="593" t="s">
        <v>2365</v>
      </c>
      <c r="C20" s="149" t="s">
        <v>2364</v>
      </c>
      <c r="D20" s="145" t="s">
        <v>3</v>
      </c>
      <c r="E20" s="616">
        <f>'MQ-SUPER'!E904</f>
        <v>6106</v>
      </c>
    </row>
    <row r="21" spans="1:5" s="8" customFormat="1">
      <c r="A21" s="14"/>
      <c r="B21" s="610"/>
      <c r="C21" s="149"/>
      <c r="D21" s="145"/>
      <c r="E21" s="616"/>
    </row>
    <row r="22" spans="1:5" s="8" customFormat="1">
      <c r="A22" s="14"/>
      <c r="B22" s="595" t="s">
        <v>172</v>
      </c>
      <c r="C22" s="519" t="s">
        <v>1080</v>
      </c>
      <c r="D22" s="145"/>
      <c r="E22" s="616"/>
    </row>
    <row r="23" spans="1:5" s="8" customFormat="1">
      <c r="A23" s="14"/>
      <c r="B23" s="609"/>
      <c r="C23" s="146"/>
      <c r="D23" s="145"/>
      <c r="E23" s="616"/>
    </row>
    <row r="24" spans="1:5" s="8" customFormat="1">
      <c r="A24" s="14"/>
      <c r="B24" s="593" t="s">
        <v>173</v>
      </c>
      <c r="C24" s="149" t="s">
        <v>11</v>
      </c>
      <c r="D24" s="145" t="s">
        <v>12</v>
      </c>
      <c r="E24" s="616">
        <f>A50.100.TOTAL</f>
        <v>55070</v>
      </c>
    </row>
    <row r="25" spans="1:5" s="8" customFormat="1">
      <c r="A25" s="14"/>
      <c r="B25" s="609"/>
      <c r="C25" s="146"/>
      <c r="D25" s="145"/>
      <c r="E25" s="616"/>
    </row>
    <row r="26" spans="1:5" s="8" customFormat="1">
      <c r="A26" s="14"/>
      <c r="B26" s="593" t="s">
        <v>178</v>
      </c>
      <c r="C26" s="149" t="s">
        <v>179</v>
      </c>
      <c r="D26" s="145" t="s">
        <v>12</v>
      </c>
      <c r="E26" s="616">
        <f>A60.100.TOTAL</f>
        <v>3203</v>
      </c>
    </row>
    <row r="27" spans="1:5" s="8" customFormat="1">
      <c r="A27" s="14"/>
      <c r="B27" s="610"/>
      <c r="C27" s="149"/>
      <c r="D27" s="145"/>
      <c r="E27" s="616"/>
    </row>
    <row r="28" spans="1:5" s="8" customFormat="1">
      <c r="A28" s="14"/>
      <c r="B28" s="595" t="s">
        <v>174</v>
      </c>
      <c r="C28" s="519" t="s">
        <v>1081</v>
      </c>
      <c r="D28" s="145"/>
      <c r="E28" s="616"/>
    </row>
    <row r="29" spans="1:5" s="8" customFormat="1">
      <c r="A29" s="14"/>
      <c r="B29" s="609"/>
      <c r="C29" s="146"/>
      <c r="D29" s="145"/>
      <c r="E29" s="616"/>
    </row>
    <row r="30" spans="1:5" s="8" customFormat="1">
      <c r="A30" s="14"/>
      <c r="B30" s="593" t="s">
        <v>175</v>
      </c>
      <c r="C30" s="149" t="s">
        <v>176</v>
      </c>
      <c r="D30" s="145" t="s">
        <v>3</v>
      </c>
      <c r="E30" s="616">
        <f>C.100.TOTAL</f>
        <v>550.07357999999999</v>
      </c>
    </row>
    <row r="31" spans="1:5" s="8" customFormat="1">
      <c r="A31" s="14"/>
      <c r="B31" s="597"/>
      <c r="C31" s="144"/>
      <c r="D31" s="142"/>
      <c r="E31" s="616"/>
    </row>
    <row r="32" spans="1:5" s="8" customFormat="1">
      <c r="A32" s="14"/>
      <c r="B32" s="595" t="s">
        <v>110</v>
      </c>
      <c r="C32" s="19" t="s">
        <v>111</v>
      </c>
      <c r="D32" s="142"/>
      <c r="E32" s="616"/>
    </row>
    <row r="33" spans="1:5" s="8" customFormat="1">
      <c r="A33" s="14"/>
      <c r="B33" s="593"/>
      <c r="C33" s="144"/>
      <c r="D33" s="142"/>
      <c r="E33" s="616"/>
    </row>
    <row r="34" spans="1:5" s="8" customFormat="1">
      <c r="A34" s="14"/>
      <c r="B34" s="595" t="s">
        <v>112</v>
      </c>
      <c r="C34" s="19" t="s">
        <v>1082</v>
      </c>
      <c r="D34" s="142"/>
      <c r="E34" s="616"/>
    </row>
    <row r="35" spans="1:5" s="8" customFormat="1">
      <c r="A35" s="14"/>
      <c r="B35" s="595"/>
      <c r="C35" s="19"/>
      <c r="D35" s="142"/>
      <c r="E35" s="616"/>
    </row>
    <row r="36" spans="1:5" s="8" customFormat="1">
      <c r="A36" s="14"/>
      <c r="B36" s="593" t="s">
        <v>182</v>
      </c>
      <c r="C36" s="144" t="s">
        <v>1669</v>
      </c>
      <c r="D36" s="142" t="s">
        <v>10</v>
      </c>
      <c r="E36" s="616">
        <f>JE.100.TOTAL</f>
        <v>579.20000000000005</v>
      </c>
    </row>
    <row r="37" spans="1:5" s="8" customFormat="1">
      <c r="A37" s="14"/>
      <c r="B37" s="593"/>
      <c r="C37" s="144"/>
      <c r="D37" s="142"/>
      <c r="E37" s="616"/>
    </row>
    <row r="38" spans="1:5" s="8" customFormat="1">
      <c r="A38" s="14"/>
      <c r="B38" s="593" t="s">
        <v>1665</v>
      </c>
      <c r="C38" s="190" t="s">
        <v>1671</v>
      </c>
      <c r="D38" s="142" t="s">
        <v>10</v>
      </c>
      <c r="E38" s="616">
        <f>JS.100.TOTAL</f>
        <v>28.85</v>
      </c>
    </row>
    <row r="39" spans="1:5" s="8" customFormat="1">
      <c r="A39" s="14"/>
      <c r="B39" s="593"/>
      <c r="C39" s="190"/>
      <c r="D39" s="142"/>
      <c r="E39" s="616"/>
    </row>
    <row r="40" spans="1:5" s="8" customFormat="1">
      <c r="A40" s="14"/>
      <c r="B40" s="595" t="s">
        <v>114</v>
      </c>
      <c r="C40" s="19" t="s">
        <v>1083</v>
      </c>
      <c r="D40" s="142"/>
      <c r="E40" s="616"/>
    </row>
    <row r="41" spans="1:5" s="8" customFormat="1">
      <c r="A41" s="14"/>
      <c r="B41" s="595"/>
      <c r="C41" s="19"/>
      <c r="D41" s="142"/>
      <c r="E41" s="616"/>
    </row>
    <row r="42" spans="1:5" s="8" customFormat="1">
      <c r="A42" s="14"/>
      <c r="B42" s="593" t="s">
        <v>115</v>
      </c>
      <c r="C42" s="144" t="s">
        <v>2375</v>
      </c>
      <c r="D42" s="142" t="s">
        <v>3</v>
      </c>
      <c r="E42" s="616">
        <f>LC.100.TOTAL</f>
        <v>31.25</v>
      </c>
    </row>
    <row r="43" spans="1:5" s="8" customFormat="1">
      <c r="A43" s="14"/>
      <c r="B43" s="611"/>
      <c r="C43" s="149"/>
      <c r="D43" s="145"/>
      <c r="E43" s="616"/>
    </row>
    <row r="44" spans="1:5" s="8" customFormat="1">
      <c r="A44" s="14"/>
      <c r="B44" s="589"/>
      <c r="C44" s="184" t="s">
        <v>181</v>
      </c>
      <c r="D44" s="183"/>
      <c r="E44" s="590"/>
    </row>
    <row r="45" spans="1:5" s="8" customFormat="1">
      <c r="A45" s="14"/>
      <c r="B45" s="1"/>
      <c r="C45" s="185"/>
      <c r="D45" s="3"/>
      <c r="E45" s="588"/>
    </row>
    <row r="46" spans="1:5" s="8" customFormat="1">
      <c r="A46" s="14"/>
      <c r="B46" s="591" t="s">
        <v>9</v>
      </c>
      <c r="C46" s="18" t="s">
        <v>6</v>
      </c>
      <c r="D46" s="20"/>
      <c r="E46" s="614"/>
    </row>
    <row r="47" spans="1:5" s="8" customFormat="1">
      <c r="A47" s="14"/>
      <c r="B47" s="608"/>
      <c r="C47" s="16"/>
      <c r="D47" s="17"/>
      <c r="E47" s="615"/>
    </row>
    <row r="48" spans="1:5" s="8" customFormat="1">
      <c r="A48" s="14"/>
      <c r="B48" s="595" t="s">
        <v>169</v>
      </c>
      <c r="C48" s="156" t="s">
        <v>109</v>
      </c>
      <c r="D48" s="17"/>
      <c r="E48" s="615"/>
    </row>
    <row r="49" spans="1:5" s="8" customFormat="1">
      <c r="A49" s="14"/>
      <c r="B49" s="608"/>
      <c r="C49" s="16"/>
      <c r="D49" s="17"/>
      <c r="E49" s="615"/>
    </row>
    <row r="50" spans="1:5">
      <c r="B50" s="595" t="s">
        <v>170</v>
      </c>
      <c r="C50" s="19" t="s">
        <v>1079</v>
      </c>
      <c r="D50" s="147"/>
      <c r="E50" s="616"/>
    </row>
    <row r="51" spans="1:5">
      <c r="B51" s="612"/>
      <c r="C51" s="148"/>
      <c r="D51" s="147"/>
      <c r="E51" s="616"/>
    </row>
    <row r="52" spans="1:5">
      <c r="B52" s="593" t="s">
        <v>171</v>
      </c>
      <c r="C52" s="149" t="s">
        <v>177</v>
      </c>
      <c r="D52" s="145" t="s">
        <v>13</v>
      </c>
      <c r="E52" s="616">
        <f>F.200.TOTAL</f>
        <v>7125.8661499999998</v>
      </c>
    </row>
    <row r="53" spans="1:5">
      <c r="B53" s="613"/>
      <c r="C53" s="149"/>
      <c r="D53" s="145"/>
      <c r="E53" s="616"/>
    </row>
    <row r="54" spans="1:5">
      <c r="B54" s="593" t="s">
        <v>2365</v>
      </c>
      <c r="C54" s="149" t="s">
        <v>2364</v>
      </c>
      <c r="D54" s="145" t="s">
        <v>3</v>
      </c>
      <c r="E54" s="616">
        <f>'MQ-SUPER'!E1604</f>
        <v>8397</v>
      </c>
    </row>
    <row r="55" spans="1:5">
      <c r="B55" s="613"/>
      <c r="C55" s="149"/>
      <c r="D55" s="145"/>
      <c r="E55" s="616"/>
    </row>
    <row r="56" spans="1:5">
      <c r="B56" s="595" t="s">
        <v>172</v>
      </c>
      <c r="C56" s="519" t="s">
        <v>1080</v>
      </c>
      <c r="D56" s="145"/>
      <c r="E56" s="616"/>
    </row>
    <row r="57" spans="1:5">
      <c r="B57" s="612"/>
      <c r="C57" s="146"/>
      <c r="D57" s="145"/>
      <c r="E57" s="616"/>
    </row>
    <row r="58" spans="1:5">
      <c r="B58" s="593" t="s">
        <v>173</v>
      </c>
      <c r="C58" s="149" t="s">
        <v>11</v>
      </c>
      <c r="D58" s="145" t="s">
        <v>12</v>
      </c>
      <c r="E58" s="616">
        <f>A50.200.TOTAL</f>
        <v>105319</v>
      </c>
    </row>
    <row r="59" spans="1:5">
      <c r="B59" s="613"/>
      <c r="C59" s="149"/>
      <c r="D59" s="145"/>
      <c r="E59" s="616"/>
    </row>
    <row r="60" spans="1:5">
      <c r="B60" s="593" t="s">
        <v>178</v>
      </c>
      <c r="C60" s="149" t="s">
        <v>179</v>
      </c>
      <c r="D60" s="145" t="s">
        <v>12</v>
      </c>
      <c r="E60" s="616">
        <f>A60.200.TOTAL</f>
        <v>9340</v>
      </c>
    </row>
    <row r="61" spans="1:5">
      <c r="B61" s="613"/>
      <c r="C61" s="149"/>
      <c r="D61" s="145"/>
      <c r="E61" s="616"/>
    </row>
    <row r="62" spans="1:5">
      <c r="B62" s="595" t="s">
        <v>174</v>
      </c>
      <c r="C62" s="519" t="s">
        <v>1081</v>
      </c>
      <c r="D62" s="145"/>
      <c r="E62" s="616"/>
    </row>
    <row r="63" spans="1:5">
      <c r="B63" s="612"/>
      <c r="C63" s="146"/>
      <c r="D63" s="145"/>
      <c r="E63" s="616"/>
    </row>
    <row r="64" spans="1:5">
      <c r="B64" s="593" t="s">
        <v>175</v>
      </c>
      <c r="C64" s="149" t="s">
        <v>176</v>
      </c>
      <c r="D64" s="145" t="s">
        <v>3</v>
      </c>
      <c r="E64" s="616">
        <f>C.200.TOTAL</f>
        <v>830.62925500000006</v>
      </c>
    </row>
    <row r="65" spans="1:5">
      <c r="B65" s="593"/>
      <c r="C65" s="144"/>
      <c r="D65" s="142"/>
      <c r="E65" s="616"/>
    </row>
    <row r="66" spans="1:5">
      <c r="B66" s="595" t="s">
        <v>110</v>
      </c>
      <c r="C66" s="19" t="s">
        <v>111</v>
      </c>
      <c r="D66" s="142"/>
      <c r="E66" s="616"/>
    </row>
    <row r="67" spans="1:5">
      <c r="B67" s="593"/>
      <c r="C67" s="144"/>
      <c r="D67" s="142"/>
      <c r="E67" s="616"/>
    </row>
    <row r="68" spans="1:5">
      <c r="B68" s="595" t="s">
        <v>112</v>
      </c>
      <c r="C68" s="19" t="s">
        <v>1663</v>
      </c>
      <c r="D68" s="142"/>
      <c r="E68" s="616"/>
    </row>
    <row r="69" spans="1:5">
      <c r="B69" s="595"/>
      <c r="C69" s="19"/>
      <c r="D69" s="142"/>
      <c r="E69" s="616"/>
    </row>
    <row r="70" spans="1:5">
      <c r="B70" s="593" t="s">
        <v>182</v>
      </c>
      <c r="C70" s="144" t="s">
        <v>1669</v>
      </c>
      <c r="D70" s="142" t="s">
        <v>10</v>
      </c>
      <c r="E70" s="616">
        <f>JE.200.TOTAL</f>
        <v>1278.2400000000002</v>
      </c>
    </row>
    <row r="71" spans="1:5">
      <c r="B71" s="593"/>
      <c r="C71" s="190"/>
      <c r="D71" s="142"/>
      <c r="E71" s="616"/>
    </row>
    <row r="72" spans="1:5">
      <c r="B72" s="593" t="s">
        <v>1665</v>
      </c>
      <c r="C72" s="190" t="s">
        <v>1671</v>
      </c>
      <c r="D72" s="142" t="s">
        <v>10</v>
      </c>
      <c r="E72" s="616">
        <f>JS.200.TOTAL</f>
        <v>286.21999999999997</v>
      </c>
    </row>
    <row r="73" spans="1:5">
      <c r="B73" s="593"/>
      <c r="C73" s="149"/>
      <c r="D73" s="145"/>
      <c r="E73" s="616"/>
    </row>
    <row r="74" spans="1:5">
      <c r="B74" s="595" t="s">
        <v>114</v>
      </c>
      <c r="C74" s="19" t="s">
        <v>1083</v>
      </c>
      <c r="D74" s="142"/>
      <c r="E74" s="616"/>
    </row>
    <row r="75" spans="1:5">
      <c r="B75" s="595"/>
      <c r="C75" s="19"/>
      <c r="D75" s="142"/>
      <c r="E75" s="616"/>
    </row>
    <row r="76" spans="1:5">
      <c r="B76" s="593" t="s">
        <v>115</v>
      </c>
      <c r="C76" s="144" t="s">
        <v>2374</v>
      </c>
      <c r="D76" s="142" t="s">
        <v>3</v>
      </c>
      <c r="E76" s="616">
        <f>LC.200.TOTAL</f>
        <v>114.73423999999999</v>
      </c>
    </row>
    <row r="77" spans="1:5">
      <c r="B77" s="593"/>
      <c r="C77" s="190"/>
      <c r="D77" s="142"/>
      <c r="E77" s="616"/>
    </row>
    <row r="78" spans="1:5">
      <c r="A78" s="15"/>
      <c r="B78" s="589"/>
      <c r="C78" s="184" t="s">
        <v>90</v>
      </c>
      <c r="D78" s="183"/>
      <c r="E78" s="590"/>
    </row>
    <row r="79" spans="1:5">
      <c r="A79" s="15"/>
      <c r="C79" s="185"/>
      <c r="E79" s="588"/>
    </row>
    <row r="80" spans="1:5" s="8" customFormat="1">
      <c r="A80" s="14"/>
      <c r="B80" s="591" t="s">
        <v>9</v>
      </c>
      <c r="C80" s="18" t="s">
        <v>6</v>
      </c>
      <c r="D80" s="20"/>
      <c r="E80" s="614"/>
    </row>
    <row r="81" spans="1:5" s="8" customFormat="1">
      <c r="A81" s="14"/>
      <c r="B81" s="608"/>
      <c r="C81" s="16"/>
      <c r="D81" s="17"/>
      <c r="E81" s="615"/>
    </row>
    <row r="82" spans="1:5" s="8" customFormat="1">
      <c r="A82" s="14"/>
      <c r="B82" s="595" t="s">
        <v>169</v>
      </c>
      <c r="C82" s="156" t="s">
        <v>109</v>
      </c>
      <c r="D82" s="157"/>
      <c r="E82" s="616"/>
    </row>
    <row r="83" spans="1:5" s="8" customFormat="1">
      <c r="A83" s="14"/>
      <c r="B83" s="597"/>
      <c r="C83" s="143"/>
      <c r="D83" s="157"/>
      <c r="E83" s="616"/>
    </row>
    <row r="84" spans="1:5" s="8" customFormat="1">
      <c r="A84" s="14"/>
      <c r="B84" s="595" t="s">
        <v>170</v>
      </c>
      <c r="C84" s="19" t="s">
        <v>1079</v>
      </c>
      <c r="D84" s="147"/>
      <c r="E84" s="616"/>
    </row>
    <row r="85" spans="1:5" s="8" customFormat="1">
      <c r="A85" s="14"/>
      <c r="B85" s="609"/>
      <c r="C85" s="148"/>
      <c r="D85" s="147"/>
      <c r="E85" s="616"/>
    </row>
    <row r="86" spans="1:5" s="8" customFormat="1">
      <c r="A86" s="14"/>
      <c r="B86" s="593" t="s">
        <v>171</v>
      </c>
      <c r="C86" s="149" t="s">
        <v>177</v>
      </c>
      <c r="D86" s="145" t="s">
        <v>13</v>
      </c>
      <c r="E86" s="616">
        <f>F.300.TOTAL</f>
        <v>39455.918980500006</v>
      </c>
    </row>
    <row r="87" spans="1:5" s="8" customFormat="1">
      <c r="A87" s="14"/>
      <c r="B87" s="593"/>
      <c r="C87" s="149"/>
      <c r="D87" s="145"/>
      <c r="E87" s="616"/>
    </row>
    <row r="88" spans="1:5" s="8" customFormat="1">
      <c r="A88" s="14"/>
      <c r="B88" s="593" t="s">
        <v>2365</v>
      </c>
      <c r="C88" s="149" t="s">
        <v>2364</v>
      </c>
      <c r="D88" s="145" t="s">
        <v>3</v>
      </c>
      <c r="E88" s="616">
        <f>'MQ-SUPER'!E2855</f>
        <v>105569</v>
      </c>
    </row>
    <row r="89" spans="1:5" s="8" customFormat="1">
      <c r="A89" s="14"/>
      <c r="B89" s="610"/>
      <c r="C89" s="149"/>
      <c r="D89" s="145"/>
      <c r="E89" s="616"/>
    </row>
    <row r="90" spans="1:5" s="8" customFormat="1">
      <c r="A90" s="14"/>
      <c r="B90" s="595" t="s">
        <v>172</v>
      </c>
      <c r="C90" s="519" t="s">
        <v>1080</v>
      </c>
      <c r="D90" s="145"/>
      <c r="E90" s="616"/>
    </row>
    <row r="91" spans="1:5" s="8" customFormat="1">
      <c r="A91" s="14"/>
      <c r="B91" s="609"/>
      <c r="C91" s="146"/>
      <c r="D91" s="145"/>
      <c r="E91" s="616"/>
    </row>
    <row r="92" spans="1:5" s="8" customFormat="1">
      <c r="A92" s="14"/>
      <c r="B92" s="593" t="s">
        <v>173</v>
      </c>
      <c r="C92" s="149" t="s">
        <v>11</v>
      </c>
      <c r="D92" s="145" t="s">
        <v>12</v>
      </c>
      <c r="E92" s="616">
        <f>A50.300.TOTAL</f>
        <v>1485978</v>
      </c>
    </row>
    <row r="93" spans="1:5" s="8" customFormat="1">
      <c r="A93" s="14"/>
      <c r="B93" s="609"/>
      <c r="C93" s="146"/>
      <c r="D93" s="145"/>
      <c r="E93" s="616"/>
    </row>
    <row r="94" spans="1:5" s="8" customFormat="1">
      <c r="A94" s="14"/>
      <c r="B94" s="593" t="s">
        <v>178</v>
      </c>
      <c r="C94" s="149" t="s">
        <v>179</v>
      </c>
      <c r="D94" s="145" t="s">
        <v>12</v>
      </c>
      <c r="E94" s="616">
        <f>A60.300.TOTAL</f>
        <v>29657</v>
      </c>
    </row>
    <row r="95" spans="1:5" s="8" customFormat="1">
      <c r="A95" s="14"/>
      <c r="B95" s="610"/>
      <c r="C95" s="149"/>
      <c r="D95" s="145"/>
      <c r="E95" s="616"/>
    </row>
    <row r="96" spans="1:5" s="8" customFormat="1">
      <c r="A96" s="14"/>
      <c r="B96" s="595" t="s">
        <v>174</v>
      </c>
      <c r="C96" s="519" t="s">
        <v>1081</v>
      </c>
      <c r="D96" s="145"/>
      <c r="E96" s="616"/>
    </row>
    <row r="97" spans="1:5" s="8" customFormat="1">
      <c r="A97" s="14"/>
      <c r="B97" s="609"/>
      <c r="C97" s="146"/>
      <c r="D97" s="145"/>
      <c r="E97" s="616"/>
    </row>
    <row r="98" spans="1:5" s="8" customFormat="1">
      <c r="A98" s="14"/>
      <c r="B98" s="593" t="s">
        <v>175</v>
      </c>
      <c r="C98" s="149" t="s">
        <v>176</v>
      </c>
      <c r="D98" s="145" t="s">
        <v>3</v>
      </c>
      <c r="E98" s="616">
        <f>C.300.TOTAL</f>
        <v>8383.2608633275013</v>
      </c>
    </row>
    <row r="99" spans="1:5" s="8" customFormat="1">
      <c r="A99" s="14"/>
      <c r="B99" s="597"/>
      <c r="C99" s="144"/>
      <c r="D99" s="142"/>
      <c r="E99" s="616"/>
    </row>
    <row r="100" spans="1:5" s="8" customFormat="1">
      <c r="A100" s="14"/>
      <c r="B100" s="595" t="s">
        <v>110</v>
      </c>
      <c r="C100" s="19" t="s">
        <v>111</v>
      </c>
      <c r="D100" s="142"/>
      <c r="E100" s="616"/>
    </row>
    <row r="101" spans="1:5" s="8" customFormat="1">
      <c r="A101" s="14"/>
      <c r="B101" s="593"/>
      <c r="C101" s="144"/>
      <c r="D101" s="142"/>
      <c r="E101" s="616"/>
    </row>
    <row r="102" spans="1:5" s="8" customFormat="1">
      <c r="A102" s="14"/>
      <c r="B102" s="595" t="s">
        <v>112</v>
      </c>
      <c r="C102" s="19" t="s">
        <v>1082</v>
      </c>
      <c r="D102" s="142"/>
      <c r="E102" s="616"/>
    </row>
    <row r="103" spans="1:5" s="8" customFormat="1">
      <c r="A103" s="14"/>
      <c r="B103" s="595"/>
      <c r="C103" s="19"/>
      <c r="D103" s="142"/>
      <c r="E103" s="616"/>
    </row>
    <row r="104" spans="1:5" s="8" customFormat="1">
      <c r="A104" s="14"/>
      <c r="B104" s="593" t="s">
        <v>113</v>
      </c>
      <c r="C104" s="144" t="s">
        <v>1668</v>
      </c>
      <c r="D104" s="142" t="s">
        <v>10</v>
      </c>
      <c r="E104" s="616">
        <f>JD.300.TOTAL</f>
        <v>431.38</v>
      </c>
    </row>
    <row r="105" spans="1:5" s="8" customFormat="1">
      <c r="A105" s="14"/>
      <c r="B105" s="593"/>
      <c r="C105" s="144"/>
      <c r="D105" s="142"/>
      <c r="E105" s="616"/>
    </row>
    <row r="106" spans="1:5" s="8" customFormat="1">
      <c r="A106" s="14"/>
      <c r="B106" s="593" t="s">
        <v>182</v>
      </c>
      <c r="C106" s="144" t="s">
        <v>1669</v>
      </c>
      <c r="D106" s="142" t="s">
        <v>10</v>
      </c>
      <c r="E106" s="616">
        <f>JE.300.TOTAL</f>
        <v>3653.7</v>
      </c>
    </row>
    <row r="107" spans="1:5" s="8" customFormat="1">
      <c r="A107" s="14"/>
      <c r="B107" s="593"/>
      <c r="C107" s="144"/>
      <c r="D107" s="142"/>
      <c r="E107" s="616"/>
    </row>
    <row r="108" spans="1:5" s="8" customFormat="1">
      <c r="A108" s="14"/>
      <c r="B108" s="593" t="s">
        <v>1664</v>
      </c>
      <c r="C108" s="144" t="s">
        <v>1670</v>
      </c>
      <c r="D108" s="142" t="s">
        <v>10</v>
      </c>
      <c r="E108" s="616">
        <f>JR.300.TOTAL</f>
        <v>1096</v>
      </c>
    </row>
    <row r="109" spans="1:5" s="8" customFormat="1">
      <c r="A109" s="14"/>
      <c r="B109" s="593"/>
      <c r="C109" s="144"/>
      <c r="D109" s="142"/>
      <c r="E109" s="616"/>
    </row>
    <row r="110" spans="1:5" s="8" customFormat="1">
      <c r="A110" s="14"/>
      <c r="B110" s="593" t="s">
        <v>1665</v>
      </c>
      <c r="C110" s="190" t="s">
        <v>1671</v>
      </c>
      <c r="D110" s="142" t="s">
        <v>10</v>
      </c>
      <c r="E110" s="616">
        <f>JS.300.TOTAL</f>
        <v>3356.1</v>
      </c>
    </row>
    <row r="111" spans="1:5" s="8" customFormat="1">
      <c r="A111" s="14"/>
      <c r="B111" s="593"/>
      <c r="C111" s="144"/>
      <c r="D111" s="142"/>
      <c r="E111" s="616"/>
    </row>
    <row r="112" spans="1:5" s="8" customFormat="1">
      <c r="A112" s="14"/>
      <c r="B112" s="595" t="s">
        <v>1662</v>
      </c>
      <c r="C112" s="19" t="s">
        <v>1666</v>
      </c>
      <c r="D112" s="142"/>
      <c r="E112" s="616"/>
    </row>
    <row r="113" spans="1:8" s="8" customFormat="1">
      <c r="A113" s="14"/>
      <c r="B113" s="593"/>
      <c r="C113" s="144"/>
      <c r="D113" s="142"/>
      <c r="E113" s="616"/>
    </row>
    <row r="114" spans="1:8" s="8" customFormat="1">
      <c r="A114" s="14"/>
      <c r="B114" s="593" t="s">
        <v>1995</v>
      </c>
      <c r="C114" s="144" t="s">
        <v>1672</v>
      </c>
      <c r="D114" s="142" t="s">
        <v>13</v>
      </c>
      <c r="E114" s="616">
        <f>FA.300.TOTAL</f>
        <v>10561.488799999997</v>
      </c>
    </row>
    <row r="115" spans="1:8">
      <c r="B115" s="593"/>
      <c r="C115" s="149"/>
      <c r="D115" s="145"/>
      <c r="E115" s="616"/>
    </row>
    <row r="116" spans="1:8">
      <c r="B116" s="595" t="s">
        <v>114</v>
      </c>
      <c r="C116" s="19" t="s">
        <v>1083</v>
      </c>
      <c r="D116" s="142"/>
      <c r="E116" s="616"/>
    </row>
    <row r="117" spans="1:8">
      <c r="B117" s="595"/>
      <c r="C117" s="19"/>
      <c r="D117" s="142"/>
      <c r="E117" s="616"/>
    </row>
    <row r="118" spans="1:8">
      <c r="B118" s="593" t="s">
        <v>115</v>
      </c>
      <c r="C118" s="144" t="s">
        <v>2374</v>
      </c>
      <c r="D118" s="142" t="s">
        <v>3</v>
      </c>
      <c r="E118" s="616">
        <f>LC.300.TOTAL</f>
        <v>234.27771000000001</v>
      </c>
    </row>
    <row r="119" spans="1:8" s="8" customFormat="1">
      <c r="A119" s="14"/>
      <c r="B119" s="593"/>
      <c r="C119" s="144"/>
      <c r="D119" s="142"/>
      <c r="E119" s="616"/>
    </row>
    <row r="120" spans="1:8" s="8" customFormat="1">
      <c r="A120" s="14"/>
      <c r="B120" s="595" t="s">
        <v>1959</v>
      </c>
      <c r="C120" s="19" t="s">
        <v>1667</v>
      </c>
      <c r="D120" s="142"/>
      <c r="E120" s="616"/>
    </row>
    <row r="121" spans="1:8" s="8" customFormat="1">
      <c r="A121" s="14"/>
      <c r="B121" s="593"/>
      <c r="C121" s="144"/>
      <c r="D121" s="142"/>
      <c r="E121" s="616"/>
    </row>
    <row r="122" spans="1:8" s="8" customFormat="1">
      <c r="A122" s="14"/>
      <c r="B122" s="593" t="s">
        <v>1960</v>
      </c>
      <c r="C122" s="144" t="s">
        <v>1673</v>
      </c>
      <c r="D122" s="142" t="s">
        <v>3</v>
      </c>
      <c r="E122" s="616">
        <f>ARG.300.TOTAL</f>
        <v>56.032430000000005</v>
      </c>
    </row>
    <row r="123" spans="1:8" s="8" customFormat="1">
      <c r="A123" s="14"/>
      <c r="B123" s="593"/>
      <c r="C123" s="190"/>
      <c r="D123" s="142"/>
      <c r="E123" s="616"/>
    </row>
    <row r="124" spans="1:8">
      <c r="B124" s="595" t="s">
        <v>1962</v>
      </c>
      <c r="C124" s="19" t="s">
        <v>1961</v>
      </c>
      <c r="D124" s="142"/>
      <c r="E124" s="616"/>
      <c r="F124" s="362"/>
      <c r="G124" s="362"/>
      <c r="H124" s="362"/>
    </row>
    <row r="125" spans="1:8">
      <c r="B125" s="595"/>
      <c r="C125" s="19"/>
      <c r="D125" s="142"/>
      <c r="E125" s="616"/>
      <c r="F125" s="362"/>
      <c r="G125" s="362"/>
      <c r="H125" s="362"/>
    </row>
    <row r="126" spans="1:8">
      <c r="B126" s="593" t="s">
        <v>1963</v>
      </c>
      <c r="C126" s="144" t="s">
        <v>1983</v>
      </c>
      <c r="D126" s="142" t="s">
        <v>3</v>
      </c>
      <c r="E126" s="616">
        <f>G.300.TOTAL</f>
        <v>36.402287999999999</v>
      </c>
      <c r="F126" s="362"/>
      <c r="G126" s="362"/>
      <c r="H126" s="362"/>
    </row>
    <row r="127" spans="1:8">
      <c r="B127" s="735"/>
      <c r="C127" s="185"/>
      <c r="D127" s="736"/>
      <c r="E127" s="588"/>
      <c r="F127" s="362"/>
      <c r="G127" s="362"/>
      <c r="H127" s="362"/>
    </row>
    <row r="128" spans="1:8">
      <c r="B128" s="1034" t="s">
        <v>1996</v>
      </c>
      <c r="C128" s="1035" t="s">
        <v>2327</v>
      </c>
      <c r="D128" s="1036"/>
      <c r="E128" s="1037"/>
    </row>
    <row r="129" spans="1:5">
      <c r="B129" s="1034"/>
      <c r="C129" s="1035"/>
      <c r="D129" s="1036"/>
      <c r="E129" s="1037"/>
    </row>
    <row r="130" spans="1:5">
      <c r="B130" s="1038" t="s">
        <v>1997</v>
      </c>
      <c r="C130" s="1039" t="s">
        <v>2328</v>
      </c>
      <c r="D130" s="1036" t="s">
        <v>13</v>
      </c>
      <c r="E130" s="1037">
        <f>BE.300.TOTAL</f>
        <v>793</v>
      </c>
    </row>
    <row r="131" spans="1:5">
      <c r="B131" s="1034"/>
      <c r="C131" s="1035"/>
      <c r="D131" s="1036"/>
      <c r="E131" s="1037"/>
    </row>
    <row r="132" spans="1:5">
      <c r="B132" s="1038"/>
      <c r="C132" s="1039"/>
      <c r="D132" s="1036"/>
      <c r="E132" s="1037"/>
    </row>
    <row r="133" spans="1:5">
      <c r="B133" s="789"/>
      <c r="C133" s="790"/>
      <c r="D133" s="791"/>
      <c r="E133" s="792"/>
    </row>
    <row r="134" spans="1:5">
      <c r="A134" s="15"/>
      <c r="B134" s="589"/>
      <c r="C134" s="184" t="s">
        <v>2139</v>
      </c>
      <c r="D134" s="183"/>
      <c r="E134" s="590"/>
    </row>
    <row r="135" spans="1:5">
      <c r="A135" s="15"/>
      <c r="C135" s="185"/>
      <c r="E135" s="588"/>
    </row>
    <row r="136" spans="1:5" s="8" customFormat="1">
      <c r="A136" s="14"/>
      <c r="B136" s="591" t="s">
        <v>9</v>
      </c>
      <c r="C136" s="18" t="s">
        <v>6</v>
      </c>
      <c r="D136" s="20"/>
      <c r="E136" s="614"/>
    </row>
    <row r="137" spans="1:5" s="8" customFormat="1">
      <c r="A137" s="14"/>
      <c r="B137" s="608"/>
      <c r="C137" s="16"/>
      <c r="D137" s="17"/>
      <c r="E137" s="615"/>
    </row>
    <row r="138" spans="1:5" s="8" customFormat="1">
      <c r="A138" s="14"/>
      <c r="B138" s="595" t="s">
        <v>169</v>
      </c>
      <c r="C138" s="156" t="s">
        <v>109</v>
      </c>
      <c r="D138" s="157"/>
      <c r="E138" s="616"/>
    </row>
    <row r="139" spans="1:5" s="8" customFormat="1">
      <c r="A139" s="14"/>
      <c r="B139" s="597"/>
      <c r="C139" s="143"/>
      <c r="D139" s="157"/>
      <c r="E139" s="616"/>
    </row>
    <row r="140" spans="1:5" s="8" customFormat="1">
      <c r="A140" s="14"/>
      <c r="B140" s="595" t="s">
        <v>170</v>
      </c>
      <c r="C140" s="19" t="s">
        <v>1079</v>
      </c>
      <c r="D140" s="147"/>
      <c r="E140" s="616"/>
    </row>
    <row r="141" spans="1:5" s="8" customFormat="1">
      <c r="A141" s="14"/>
      <c r="B141" s="609"/>
      <c r="C141" s="148"/>
      <c r="D141" s="147"/>
      <c r="E141" s="616"/>
    </row>
    <row r="142" spans="1:5" s="8" customFormat="1">
      <c r="A142" s="14"/>
      <c r="B142" s="593" t="s">
        <v>171</v>
      </c>
      <c r="C142" s="149" t="s">
        <v>177</v>
      </c>
      <c r="D142" s="145" t="s">
        <v>13</v>
      </c>
      <c r="E142" s="616">
        <f>F.700.TOTAL</f>
        <v>3621.4798965600007</v>
      </c>
    </row>
    <row r="143" spans="1:5" s="8" customFormat="1">
      <c r="A143" s="14"/>
      <c r="B143" s="593"/>
      <c r="C143" s="149"/>
      <c r="D143" s="145"/>
      <c r="E143" s="616"/>
    </row>
    <row r="144" spans="1:5" s="8" customFormat="1">
      <c r="A144" s="14"/>
      <c r="B144" s="593" t="s">
        <v>2365</v>
      </c>
      <c r="C144" s="149" t="s">
        <v>2364</v>
      </c>
      <c r="D144" s="145" t="s">
        <v>3</v>
      </c>
      <c r="E144" s="616">
        <f>'MQ-SUPER'!E3768</f>
        <v>1707</v>
      </c>
    </row>
    <row r="145" spans="1:5" s="8" customFormat="1">
      <c r="A145" s="14"/>
      <c r="B145" s="610"/>
      <c r="C145" s="149"/>
      <c r="D145" s="145"/>
      <c r="E145" s="616"/>
    </row>
    <row r="146" spans="1:5" s="8" customFormat="1">
      <c r="A146" s="14"/>
      <c r="B146" s="595" t="s">
        <v>172</v>
      </c>
      <c r="C146" s="519" t="s">
        <v>1080</v>
      </c>
      <c r="D146" s="145"/>
      <c r="E146" s="616"/>
    </row>
    <row r="147" spans="1:5" s="8" customFormat="1">
      <c r="A147" s="14"/>
      <c r="B147" s="609"/>
      <c r="C147" s="146"/>
      <c r="D147" s="145"/>
      <c r="E147" s="616"/>
    </row>
    <row r="148" spans="1:5" s="8" customFormat="1">
      <c r="A148" s="14"/>
      <c r="B148" s="593" t="s">
        <v>173</v>
      </c>
      <c r="C148" s="149" t="s">
        <v>11</v>
      </c>
      <c r="D148" s="145" t="s">
        <v>12</v>
      </c>
      <c r="E148" s="616">
        <f>A50.700.TOTAL</f>
        <v>80241</v>
      </c>
    </row>
    <row r="149" spans="1:5" s="8" customFormat="1">
      <c r="A149" s="14"/>
      <c r="B149" s="609"/>
      <c r="C149" s="146"/>
      <c r="D149" s="145"/>
      <c r="E149" s="616"/>
    </row>
    <row r="150" spans="1:5" s="8" customFormat="1">
      <c r="A150" s="14"/>
      <c r="B150" s="593" t="s">
        <v>178</v>
      </c>
      <c r="C150" s="149" t="s">
        <v>179</v>
      </c>
      <c r="D150" s="145" t="s">
        <v>12</v>
      </c>
      <c r="E150" s="616">
        <f>A60.700.TOTAL</f>
        <v>479</v>
      </c>
    </row>
    <row r="151" spans="1:5" s="8" customFormat="1">
      <c r="A151" s="14"/>
      <c r="B151" s="610"/>
      <c r="C151" s="149"/>
      <c r="D151" s="145"/>
      <c r="E151" s="616"/>
    </row>
    <row r="152" spans="1:5" s="8" customFormat="1">
      <c r="A152" s="14"/>
      <c r="B152" s="593" t="s">
        <v>2141</v>
      </c>
      <c r="C152" s="149" t="s">
        <v>2140</v>
      </c>
      <c r="D152" s="145" t="s">
        <v>12</v>
      </c>
      <c r="E152" s="616">
        <f>A25.700.TOTAL</f>
        <v>2</v>
      </c>
    </row>
    <row r="153" spans="1:5" s="8" customFormat="1">
      <c r="A153" s="14"/>
      <c r="B153" s="610"/>
      <c r="C153" s="149"/>
      <c r="D153" s="145"/>
      <c r="E153" s="616"/>
    </row>
    <row r="154" spans="1:5" s="8" customFormat="1">
      <c r="A154" s="14"/>
      <c r="B154" s="595" t="s">
        <v>174</v>
      </c>
      <c r="C154" s="519" t="s">
        <v>1081</v>
      </c>
      <c r="D154" s="145"/>
      <c r="E154" s="616"/>
    </row>
    <row r="155" spans="1:5" s="8" customFormat="1">
      <c r="A155" s="14"/>
      <c r="B155" s="609"/>
      <c r="C155" s="146"/>
      <c r="D155" s="145"/>
      <c r="E155" s="616"/>
    </row>
    <row r="156" spans="1:5" s="8" customFormat="1">
      <c r="A156" s="14"/>
      <c r="B156" s="593" t="s">
        <v>175</v>
      </c>
      <c r="C156" s="149" t="s">
        <v>176</v>
      </c>
      <c r="D156" s="145" t="s">
        <v>3</v>
      </c>
      <c r="E156" s="616">
        <f>C.700.TOTAL</f>
        <v>724.34554035600001</v>
      </c>
    </row>
    <row r="157" spans="1:5" s="8" customFormat="1">
      <c r="A157" s="14"/>
      <c r="B157" s="597"/>
      <c r="C157" s="144"/>
      <c r="D157" s="142"/>
      <c r="E157" s="616"/>
    </row>
    <row r="158" spans="1:5">
      <c r="B158" s="595" t="s">
        <v>110</v>
      </c>
      <c r="C158" s="19" t="s">
        <v>111</v>
      </c>
      <c r="D158" s="142"/>
      <c r="E158" s="616"/>
    </row>
    <row r="159" spans="1:5">
      <c r="B159" s="593"/>
      <c r="C159" s="144"/>
      <c r="D159" s="142"/>
      <c r="E159" s="616"/>
    </row>
    <row r="160" spans="1:5">
      <c r="B160" s="595" t="s">
        <v>112</v>
      </c>
      <c r="C160" s="19" t="s">
        <v>1663</v>
      </c>
      <c r="D160" s="142"/>
      <c r="E160" s="616"/>
    </row>
    <row r="161" spans="1:5">
      <c r="B161" s="595"/>
      <c r="C161" s="19"/>
      <c r="D161" s="142"/>
      <c r="E161" s="616"/>
    </row>
    <row r="162" spans="1:5">
      <c r="B162" s="593" t="s">
        <v>182</v>
      </c>
      <c r="C162" s="144" t="s">
        <v>1669</v>
      </c>
      <c r="D162" s="142" t="s">
        <v>10</v>
      </c>
      <c r="E162" s="616">
        <f>JE.700.TOTAL</f>
        <v>60.6</v>
      </c>
    </row>
    <row r="163" spans="1:5">
      <c r="B163" s="593"/>
      <c r="C163" s="190"/>
      <c r="D163" s="142"/>
      <c r="E163" s="616"/>
    </row>
    <row r="164" spans="1:5" s="8" customFormat="1">
      <c r="A164" s="14"/>
      <c r="B164" s="595" t="s">
        <v>114</v>
      </c>
      <c r="C164" s="19" t="s">
        <v>1083</v>
      </c>
      <c r="D164" s="142"/>
      <c r="E164" s="616"/>
    </row>
    <row r="165" spans="1:5" s="8" customFormat="1">
      <c r="A165" s="14"/>
      <c r="B165" s="595"/>
      <c r="C165" s="19"/>
      <c r="D165" s="142"/>
      <c r="E165" s="616"/>
    </row>
    <row r="166" spans="1:5" s="8" customFormat="1">
      <c r="A166" s="14"/>
      <c r="B166" s="593" t="s">
        <v>115</v>
      </c>
      <c r="C166" s="144" t="s">
        <v>2375</v>
      </c>
      <c r="D166" s="142" t="s">
        <v>3</v>
      </c>
      <c r="E166" s="616">
        <f>LC.700.TOTAL</f>
        <v>54.423449999999995</v>
      </c>
    </row>
    <row r="167" spans="1:5" s="8" customFormat="1">
      <c r="A167" s="14"/>
      <c r="B167" s="611"/>
      <c r="C167" s="149"/>
      <c r="D167" s="145"/>
      <c r="E167" s="616"/>
    </row>
  </sheetData>
  <mergeCells count="4">
    <mergeCell ref="B3:C5"/>
    <mergeCell ref="D7:E7"/>
    <mergeCell ref="B7:C7"/>
    <mergeCell ref="B6:E6"/>
  </mergeCells>
  <phoneticPr fontId="0" type="noConversion"/>
  <printOptions horizontalCentered="1"/>
  <pageMargins left="0.59055118110236227" right="0.39370078740157483" top="0.39370078740157483" bottom="0.39370078740157483" header="0.47244094488188981" footer="0.15748031496062992"/>
  <pageSetup paperSize="9" scale="54" fitToHeight="70" orientation="portrait" r:id="rId1"/>
  <headerFooter alignWithMargins="0">
    <oddHeader xml:space="preserve">&amp;L&amp;G&amp;C&amp;"Arial,Negrito"&amp;12AEROPORTO INTERNACIONAL DE 
FLORIANÓPOLIS HERCÍLIO LUZ&amp;R&amp;G             &amp;12&amp;P / &amp;N   </oddHeader>
  </headerFooter>
  <colBreaks count="1" manualBreakCount="1">
    <brk id="1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496</vt:i4>
      </vt:variant>
    </vt:vector>
  </HeadingPairs>
  <TitlesOfParts>
    <vt:vector size="503" baseType="lpstr">
      <vt:lpstr>CAPA</vt:lpstr>
      <vt:lpstr>ÍNDICE</vt:lpstr>
      <vt:lpstr>Pág 2</vt:lpstr>
      <vt:lpstr>MQ-INFRA</vt:lpstr>
      <vt:lpstr>MQ-SUPER</vt:lpstr>
      <vt:lpstr>PSQ-INFRA</vt:lpstr>
      <vt:lpstr>PSQ-SUPER</vt:lpstr>
      <vt:lpstr>A25.700.TOTAL</vt:lpstr>
      <vt:lpstr>A25.705</vt:lpstr>
      <vt:lpstr>A50.100.TOTAL</vt:lpstr>
      <vt:lpstr>A50.101</vt:lpstr>
      <vt:lpstr>A50.200.TOTAL</vt:lpstr>
      <vt:lpstr>A50.201</vt:lpstr>
      <vt:lpstr>A50.202</vt:lpstr>
      <vt:lpstr>A50.203</vt:lpstr>
      <vt:lpstr>A50.204</vt:lpstr>
      <vt:lpstr>A50.205</vt:lpstr>
      <vt:lpstr>A50.206</vt:lpstr>
      <vt:lpstr>A50.207</vt:lpstr>
      <vt:lpstr>A50.208</vt:lpstr>
      <vt:lpstr>A50.209</vt:lpstr>
      <vt:lpstr>A50.300.TOTAL</vt:lpstr>
      <vt:lpstr>A50.301</vt:lpstr>
      <vt:lpstr>A50.400.TOTAL</vt:lpstr>
      <vt:lpstr>A50.401</vt:lpstr>
      <vt:lpstr>A50.500.TOTAL</vt:lpstr>
      <vt:lpstr>A50.502</vt:lpstr>
      <vt:lpstr>A50.503</vt:lpstr>
      <vt:lpstr>A50.504</vt:lpstr>
      <vt:lpstr>A50.505</vt:lpstr>
      <vt:lpstr>A50.506</vt:lpstr>
      <vt:lpstr>A50.507</vt:lpstr>
      <vt:lpstr>A50.508</vt:lpstr>
      <vt:lpstr>A50.509</vt:lpstr>
      <vt:lpstr>A50.510</vt:lpstr>
      <vt:lpstr>A50.511</vt:lpstr>
      <vt:lpstr>A50.600.TOTAL</vt:lpstr>
      <vt:lpstr>A50.601</vt:lpstr>
      <vt:lpstr>A50.700.TOTAL</vt:lpstr>
      <vt:lpstr>A50.701</vt:lpstr>
      <vt:lpstr>A50.702</vt:lpstr>
      <vt:lpstr>A50.703</vt:lpstr>
      <vt:lpstr>A50.704</vt:lpstr>
      <vt:lpstr>A50.705</vt:lpstr>
      <vt:lpstr>A50.706</vt:lpstr>
      <vt:lpstr>A50.707</vt:lpstr>
      <vt:lpstr>A50.708</vt:lpstr>
      <vt:lpstr>A50.709</vt:lpstr>
      <vt:lpstr>A50.710</vt:lpstr>
      <vt:lpstr>A50.711</vt:lpstr>
      <vt:lpstr>A50.712</vt:lpstr>
      <vt:lpstr>A50.713</vt:lpstr>
      <vt:lpstr>A50.714</vt:lpstr>
      <vt:lpstr>A50.800.TOTAL</vt:lpstr>
      <vt:lpstr>A50.801</vt:lpstr>
      <vt:lpstr>A50.802</vt:lpstr>
      <vt:lpstr>A50.803</vt:lpstr>
      <vt:lpstr>A50.804</vt:lpstr>
      <vt:lpstr>A60.100.TOTAL</vt:lpstr>
      <vt:lpstr>A60.101</vt:lpstr>
      <vt:lpstr>A60.200.TOTAL</vt:lpstr>
      <vt:lpstr>A60.201</vt:lpstr>
      <vt:lpstr>A60.202</vt:lpstr>
      <vt:lpstr>A60.203</vt:lpstr>
      <vt:lpstr>A60.204</vt:lpstr>
      <vt:lpstr>A60.205</vt:lpstr>
      <vt:lpstr>A60.206</vt:lpstr>
      <vt:lpstr>A60.208</vt:lpstr>
      <vt:lpstr>A60.209</vt:lpstr>
      <vt:lpstr>A60.300.TOTAL</vt:lpstr>
      <vt:lpstr>A60.301</vt:lpstr>
      <vt:lpstr>A60.400.TOTAL</vt:lpstr>
      <vt:lpstr>A60.401</vt:lpstr>
      <vt:lpstr>A60.500.TOTAL</vt:lpstr>
      <vt:lpstr>A60.504</vt:lpstr>
      <vt:lpstr>A60.505</vt:lpstr>
      <vt:lpstr>A60.600.TOTAL</vt:lpstr>
      <vt:lpstr>A60.601</vt:lpstr>
      <vt:lpstr>A60.700.TOTAL</vt:lpstr>
      <vt:lpstr>A60.701</vt:lpstr>
      <vt:lpstr>A60.707</vt:lpstr>
      <vt:lpstr>A60.711</vt:lpstr>
      <vt:lpstr>CAPA!Area_de_impressao</vt:lpstr>
      <vt:lpstr>ÍNDICE!Area_de_impressao</vt:lpstr>
      <vt:lpstr>'MQ-INFRA'!Area_de_impressao</vt:lpstr>
      <vt:lpstr>'MQ-SUPER'!Area_de_impressao</vt:lpstr>
      <vt:lpstr>'Pág 2'!Area_de_impressao</vt:lpstr>
      <vt:lpstr>'PSQ-INFRA'!Area_de_impressao</vt:lpstr>
      <vt:lpstr>'PSQ-SUPER'!Area_de_impressao</vt:lpstr>
      <vt:lpstr>ARG.300.TOTAL</vt:lpstr>
      <vt:lpstr>ARG.301</vt:lpstr>
      <vt:lpstr>BC.300.TOTAL</vt:lpstr>
      <vt:lpstr>BC.301</vt:lpstr>
      <vt:lpstr>BE.300.TOTAL</vt:lpstr>
      <vt:lpstr>BE.301</vt:lpstr>
      <vt:lpstr>C.100.TOTAL</vt:lpstr>
      <vt:lpstr>C.101</vt:lpstr>
      <vt:lpstr>C.200.TOTAL</vt:lpstr>
      <vt:lpstr>C.201</vt:lpstr>
      <vt:lpstr>C.202</vt:lpstr>
      <vt:lpstr>C.203</vt:lpstr>
      <vt:lpstr>C.204</vt:lpstr>
      <vt:lpstr>C.205</vt:lpstr>
      <vt:lpstr>C.206</vt:lpstr>
      <vt:lpstr>C.207</vt:lpstr>
      <vt:lpstr>C.208</vt:lpstr>
      <vt:lpstr>C.209</vt:lpstr>
      <vt:lpstr>C.300.TOTAL</vt:lpstr>
      <vt:lpstr>C.301</vt:lpstr>
      <vt:lpstr>C.400.TOTAL</vt:lpstr>
      <vt:lpstr>C.401</vt:lpstr>
      <vt:lpstr>C.500.TOTAL</vt:lpstr>
      <vt:lpstr>C.501</vt:lpstr>
      <vt:lpstr>C.502</vt:lpstr>
      <vt:lpstr>C.503</vt:lpstr>
      <vt:lpstr>C.504</vt:lpstr>
      <vt:lpstr>C.505</vt:lpstr>
      <vt:lpstr>C.506</vt:lpstr>
      <vt:lpstr>C.507</vt:lpstr>
      <vt:lpstr>C.508</vt:lpstr>
      <vt:lpstr>C.509</vt:lpstr>
      <vt:lpstr>C.510</vt:lpstr>
      <vt:lpstr>C.511</vt:lpstr>
      <vt:lpstr>C.600.TOTAL</vt:lpstr>
      <vt:lpstr>C.601</vt:lpstr>
      <vt:lpstr>C.700.TOTAL</vt:lpstr>
      <vt:lpstr>C.701</vt:lpstr>
      <vt:lpstr>C.702</vt:lpstr>
      <vt:lpstr>C.703</vt:lpstr>
      <vt:lpstr>C.704</vt:lpstr>
      <vt:lpstr>C.705</vt:lpstr>
      <vt:lpstr>C.706</vt:lpstr>
      <vt:lpstr>C.707</vt:lpstr>
      <vt:lpstr>C.708</vt:lpstr>
      <vt:lpstr>C.709</vt:lpstr>
      <vt:lpstr>C.710</vt:lpstr>
      <vt:lpstr>C.711</vt:lpstr>
      <vt:lpstr>C.712</vt:lpstr>
      <vt:lpstr>C.713</vt:lpstr>
      <vt:lpstr>C.714</vt:lpstr>
      <vt:lpstr>C.800.TOTAL</vt:lpstr>
      <vt:lpstr>C.801</vt:lpstr>
      <vt:lpstr>C.802</vt:lpstr>
      <vt:lpstr>C.804</vt:lpstr>
      <vt:lpstr>E25.400.TOTAL</vt:lpstr>
      <vt:lpstr>E25.401</vt:lpstr>
      <vt:lpstr>E25.500.TOTAL</vt:lpstr>
      <vt:lpstr>E25.503</vt:lpstr>
      <vt:lpstr>E25.504</vt:lpstr>
      <vt:lpstr>E25.505</vt:lpstr>
      <vt:lpstr>E25.506</vt:lpstr>
      <vt:lpstr>E25.508</vt:lpstr>
      <vt:lpstr>E25.509</vt:lpstr>
      <vt:lpstr>E25.511</vt:lpstr>
      <vt:lpstr>E25.800.TOTAL</vt:lpstr>
      <vt:lpstr>E25.801</vt:lpstr>
      <vt:lpstr>E25.804</vt:lpstr>
      <vt:lpstr>E30.500.TOTAL</vt:lpstr>
      <vt:lpstr>E30.502</vt:lpstr>
      <vt:lpstr>E30.509</vt:lpstr>
      <vt:lpstr>E30.800.TOTAL</vt:lpstr>
      <vt:lpstr>E30.802</vt:lpstr>
      <vt:lpstr>E35.400.TOTAL</vt:lpstr>
      <vt:lpstr>E35.401</vt:lpstr>
      <vt:lpstr>E35.500.TOTAL</vt:lpstr>
      <vt:lpstr>E35.509</vt:lpstr>
      <vt:lpstr>E35.510</vt:lpstr>
      <vt:lpstr>E35.600.TOTAL</vt:lpstr>
      <vt:lpstr>E35.601</vt:lpstr>
      <vt:lpstr>E35.800.TOTAL</vt:lpstr>
      <vt:lpstr>E35.802</vt:lpstr>
      <vt:lpstr>E35.803</vt:lpstr>
      <vt:lpstr>E40.400.TOTAL</vt:lpstr>
      <vt:lpstr>E40.401</vt:lpstr>
      <vt:lpstr>E40.500.TOTAL</vt:lpstr>
      <vt:lpstr>E40.507</vt:lpstr>
      <vt:lpstr>E40.600.TOTAL</vt:lpstr>
      <vt:lpstr>E40.601</vt:lpstr>
      <vt:lpstr>E50.507</vt:lpstr>
      <vt:lpstr>E60.600.TOTAL</vt:lpstr>
      <vt:lpstr>E60.601</vt:lpstr>
      <vt:lpstr>E70.600.TOTAL</vt:lpstr>
      <vt:lpstr>E70.601</vt:lpstr>
      <vt:lpstr>EE60.500.TOTAL</vt:lpstr>
      <vt:lpstr>EE60.510</vt:lpstr>
      <vt:lpstr>EM.400.TOTAL</vt:lpstr>
      <vt:lpstr>EM.401</vt:lpstr>
      <vt:lpstr>EM.500.TOTAL</vt:lpstr>
      <vt:lpstr>EM.501</vt:lpstr>
      <vt:lpstr>EM.502</vt:lpstr>
      <vt:lpstr>EM.503</vt:lpstr>
      <vt:lpstr>EM.504</vt:lpstr>
      <vt:lpstr>EM.505</vt:lpstr>
      <vt:lpstr>EM.506</vt:lpstr>
      <vt:lpstr>EM.507</vt:lpstr>
      <vt:lpstr>EM.508</vt:lpstr>
      <vt:lpstr>EM.509</vt:lpstr>
      <vt:lpstr>EM.510</vt:lpstr>
      <vt:lpstr>EM.511</vt:lpstr>
      <vt:lpstr>EM.600.TOTAL</vt:lpstr>
      <vt:lpstr>EM.601</vt:lpstr>
      <vt:lpstr>EM.800.TOTAL</vt:lpstr>
      <vt:lpstr>EM.801</vt:lpstr>
      <vt:lpstr>EM.802</vt:lpstr>
      <vt:lpstr>EM.803</vt:lpstr>
      <vt:lpstr>EM.804</vt:lpstr>
      <vt:lpstr>EM.805</vt:lpstr>
      <vt:lpstr>EM.806</vt:lpstr>
      <vt:lpstr>EM.807</vt:lpstr>
      <vt:lpstr>EM.808</vt:lpstr>
      <vt:lpstr>EM.809</vt:lpstr>
      <vt:lpstr>EM.810</vt:lpstr>
      <vt:lpstr>EM.811</vt:lpstr>
      <vt:lpstr>EM.812</vt:lpstr>
      <vt:lpstr>EM.813</vt:lpstr>
      <vt:lpstr>EM.814</vt:lpstr>
      <vt:lpstr>F.100.TOTAL</vt:lpstr>
      <vt:lpstr>F.101</vt:lpstr>
      <vt:lpstr>F.200.TOTAL</vt:lpstr>
      <vt:lpstr>F.201</vt:lpstr>
      <vt:lpstr>F.202</vt:lpstr>
      <vt:lpstr>F.203</vt:lpstr>
      <vt:lpstr>F.204</vt:lpstr>
      <vt:lpstr>F.205</vt:lpstr>
      <vt:lpstr>F.206</vt:lpstr>
      <vt:lpstr>F.207</vt:lpstr>
      <vt:lpstr>F.208</vt:lpstr>
      <vt:lpstr>F.209</vt:lpstr>
      <vt:lpstr>F.300.TOTAL</vt:lpstr>
      <vt:lpstr>F.301</vt:lpstr>
      <vt:lpstr>F.400.TOTAL</vt:lpstr>
      <vt:lpstr>F.401</vt:lpstr>
      <vt:lpstr>F.500.TOTAL</vt:lpstr>
      <vt:lpstr>F.501</vt:lpstr>
      <vt:lpstr>F.502</vt:lpstr>
      <vt:lpstr>F.503</vt:lpstr>
      <vt:lpstr>F.504</vt:lpstr>
      <vt:lpstr>F.505</vt:lpstr>
      <vt:lpstr>F.506</vt:lpstr>
      <vt:lpstr>F.507</vt:lpstr>
      <vt:lpstr>F.508</vt:lpstr>
      <vt:lpstr>F.509</vt:lpstr>
      <vt:lpstr>F.510</vt:lpstr>
      <vt:lpstr>F.511</vt:lpstr>
      <vt:lpstr>F.600.TOTAL</vt:lpstr>
      <vt:lpstr>F.601</vt:lpstr>
      <vt:lpstr>F.700.TOTAL</vt:lpstr>
      <vt:lpstr>F.701</vt:lpstr>
      <vt:lpstr>F.702</vt:lpstr>
      <vt:lpstr>F.703</vt:lpstr>
      <vt:lpstr>F.704</vt:lpstr>
      <vt:lpstr>F.705</vt:lpstr>
      <vt:lpstr>F.706</vt:lpstr>
      <vt:lpstr>F.707</vt:lpstr>
      <vt:lpstr>F.708</vt:lpstr>
      <vt:lpstr>F.709</vt:lpstr>
      <vt:lpstr>F.710</vt:lpstr>
      <vt:lpstr>F.711</vt:lpstr>
      <vt:lpstr>F.712</vt:lpstr>
      <vt:lpstr>F.713</vt:lpstr>
      <vt:lpstr>F.714</vt:lpstr>
      <vt:lpstr>F.800.TOTAL</vt:lpstr>
      <vt:lpstr>F.801</vt:lpstr>
      <vt:lpstr>F.802</vt:lpstr>
      <vt:lpstr>F.804</vt:lpstr>
      <vt:lpstr>FA.300.TOTAL</vt:lpstr>
      <vt:lpstr>FA.301</vt:lpstr>
      <vt:lpstr>G.300.TOTAL</vt:lpstr>
      <vt:lpstr>G.301</vt:lpstr>
      <vt:lpstr>JD.300.TOTAL</vt:lpstr>
      <vt:lpstr>JD.301</vt:lpstr>
      <vt:lpstr>JE.100.TOTAL</vt:lpstr>
      <vt:lpstr>JE.101</vt:lpstr>
      <vt:lpstr>JE.200.TOTAL</vt:lpstr>
      <vt:lpstr>JE.201</vt:lpstr>
      <vt:lpstr>JE.202</vt:lpstr>
      <vt:lpstr>JE.203</vt:lpstr>
      <vt:lpstr>JE.205</vt:lpstr>
      <vt:lpstr>JE.206</vt:lpstr>
      <vt:lpstr>JE.208</vt:lpstr>
      <vt:lpstr>JE.300.TOTAL</vt:lpstr>
      <vt:lpstr>JE.301</vt:lpstr>
      <vt:lpstr>JE.700.TOTAL</vt:lpstr>
      <vt:lpstr>JE.701</vt:lpstr>
      <vt:lpstr>JR.300.TOTAL</vt:lpstr>
      <vt:lpstr>JR.301</vt:lpstr>
      <vt:lpstr>JS.100.TOTAL</vt:lpstr>
      <vt:lpstr>JS.101</vt:lpstr>
      <vt:lpstr>JS.200.TOTAL</vt:lpstr>
      <vt:lpstr>JS.201</vt:lpstr>
      <vt:lpstr>JS.202</vt:lpstr>
      <vt:lpstr>JS.203</vt:lpstr>
      <vt:lpstr>JS.206</vt:lpstr>
      <vt:lpstr>JS.300.TOTAL</vt:lpstr>
      <vt:lpstr>JS.301</vt:lpstr>
      <vt:lpstr>LC.100.TOTAL</vt:lpstr>
      <vt:lpstr>LC.101</vt:lpstr>
      <vt:lpstr>LC.200.TOTAL</vt:lpstr>
      <vt:lpstr>LC.201</vt:lpstr>
      <vt:lpstr>LC.202</vt:lpstr>
      <vt:lpstr>LC.203</vt:lpstr>
      <vt:lpstr>LC.205</vt:lpstr>
      <vt:lpstr>LC.206</vt:lpstr>
      <vt:lpstr>LC.207</vt:lpstr>
      <vt:lpstr>LC.208</vt:lpstr>
      <vt:lpstr>LC.300.TOTAL</vt:lpstr>
      <vt:lpstr>LC.301</vt:lpstr>
      <vt:lpstr>LC.400.TOTAL</vt:lpstr>
      <vt:lpstr>LC.401</vt:lpstr>
      <vt:lpstr>LC.500.TOTAL</vt:lpstr>
      <vt:lpstr>LC.501</vt:lpstr>
      <vt:lpstr>LC.502</vt:lpstr>
      <vt:lpstr>LC.503</vt:lpstr>
      <vt:lpstr>LC.504</vt:lpstr>
      <vt:lpstr>LC.505</vt:lpstr>
      <vt:lpstr>LC.506</vt:lpstr>
      <vt:lpstr>LC.507</vt:lpstr>
      <vt:lpstr>LC.508</vt:lpstr>
      <vt:lpstr>LC.509</vt:lpstr>
      <vt:lpstr>LC.510</vt:lpstr>
      <vt:lpstr>LC.511</vt:lpstr>
      <vt:lpstr>LC.600.TOTAL</vt:lpstr>
      <vt:lpstr>LC.601</vt:lpstr>
      <vt:lpstr>LC.700.TOTAL</vt:lpstr>
      <vt:lpstr>LC.701</vt:lpstr>
      <vt:lpstr>LC.702</vt:lpstr>
      <vt:lpstr>LC.703</vt:lpstr>
      <vt:lpstr>LC.704</vt:lpstr>
      <vt:lpstr>LC.705</vt:lpstr>
      <vt:lpstr>LC.706</vt:lpstr>
      <vt:lpstr>LC.707</vt:lpstr>
      <vt:lpstr>LC.708</vt:lpstr>
      <vt:lpstr>LC.709</vt:lpstr>
      <vt:lpstr>LC.710</vt:lpstr>
      <vt:lpstr>LC.712</vt:lpstr>
      <vt:lpstr>LC.713</vt:lpstr>
      <vt:lpstr>LC.714</vt:lpstr>
      <vt:lpstr>LC.800.TOTAL</vt:lpstr>
      <vt:lpstr>LC.801</vt:lpstr>
      <vt:lpstr>LC.802</vt:lpstr>
      <vt:lpstr>LC.804</vt:lpstr>
      <vt:lpstr>QE25.400.TOTAL</vt:lpstr>
      <vt:lpstr>QE25.401</vt:lpstr>
      <vt:lpstr>QE25.500.TOTAL</vt:lpstr>
      <vt:lpstr>QE25.503</vt:lpstr>
      <vt:lpstr>QE25.504</vt:lpstr>
      <vt:lpstr>QE25.505</vt:lpstr>
      <vt:lpstr>QE25.506</vt:lpstr>
      <vt:lpstr>QE25.508</vt:lpstr>
      <vt:lpstr>QE25.509</vt:lpstr>
      <vt:lpstr>QE25.511</vt:lpstr>
      <vt:lpstr>QE25.800.TOTAL</vt:lpstr>
      <vt:lpstr>QE25.801</vt:lpstr>
      <vt:lpstr>QE25.804</vt:lpstr>
      <vt:lpstr>QE30.500.TOTAL</vt:lpstr>
      <vt:lpstr>QE30.502</vt:lpstr>
      <vt:lpstr>QE30.509</vt:lpstr>
      <vt:lpstr>QE30.800.TOTAL</vt:lpstr>
      <vt:lpstr>QE30.802</vt:lpstr>
      <vt:lpstr>QE35.400.TOTAL</vt:lpstr>
      <vt:lpstr>QE35.401</vt:lpstr>
      <vt:lpstr>QE35.500.TOTAL</vt:lpstr>
      <vt:lpstr>QE35.509</vt:lpstr>
      <vt:lpstr>QE35.510</vt:lpstr>
      <vt:lpstr>QE35.600.TOTAL</vt:lpstr>
      <vt:lpstr>QE35.601</vt:lpstr>
      <vt:lpstr>QE35.800.TOTAL</vt:lpstr>
      <vt:lpstr>QE35.802</vt:lpstr>
      <vt:lpstr>QE35.803</vt:lpstr>
      <vt:lpstr>QE40.400.TOTAL</vt:lpstr>
      <vt:lpstr>QE40.401</vt:lpstr>
      <vt:lpstr>QE40.500.TOTAL</vt:lpstr>
      <vt:lpstr>QE40.507</vt:lpstr>
      <vt:lpstr>QE40.600.TOTAL</vt:lpstr>
      <vt:lpstr>QE40.601</vt:lpstr>
      <vt:lpstr>QE60.500.TOTAL</vt:lpstr>
      <vt:lpstr>QE60.510</vt:lpstr>
      <vt:lpstr>QE60.600.TOTAL</vt:lpstr>
      <vt:lpstr>QE60.601</vt:lpstr>
      <vt:lpstr>QE70.600.TOTAL</vt:lpstr>
      <vt:lpstr>QE70.601</vt:lpstr>
      <vt:lpstr>R.400.TOTAL</vt:lpstr>
      <vt:lpstr>R.401</vt:lpstr>
      <vt:lpstr>R.500.TOTAL</vt:lpstr>
      <vt:lpstr>R.501</vt:lpstr>
      <vt:lpstr>R.502</vt:lpstr>
      <vt:lpstr>R.503</vt:lpstr>
      <vt:lpstr>R.504</vt:lpstr>
      <vt:lpstr>R.505</vt:lpstr>
      <vt:lpstr>R.506</vt:lpstr>
      <vt:lpstr>R.507</vt:lpstr>
      <vt:lpstr>R.508</vt:lpstr>
      <vt:lpstr>R.509</vt:lpstr>
      <vt:lpstr>R.510</vt:lpstr>
      <vt:lpstr>R.511</vt:lpstr>
      <vt:lpstr>R.600.TOTAL</vt:lpstr>
      <vt:lpstr>R.601</vt:lpstr>
      <vt:lpstr>R.800.TOTAL</vt:lpstr>
      <vt:lpstr>R.801</vt:lpstr>
      <vt:lpstr>R.802</vt:lpstr>
      <vt:lpstr>R.803</vt:lpstr>
      <vt:lpstr>R.804</vt:lpstr>
      <vt:lpstr>R.805</vt:lpstr>
      <vt:lpstr>R.806</vt:lpstr>
      <vt:lpstr>R.807</vt:lpstr>
      <vt:lpstr>R.808</vt:lpstr>
      <vt:lpstr>R.809</vt:lpstr>
      <vt:lpstr>R.810</vt:lpstr>
      <vt:lpstr>R.811</vt:lpstr>
      <vt:lpstr>R.812</vt:lpstr>
      <vt:lpstr>R.813</vt:lpstr>
      <vt:lpstr>R.814</vt:lpstr>
      <vt:lpstr>RA.400.TOTAL</vt:lpstr>
      <vt:lpstr>RA.401</vt:lpstr>
      <vt:lpstr>RA.500.TOTAL</vt:lpstr>
      <vt:lpstr>RA.501</vt:lpstr>
      <vt:lpstr>RA.502</vt:lpstr>
      <vt:lpstr>RA.503</vt:lpstr>
      <vt:lpstr>RA.504</vt:lpstr>
      <vt:lpstr>RA.505</vt:lpstr>
      <vt:lpstr>RA.506</vt:lpstr>
      <vt:lpstr>RA.507</vt:lpstr>
      <vt:lpstr>RA.508</vt:lpstr>
      <vt:lpstr>RA.509</vt:lpstr>
      <vt:lpstr>RA.510</vt:lpstr>
      <vt:lpstr>RA.511</vt:lpstr>
      <vt:lpstr>RA.600.TOTAL</vt:lpstr>
      <vt:lpstr>RA.601</vt:lpstr>
      <vt:lpstr>RA.800.TOTAL</vt:lpstr>
      <vt:lpstr>RA.801</vt:lpstr>
      <vt:lpstr>RA.802</vt:lpstr>
      <vt:lpstr>RA.803</vt:lpstr>
      <vt:lpstr>RA.804</vt:lpstr>
      <vt:lpstr>RA.805</vt:lpstr>
      <vt:lpstr>RA.806</vt:lpstr>
      <vt:lpstr>RA.807</vt:lpstr>
      <vt:lpstr>RA.808</vt:lpstr>
      <vt:lpstr>RA.809</vt:lpstr>
      <vt:lpstr>RA.810</vt:lpstr>
      <vt:lpstr>RA.811</vt:lpstr>
      <vt:lpstr>RA.812</vt:lpstr>
      <vt:lpstr>RA.813</vt:lpstr>
      <vt:lpstr>RA.814</vt:lpstr>
      <vt:lpstr>RC.401</vt:lpstr>
      <vt:lpstr>TIT.101</vt:lpstr>
      <vt:lpstr>TIT.201</vt:lpstr>
      <vt:lpstr>TIT.202</vt:lpstr>
      <vt:lpstr>TIT.203</vt:lpstr>
      <vt:lpstr>TIT.204</vt:lpstr>
      <vt:lpstr>TIT.205</vt:lpstr>
      <vt:lpstr>TIT.206</vt:lpstr>
      <vt:lpstr>TIT.207</vt:lpstr>
      <vt:lpstr>TIT.208</vt:lpstr>
      <vt:lpstr>TIT.209</vt:lpstr>
      <vt:lpstr>TIT.301</vt:lpstr>
      <vt:lpstr>TIT.401</vt:lpstr>
      <vt:lpstr>TIT.501</vt:lpstr>
      <vt:lpstr>TIT.502</vt:lpstr>
      <vt:lpstr>TIT.503</vt:lpstr>
      <vt:lpstr>TIT.504</vt:lpstr>
      <vt:lpstr>TIT.505</vt:lpstr>
      <vt:lpstr>TIT.506</vt:lpstr>
      <vt:lpstr>TIT.507</vt:lpstr>
      <vt:lpstr>TIT.508</vt:lpstr>
      <vt:lpstr>TIT.509</vt:lpstr>
      <vt:lpstr>TIT.510</vt:lpstr>
      <vt:lpstr>TIT.511</vt:lpstr>
      <vt:lpstr>TIT.601</vt:lpstr>
      <vt:lpstr>TIT.602</vt:lpstr>
      <vt:lpstr>TIT.701</vt:lpstr>
      <vt:lpstr>TIT.702</vt:lpstr>
      <vt:lpstr>TIT.703</vt:lpstr>
      <vt:lpstr>TIT.704</vt:lpstr>
      <vt:lpstr>TIT.705</vt:lpstr>
      <vt:lpstr>TIT.706</vt:lpstr>
      <vt:lpstr>TIT.707</vt:lpstr>
      <vt:lpstr>TIT.708</vt:lpstr>
      <vt:lpstr>TIT.709</vt:lpstr>
      <vt:lpstr>TIT.710</vt:lpstr>
      <vt:lpstr>TIT.711</vt:lpstr>
      <vt:lpstr>TIT.712</vt:lpstr>
      <vt:lpstr>TIT.713</vt:lpstr>
      <vt:lpstr>TIT.714</vt:lpstr>
      <vt:lpstr>TIT.801</vt:lpstr>
      <vt:lpstr>TIT.802</vt:lpstr>
      <vt:lpstr>TIT.803</vt:lpstr>
      <vt:lpstr>TIT.804</vt:lpstr>
      <vt:lpstr>TIT.805</vt:lpstr>
      <vt:lpstr>TIT.806</vt:lpstr>
      <vt:lpstr>TIT.807</vt:lpstr>
      <vt:lpstr>TIT.808</vt:lpstr>
      <vt:lpstr>TIT.809</vt:lpstr>
      <vt:lpstr>TIT.810</vt:lpstr>
      <vt:lpstr>TIT.811</vt:lpstr>
      <vt:lpstr>TIT.812</vt:lpstr>
      <vt:lpstr>TIT.813</vt:lpstr>
      <vt:lpstr>TIT.814</vt:lpstr>
      <vt:lpstr>ÍNDICE!Titulos_de_impressao</vt:lpstr>
      <vt:lpstr>'MQ-INFRA'!Titulos_de_impressao</vt:lpstr>
      <vt:lpstr>'MQ-SUPER'!Titulos_de_impressao</vt:lpstr>
      <vt:lpstr>'Pág 2'!Titulos_de_impressao</vt:lpstr>
      <vt:lpstr>'PSQ-INFRA'!Titulos_de_impressao</vt:lpstr>
      <vt:lpstr>'PSQ-SUPER'!Titulos_de_impressao</vt:lpstr>
    </vt:vector>
  </TitlesOfParts>
  <Company>Infraero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Gregorio Junior</dc:creator>
  <cp:lastModifiedBy>Infraero</cp:lastModifiedBy>
  <cp:lastPrinted>2012-09-04T20:45:20Z</cp:lastPrinted>
  <dcterms:created xsi:type="dcterms:W3CDTF">2006-04-18T19:00:33Z</dcterms:created>
  <dcterms:modified xsi:type="dcterms:W3CDTF">2012-09-06T14:51:36Z</dcterms:modified>
</cp:coreProperties>
</file>